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arbonapp\Documents\3_Reboisement\G_Reboisement Treecolore JP Bos_Saint-Magne 3 (33)\"/>
    </mc:Choice>
  </mc:AlternateContent>
  <xr:revisionPtr revIDLastSave="0" documentId="13_ncr:1_{4D24C7FD-714E-49EE-9A12-D3DF12767198}" xr6:coauthVersionLast="47" xr6:coauthVersionMax="47" xr10:uidLastSave="{00000000-0000-0000-0000-000000000000}"/>
  <bookViews>
    <workbookView xWindow="-108" yWindow="-108" windowWidth="23256" windowHeight="12576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L4" i="2" l="1"/>
  <c r="FQ4" i="2"/>
  <c r="BR4" i="2"/>
  <c r="FR4" i="2"/>
  <c r="EA4" i="2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EX5" i="2"/>
  <c r="FR5" i="2"/>
  <c r="EC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X7" i="2" l="1"/>
  <c r="EB7" i="2"/>
  <c r="EW7" i="2"/>
  <c r="EV7" i="2"/>
  <c r="HI7" i="2"/>
  <c r="EA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FS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H10" i="2" l="1"/>
  <c r="EB10" i="2"/>
  <c r="HG10" i="2"/>
  <c r="FS10" i="2"/>
  <c r="EA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EW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HG14" i="2"/>
  <c r="EC14" i="2"/>
  <c r="EX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W18" i="2"/>
  <c r="FS18" i="2"/>
  <c r="EA18" i="2"/>
  <c r="HG18" i="2"/>
  <c r="EX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W20" i="2"/>
  <c r="EC20" i="2"/>
  <c r="FS20" i="2"/>
  <c r="HH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B21" i="2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B22" i="2" l="1"/>
  <c r="EC22" i="2"/>
  <c r="HH22" i="2"/>
  <c r="EW22" i="2"/>
  <c r="HG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HG24" i="2"/>
  <c r="HH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HI27" i="2"/>
  <c r="FS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FS28" i="2"/>
  <c r="EC28" i="2"/>
  <c r="HI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HI29" i="2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B33" i="2"/>
  <c r="EW33" i="2"/>
  <c r="HG33" i="2"/>
  <c r="HH33" i="2"/>
  <c r="EV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A35" i="2"/>
  <c r="HH35" i="2"/>
  <c r="FQ35" i="2"/>
  <c r="EB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EX38" i="2"/>
  <c r="EA38" i="2"/>
  <c r="HH38" i="2"/>
  <c r="HG38" i="2"/>
  <c r="FS38" i="2"/>
  <c r="EW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I43" i="2" l="1"/>
  <c r="HG43" i="2"/>
  <c r="DG43" i="2"/>
  <c r="EX43" i="2"/>
  <c r="EA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HG44" i="2"/>
  <c r="EW44" i="2"/>
  <c r="EC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B45" i="2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HG46" i="2"/>
  <c r="EW46" i="2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EC48" i="2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B51" i="2" l="1"/>
  <c r="EA51" i="2"/>
  <c r="EX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H57" i="2" l="1"/>
  <c r="HG57" i="2"/>
  <c r="EB57" i="2"/>
  <c r="HI57" i="2"/>
  <c r="FS57" i="2"/>
  <c r="EV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HH59" i="2"/>
  <c r="EB59" i="2"/>
  <c r="EA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V60" i="2" l="1"/>
  <c r="HH60" i="2"/>
  <c r="HG60" i="2"/>
  <c r="HI60" i="2"/>
  <c r="EW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V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EC63" i="2"/>
  <c r="HG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H64" i="2"/>
  <c r="EC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EX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EW70" i="2"/>
  <c r="HI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H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X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HI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R74" i="2" l="1"/>
  <c r="EW74" i="2"/>
  <c r="FS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HH75" i="2"/>
  <c r="HG75" i="2"/>
  <c r="FS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H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HI77" i="2"/>
  <c r="EA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HI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G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HI85" i="2"/>
  <c r="EW85" i="2"/>
  <c r="HG85" i="2"/>
  <c r="HH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B87" i="2"/>
  <c r="HG87" i="2"/>
  <c r="EA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HI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EB95" i="2"/>
  <c r="HG95" i="2"/>
  <c r="EX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W98" i="2" l="1"/>
  <c r="FS98" i="2"/>
  <c r="HI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FS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HG107" i="2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A108" i="2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EC112" i="2"/>
  <c r="FQ112" i="2"/>
  <c r="HI112" i="2"/>
  <c r="EX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I113" i="2" l="1"/>
  <c r="EW113" i="2"/>
  <c r="EC113" i="2"/>
  <c r="FS113" i="2"/>
  <c r="EB113" i="2"/>
  <c r="HG113" i="2"/>
  <c r="EX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EW114" i="2"/>
  <c r="HG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V116" i="2"/>
  <c r="HG116" i="2"/>
  <c r="EC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Q118" i="2" l="1"/>
  <c r="FS118" i="2"/>
  <c r="HH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FR119" i="2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HH120" i="2"/>
  <c r="HI120" i="2"/>
  <c r="EX120" i="2"/>
  <c r="FR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FR121" i="2"/>
  <c r="EB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I122" i="2" l="1"/>
  <c r="FS122" i="2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X124" i="2" l="1"/>
  <c r="HH124" i="2"/>
  <c r="HG124" i="2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EC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V127" i="2" l="1"/>
  <c r="HI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EV128" i="2"/>
  <c r="HG128" i="2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W130" i="2" l="1"/>
  <c r="HH130" i="2"/>
  <c r="FS130" i="2"/>
  <c r="HG130" i="2"/>
  <c r="HI130" i="2"/>
  <c r="EX130" i="2"/>
  <c r="EB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V134" i="2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EX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B139" i="2"/>
  <c r="EW139" i="2"/>
  <c r="HH139" i="2"/>
  <c r="EA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B140" i="2" l="1"/>
  <c r="FR140" i="2"/>
  <c r="HH140" i="2"/>
  <c r="EC140" i="2"/>
  <c r="HG140" i="2"/>
  <c r="EX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A141" i="2"/>
  <c r="HG141" i="2"/>
  <c r="HH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B144" i="2" l="1"/>
  <c r="FR144" i="2"/>
  <c r="HH144" i="2"/>
  <c r="HG144" i="2"/>
  <c r="EA144" i="2"/>
  <c r="EX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A145" i="2" l="1"/>
  <c r="EB145" i="2"/>
  <c r="HG145" i="2"/>
  <c r="HH145" i="2"/>
  <c r="EX145" i="2"/>
  <c r="FR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R146" i="2" l="1"/>
  <c r="EA146" i="2"/>
  <c r="HH146" i="2"/>
  <c r="HG146" i="2"/>
  <c r="HI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HI150" i="2"/>
  <c r="HH150" i="2"/>
  <c r="HG150" i="2"/>
  <c r="EV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EX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V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HH154" i="2" l="1"/>
  <c r="HG154" i="2"/>
  <c r="AB154" i="2"/>
  <c r="EB154" i="2"/>
  <c r="EX154" i="2"/>
  <c r="AA154" i="2"/>
  <c r="EV154" i="2"/>
  <c r="EC154" i="2"/>
  <c r="EA154" i="2"/>
  <c r="FS154" i="2"/>
  <c r="HI154" i="2"/>
  <c r="GN154" i="2"/>
  <c r="DF154" i="2"/>
  <c r="DI154" i="2" s="1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3" i="2"/>
  <c r="FT153" i="2"/>
  <c r="CN153" i="2"/>
  <c r="HJ153" i="2"/>
  <c r="GO153" i="2"/>
  <c r="EY153" i="2"/>
  <c r="ED153" i="2"/>
  <c r="AC153" i="2"/>
  <c r="AX151" i="2"/>
  <c r="EA155" i="2" l="1"/>
  <c r="EW155" i="2"/>
  <c r="HH155" i="2"/>
  <c r="HG155" i="2"/>
  <c r="AC154" i="2"/>
  <c r="EX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D155" i="2"/>
  <c r="AX152" i="2"/>
  <c r="DH156" i="2" l="1"/>
  <c r="HH156" i="2"/>
  <c r="HG156" i="2"/>
  <c r="EX156" i="2"/>
  <c r="AB156" i="2"/>
  <c r="FS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HG157" i="2"/>
  <c r="EX157" i="2"/>
  <c r="HH157" i="2"/>
  <c r="CN156" i="2"/>
  <c r="EB157" i="2"/>
  <c r="EA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HH158" i="2"/>
  <c r="EV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HI159" i="2"/>
  <c r="EC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HG160" i="2"/>
  <c r="HH160" i="2"/>
  <c r="HI160" i="2"/>
  <c r="EY159" i="2"/>
  <c r="FS160" i="2"/>
  <c r="D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X161" i="2" l="1"/>
  <c r="AB161" i="2"/>
  <c r="HG161" i="2"/>
  <c r="FS161" i="2"/>
  <c r="EB161" i="2"/>
  <c r="EA161" i="2"/>
  <c r="ED161" i="2" s="1"/>
  <c r="HH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W162" i="2" l="1"/>
  <c r="EB162" i="2"/>
  <c r="EC162" i="2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HH163" i="2" l="1"/>
  <c r="EV163" i="2"/>
  <c r="EB163" i="2"/>
  <c r="HG163" i="2"/>
  <c r="HI163" i="2"/>
  <c r="EA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HG164" i="2" l="1"/>
  <c r="EV164" i="2"/>
  <c r="EA164" i="2"/>
  <c r="FS164" i="2"/>
  <c r="EX164" i="2"/>
  <c r="H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X165" i="2" l="1"/>
  <c r="HH165" i="2"/>
  <c r="HG165" i="2"/>
  <c r="EA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G166" i="2" l="1"/>
  <c r="CN165" i="2"/>
  <c r="FS166" i="2"/>
  <c r="EC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X167" i="2" l="1"/>
  <c r="FR167" i="2"/>
  <c r="HH167" i="2"/>
  <c r="EA167" i="2"/>
  <c r="EB167" i="2"/>
  <c r="HI167" i="2"/>
  <c r="EC167" i="2"/>
  <c r="DG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EV168" i="2"/>
  <c r="HH168" i="2"/>
  <c r="DI167" i="2"/>
  <c r="EC168" i="2"/>
  <c r="EW168" i="2"/>
  <c r="HI168" i="2"/>
  <c r="EB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H169" i="2" l="1"/>
  <c r="FS169" i="2"/>
  <c r="EA169" i="2"/>
  <c r="EX169" i="2"/>
  <c r="EB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EY171" i="2" s="1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V172" i="2" l="1"/>
  <c r="EW172" i="2"/>
  <c r="HG172" i="2"/>
  <c r="HI172" i="2"/>
  <c r="EA172" i="2"/>
  <c r="ED172" i="2" s="1"/>
  <c r="EB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EW173" i="2"/>
  <c r="HH173" i="2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HH174" i="2" l="1"/>
  <c r="HG174" i="2"/>
  <c r="EC174" i="2"/>
  <c r="EA174" i="2"/>
  <c r="ED174" i="2" s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AA175" i="2" l="1"/>
  <c r="EW175" i="2"/>
  <c r="EB175" i="2"/>
  <c r="HI175" i="2"/>
  <c r="EA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C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S177" i="2" l="1"/>
  <c r="HH177" i="2"/>
  <c r="EC177" i="2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Q178" i="2" l="1"/>
  <c r="HH178" i="2"/>
  <c r="EB178" i="2"/>
  <c r="HG178" i="2"/>
  <c r="FS178" i="2"/>
  <c r="EA178" i="2"/>
  <c r="EW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DF179" i="2" l="1"/>
  <c r="EB179" i="2"/>
  <c r="HI179" i="2"/>
  <c r="EV179" i="2"/>
  <c r="EA179" i="2"/>
  <c r="HH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EX180" i="2" l="1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D180" i="2" s="1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HG181" i="2" l="1"/>
  <c r="FS181" i="2"/>
  <c r="EW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FS182" i="2"/>
  <c r="EC182" i="2"/>
  <c r="EX182" i="2"/>
  <c r="EA182" i="2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FS183" i="2" l="1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W185" i="2" l="1"/>
  <c r="HH185" i="2"/>
  <c r="HG185" i="2"/>
  <c r="HI185" i="2"/>
  <c r="EB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D185" i="2"/>
  <c r="FR186" i="2"/>
  <c r="EA186" i="2"/>
  <c r="HG186" i="2"/>
  <c r="HH186" i="2"/>
  <c r="EW186" i="2"/>
  <c r="EB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G187" i="2" l="1"/>
  <c r="EB187" i="2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HH188" i="2"/>
  <c r="HG188" i="2"/>
  <c r="FS188" i="2"/>
  <c r="EC188" i="2"/>
  <c r="EV188" i="2"/>
  <c r="EY188" i="2" s="1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B189" i="2" l="1"/>
  <c r="AA189" i="2"/>
  <c r="EV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V190" i="2" l="1"/>
  <c r="EW190" i="2"/>
  <c r="HG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G191" i="2" l="1"/>
  <c r="HH191" i="2"/>
  <c r="EW191" i="2"/>
  <c r="HI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HH192" i="2" l="1"/>
  <c r="HG192" i="2"/>
  <c r="EA192" i="2"/>
  <c r="EW192" i="2"/>
  <c r="EC192" i="2"/>
  <c r="HI192" i="2"/>
  <c r="EV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G194" i="2" l="1"/>
  <c r="FQ194" i="2"/>
  <c r="HI194" i="2"/>
  <c r="CN193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AA195" i="2" l="1"/>
  <c r="EB195" i="2"/>
  <c r="HI195" i="2"/>
  <c r="EA195" i="2"/>
  <c r="EX195" i="2"/>
  <c r="DH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G196" i="2" l="1"/>
  <c r="HH196" i="2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C197" i="2" l="1"/>
  <c r="EW197" i="2"/>
  <c r="EA197" i="2"/>
  <c r="FS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W199" i="2" l="1"/>
  <c r="HG199" i="2"/>
  <c r="EB199" i="2"/>
  <c r="EA199" i="2"/>
  <c r="HH199" i="2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AB199" i="2"/>
  <c r="BX4" i="2" a="1"/>
  <c r="BX4" i="2" s="1"/>
  <c r="BY4" i="2" s="1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DI200" i="2"/>
  <c r="FS201" i="2" l="1"/>
  <c r="HH201" i="2"/>
  <c r="EA201" i="2"/>
  <c r="EB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HG202" i="2" l="1"/>
  <c r="FR202" i="2"/>
  <c r="HH202" i="2"/>
  <c r="EX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19" i="2" a="1"/>
  <c r="AH1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55" i="2" a="1"/>
  <c r="BC55" i="2" s="1"/>
  <c r="BC32" i="2" a="1"/>
  <c r="BC32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FD82" i="2" a="1"/>
  <c r="FD82" i="2" s="1"/>
  <c r="DN187" i="2" a="1"/>
  <c r="DN187" i="2" s="1"/>
  <c r="HJ202" i="2"/>
  <c r="EY202" i="2"/>
  <c r="AX200" i="2"/>
  <c r="FR203" i="2" l="1"/>
  <c r="BX107" i="2" a="1"/>
  <c r="BX107" i="2" s="1"/>
  <c r="HG203" i="2"/>
  <c r="BP203" i="2"/>
  <c r="BC130" i="2" a="1"/>
  <c r="BC130" i="2" s="1"/>
  <c r="BC192" i="2" a="1"/>
  <c r="BC192" i="2" s="1"/>
  <c r="BC38" i="2" a="1"/>
  <c r="BC38" i="2" s="1"/>
  <c r="BC18" i="2" a="1"/>
  <c r="BC18" i="2" s="1"/>
  <c r="BC83" i="2" a="1"/>
  <c r="BC83" i="2" s="1"/>
  <c r="BC151" i="2" a="1"/>
  <c r="BC151" i="2" s="1"/>
  <c r="BC143" i="2" a="1"/>
  <c r="BC143" i="2" s="1"/>
  <c r="BC31" i="2" a="1"/>
  <c r="BC31" i="2" s="1"/>
  <c r="BC84" i="2" a="1"/>
  <c r="BC84" i="2" s="1"/>
  <c r="BC47" i="2" a="1"/>
  <c r="BC47" i="2" s="1"/>
  <c r="BC164" i="2" a="1"/>
  <c r="BC164" i="2" s="1"/>
  <c r="AH166" i="2" a="1"/>
  <c r="AH166" i="2" s="1"/>
  <c r="AH92" i="2" a="1"/>
  <c r="AH92" i="2" s="1"/>
  <c r="BC117" i="2" a="1"/>
  <c r="BC117" i="2" s="1"/>
  <c r="BC181" i="2" a="1"/>
  <c r="BC181" i="2" s="1"/>
  <c r="BC65" i="2" a="1"/>
  <c r="BC65" i="2" s="1"/>
  <c r="BC114" i="2" a="1"/>
  <c r="BC114" i="2" s="1"/>
  <c r="BC126" i="2" a="1"/>
  <c r="BC126" i="2" s="1"/>
  <c r="BC82" i="2" a="1"/>
  <c r="BC82" i="2" s="1"/>
  <c r="BC68" i="2" a="1"/>
  <c r="BC68" i="2" s="1"/>
  <c r="BC58" i="2" a="1"/>
  <c r="BC58" i="2" s="1"/>
  <c r="BC34" i="2" a="1"/>
  <c r="BC34" i="2" s="1"/>
  <c r="BC7" i="2" a="1"/>
  <c r="BC7" i="2" s="1"/>
  <c r="BD7" i="2" s="1"/>
  <c r="BC185" i="2" a="1"/>
  <c r="BC185" i="2" s="1"/>
  <c r="AH199" i="2" a="1"/>
  <c r="AH199" i="2" s="1"/>
  <c r="AH90" i="2" a="1"/>
  <c r="AH90" i="2" s="1"/>
  <c r="AH151" i="2" a="1"/>
  <c r="AH151" i="2" s="1"/>
  <c r="FS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9" i="2" l="1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CN203" i="2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CD60" i="2" l="1"/>
  <c r="CD122" i="2"/>
  <c r="CD156" i="2"/>
  <c r="CD95" i="2"/>
  <c r="CD166" i="2"/>
  <c r="CD146" i="2"/>
  <c r="CD68" i="2"/>
  <c r="CD182" i="2"/>
  <c r="CD151" i="2"/>
  <c r="CD96" i="2"/>
  <c r="CD115" i="2"/>
  <c r="CD77" i="2"/>
  <c r="CD101" i="2"/>
  <c r="CD183" i="2"/>
  <c r="CD47" i="2"/>
  <c r="CD7" i="2"/>
  <c r="CD168" i="2"/>
  <c r="CD86" i="2"/>
  <c r="CD172" i="2"/>
  <c r="CD14" i="2"/>
  <c r="CD150" i="2"/>
  <c r="CD51" i="2"/>
  <c r="CD66" i="2"/>
  <c r="CD179" i="2"/>
  <c r="CD25" i="2"/>
  <c r="CD112" i="2"/>
  <c r="CD202" i="2"/>
  <c r="CD184" i="2"/>
  <c r="CD110" i="2"/>
  <c r="CD188" i="2"/>
  <c r="CD126" i="2"/>
  <c r="CD161" i="2"/>
  <c r="CD154" i="2"/>
  <c r="CD75" i="2"/>
  <c r="CD33" i="2"/>
  <c r="CD70" i="2"/>
  <c r="CD79" i="2"/>
  <c r="CD119" i="2"/>
  <c r="CD64" i="2"/>
  <c r="CD67" i="2"/>
  <c r="CD194" i="2"/>
  <c r="CD132" i="2"/>
  <c r="CD93" i="2"/>
  <c r="CD20" i="2"/>
  <c r="CD16" i="2"/>
  <c r="CD170" i="2"/>
  <c r="CD12" i="2"/>
  <c r="CD19" i="2"/>
  <c r="CD152" i="2"/>
  <c r="CD37" i="2"/>
  <c r="CD35" i="2"/>
  <c r="CD88" i="2"/>
  <c r="CD174" i="2"/>
  <c r="CD26" i="2"/>
  <c r="CD45" i="2"/>
  <c r="CD180" i="2"/>
  <c r="CD55" i="2"/>
  <c r="CD54" i="2"/>
  <c r="CD189" i="2"/>
  <c r="CD50" i="2"/>
  <c r="CD23" i="2"/>
  <c r="CD105" i="2"/>
  <c r="CD131" i="2"/>
  <c r="CD106" i="2"/>
  <c r="CD42" i="2"/>
  <c r="CD98" i="2"/>
  <c r="CD142" i="2"/>
  <c r="CD91" i="2"/>
  <c r="CD125" i="2"/>
  <c r="CD144" i="2"/>
  <c r="CD69" i="2"/>
  <c r="CD24" i="2"/>
  <c r="CD52" i="2"/>
  <c r="CD65" i="2"/>
  <c r="CD71" i="2"/>
  <c r="CD145" i="2"/>
  <c r="CD44" i="2"/>
  <c r="CD27" i="2"/>
  <c r="CD63" i="2"/>
  <c r="CD163" i="2"/>
  <c r="CD128" i="2"/>
  <c r="CD30" i="2"/>
  <c r="CD56" i="2"/>
  <c r="CD81" i="2"/>
  <c r="CD10" i="2"/>
  <c r="CD153" i="2"/>
  <c r="CD185" i="2"/>
  <c r="CD46" i="2"/>
  <c r="CD13" i="2"/>
  <c r="CD100" i="2"/>
  <c r="CD186" i="2"/>
  <c r="CD197" i="2"/>
  <c r="CD190" i="2"/>
  <c r="CD195" i="2"/>
  <c r="CD196" i="2"/>
  <c r="CD21" i="2"/>
  <c r="CD87" i="2"/>
  <c r="CD109" i="2"/>
  <c r="CD171" i="2"/>
  <c r="CD203" i="2"/>
  <c r="CD201" i="2"/>
  <c r="CD57" i="2"/>
  <c r="CD140" i="2"/>
  <c r="CD155" i="2"/>
  <c r="CD137" i="2"/>
  <c r="CD159" i="2"/>
  <c r="CD141" i="2"/>
  <c r="CD162" i="2"/>
  <c r="CD135" i="2"/>
  <c r="CD127" i="2"/>
  <c r="CD5" i="2"/>
  <c r="CD102" i="2"/>
  <c r="CD176" i="2"/>
  <c r="CD82" i="2"/>
  <c r="CD121" i="2"/>
  <c r="CD177" i="2"/>
  <c r="CD80" i="2"/>
  <c r="CD157" i="2"/>
  <c r="CD48" i="2"/>
  <c r="CD4" i="2"/>
  <c r="CD107" i="2"/>
  <c r="CD187" i="2"/>
  <c r="CD84" i="2"/>
  <c r="CD104" i="2"/>
  <c r="CD39" i="2"/>
  <c r="CD58" i="2"/>
  <c r="CD169" i="2"/>
  <c r="CD28" i="2"/>
  <c r="CD133" i="2"/>
  <c r="CD17" i="2"/>
  <c r="CD199" i="2"/>
  <c r="CD22" i="2"/>
  <c r="CD108" i="2"/>
  <c r="CD32" i="2"/>
  <c r="CD62" i="2"/>
  <c r="CD99" i="2"/>
  <c r="CD73" i="2"/>
  <c r="CD34" i="2"/>
  <c r="CD192" i="2"/>
  <c r="CD43" i="2"/>
  <c r="CD76" i="2"/>
  <c r="CD120" i="2"/>
  <c r="CD143" i="2"/>
  <c r="CD164" i="2"/>
  <c r="CD114" i="2"/>
  <c r="CD85" i="2"/>
  <c r="CD78" i="2"/>
  <c r="CD200" i="2"/>
  <c r="CD193" i="2"/>
  <c r="CD97" i="2"/>
  <c r="CD11" i="2"/>
  <c r="CD8" i="2"/>
  <c r="CD111" i="2"/>
  <c r="CD123" i="2"/>
  <c r="CD83" i="2"/>
  <c r="CD31" i="2"/>
  <c r="CD117" i="2"/>
  <c r="CD41" i="2"/>
  <c r="CD181" i="2"/>
  <c r="CD147" i="2"/>
  <c r="CD89" i="2"/>
  <c r="CD165" i="2"/>
  <c r="CD6" i="2"/>
  <c r="CD149" i="2"/>
  <c r="CD173" i="2"/>
  <c r="CD129" i="2"/>
  <c r="CD130" i="2"/>
  <c r="CD175" i="2"/>
  <c r="CD103" i="2"/>
  <c r="CD138" i="2"/>
  <c r="CD38" i="2"/>
  <c r="CD15" i="2"/>
  <c r="CD61" i="2"/>
  <c r="CD92" i="2"/>
  <c r="CD18" i="2"/>
  <c r="CD36" i="2"/>
  <c r="CD94" i="2"/>
  <c r="CD139" i="2"/>
  <c r="CD167" i="2"/>
  <c r="CD3" i="2"/>
  <c r="C9" i="4" s="1"/>
  <c r="E9" i="4" s="1"/>
  <c r="F9" i="4" s="1"/>
  <c r="G9" i="4" s="1"/>
  <c r="L9" i="4" s="1"/>
  <c r="CD178" i="2"/>
  <c r="CD90" i="2"/>
  <c r="CD59" i="2"/>
  <c r="CD72" i="2"/>
  <c r="CD118" i="2"/>
  <c r="CD74" i="2"/>
  <c r="CD124" i="2"/>
  <c r="CD116" i="2"/>
  <c r="CD191" i="2"/>
  <c r="CD113" i="2"/>
  <c r="CD29" i="2"/>
  <c r="CD134" i="2"/>
  <c r="CD158" i="2"/>
  <c r="CD198" i="2"/>
  <c r="CD40" i="2"/>
  <c r="CD148" i="2"/>
  <c r="CD160" i="2"/>
  <c r="CD136" i="2"/>
  <c r="CD9" i="2"/>
  <c r="CD49" i="2"/>
  <c r="CD53" i="2"/>
  <c r="FE120" i="2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AN100" i="2" l="1"/>
  <c r="AN156" i="2"/>
  <c r="AN168" i="2"/>
  <c r="AN20" i="2"/>
  <c r="AN146" i="2"/>
  <c r="AN197" i="2"/>
  <c r="AN82" i="2"/>
  <c r="AN171" i="2"/>
  <c r="AN166" i="2"/>
  <c r="AN32" i="2"/>
  <c r="AN28" i="2"/>
  <c r="AN17" i="2"/>
  <c r="AN30" i="2"/>
  <c r="AN76" i="2"/>
  <c r="AN71" i="2"/>
  <c r="AN77" i="2"/>
  <c r="AN145" i="2"/>
  <c r="AN24" i="2"/>
  <c r="AN50" i="2"/>
  <c r="AN101" i="2"/>
  <c r="AN133" i="2"/>
  <c r="AN67" i="2"/>
  <c r="AN47" i="2"/>
  <c r="AN95" i="2"/>
  <c r="AN93" i="2"/>
  <c r="AN21" i="2"/>
  <c r="AN159" i="2"/>
  <c r="AN108" i="2"/>
  <c r="AN199" i="2"/>
  <c r="AN15" i="2"/>
  <c r="AN55" i="2"/>
  <c r="AN188" i="2"/>
  <c r="AN150" i="2"/>
  <c r="AN184" i="2"/>
  <c r="AN6" i="2"/>
  <c r="AN89" i="2"/>
  <c r="AN86" i="2"/>
  <c r="AN111" i="2"/>
  <c r="AN105" i="2"/>
  <c r="AN161" i="2"/>
  <c r="AN131" i="2"/>
  <c r="AN165" i="2"/>
  <c r="AN22" i="2"/>
  <c r="AN191" i="2"/>
  <c r="AN59" i="2"/>
  <c r="AN46" i="2"/>
  <c r="AN201" i="2"/>
  <c r="AN64" i="2"/>
  <c r="AN58" i="2"/>
  <c r="AN121" i="2"/>
  <c r="AN61" i="2"/>
  <c r="AN153" i="2"/>
  <c r="AN163" i="2"/>
  <c r="AN81" i="2"/>
  <c r="AN176" i="2"/>
  <c r="AN172" i="2"/>
  <c r="AN164" i="2"/>
  <c r="AN203" i="2"/>
  <c r="AN92" i="2"/>
  <c r="AN160" i="2"/>
  <c r="AN174" i="2"/>
  <c r="AN127" i="2"/>
  <c r="AN192" i="2"/>
  <c r="AN144" i="2"/>
  <c r="AN39" i="2"/>
  <c r="AN167" i="2"/>
  <c r="AN180" i="2"/>
  <c r="AN44" i="2"/>
  <c r="AN194" i="2"/>
  <c r="AN151" i="2"/>
  <c r="AN53" i="2"/>
  <c r="AN48" i="2"/>
  <c r="AN41" i="2"/>
  <c r="AN116" i="2"/>
  <c r="AN126" i="2"/>
  <c r="AN12" i="2"/>
  <c r="AN112" i="2"/>
  <c r="AN88" i="2"/>
  <c r="AN138" i="2"/>
  <c r="AN170" i="2"/>
  <c r="AN4" i="2"/>
  <c r="AN68" i="2"/>
  <c r="AN190" i="2"/>
  <c r="AN14" i="2"/>
  <c r="AN193" i="2"/>
  <c r="AN43" i="2"/>
  <c r="AN178" i="2"/>
  <c r="AN97" i="2"/>
  <c r="AN79" i="2"/>
  <c r="AN19" i="2"/>
  <c r="AN198" i="2"/>
  <c r="AN135" i="2"/>
  <c r="AN78" i="2"/>
  <c r="AN25" i="2"/>
  <c r="AN147" i="2"/>
  <c r="AN42" i="2"/>
  <c r="AN80" i="2"/>
  <c r="AN120" i="2"/>
  <c r="AN140" i="2"/>
  <c r="AN122" i="2"/>
  <c r="AN113" i="2"/>
  <c r="AN98" i="2"/>
  <c r="AN36" i="2"/>
  <c r="AN124" i="2"/>
  <c r="AN29" i="2"/>
  <c r="AN196" i="2"/>
  <c r="AN137" i="2"/>
  <c r="AN139" i="2"/>
  <c r="AN10" i="2"/>
  <c r="AN34" i="2"/>
  <c r="AN56" i="2"/>
  <c r="AN110" i="2"/>
  <c r="AN35" i="2"/>
  <c r="AN8" i="2"/>
  <c r="AN117" i="2"/>
  <c r="AN49" i="2"/>
  <c r="AN31" i="2"/>
  <c r="AN51" i="2"/>
  <c r="AN130" i="2"/>
  <c r="AN13" i="2"/>
  <c r="AN84" i="2"/>
  <c r="AN102" i="2"/>
  <c r="AN128" i="2"/>
  <c r="AN94" i="2"/>
  <c r="AN134" i="2"/>
  <c r="AN26" i="2"/>
  <c r="AN69" i="2"/>
  <c r="AN118" i="2"/>
  <c r="AN45" i="2"/>
  <c r="AN202" i="2"/>
  <c r="AN16" i="2"/>
  <c r="AN152" i="2"/>
  <c r="AN33" i="2"/>
  <c r="AN52" i="2"/>
  <c r="AN63" i="2"/>
  <c r="AN143" i="2"/>
  <c r="AN179" i="2"/>
  <c r="AN109" i="2"/>
  <c r="AN158" i="2"/>
  <c r="AN72" i="2"/>
  <c r="AN142" i="2"/>
  <c r="AN83" i="2"/>
  <c r="AN7" i="2"/>
  <c r="AN129" i="2"/>
  <c r="AN87" i="2"/>
  <c r="AN57" i="2"/>
  <c r="AN37" i="2"/>
  <c r="AN195" i="2"/>
  <c r="AN18" i="2"/>
  <c r="AN107" i="2"/>
  <c r="AN182" i="2"/>
  <c r="AN132" i="2"/>
  <c r="AN62" i="2"/>
  <c r="AN115" i="2"/>
  <c r="AN157" i="2"/>
  <c r="AN90" i="2"/>
  <c r="AN66" i="2"/>
  <c r="AN11" i="2"/>
  <c r="AN187" i="2"/>
  <c r="AN154" i="2"/>
  <c r="AN162" i="2"/>
  <c r="AN181" i="2"/>
  <c r="AN119" i="2"/>
  <c r="AN141" i="2"/>
  <c r="AN114" i="2"/>
  <c r="AN104" i="2"/>
  <c r="AN23" i="2"/>
  <c r="AN70" i="2"/>
  <c r="AN125" i="2"/>
  <c r="AN169" i="2"/>
  <c r="AN65" i="2"/>
  <c r="AN54" i="2"/>
  <c r="AN186" i="2"/>
  <c r="AN200" i="2"/>
  <c r="AN73" i="2"/>
  <c r="AN177" i="2"/>
  <c r="AN99" i="2"/>
  <c r="AN189" i="2"/>
  <c r="AN27" i="2"/>
  <c r="AN91" i="2"/>
  <c r="AN96" i="2"/>
  <c r="AN40" i="2"/>
  <c r="AN3" i="2"/>
  <c r="C7" i="4" s="1"/>
  <c r="E7" i="4" s="1"/>
  <c r="F7" i="4" s="1"/>
  <c r="G7" i="4" s="1"/>
  <c r="L7" i="4" s="1"/>
  <c r="AN149" i="2"/>
  <c r="AN123" i="2"/>
  <c r="AN106" i="2"/>
  <c r="AN103" i="2"/>
  <c r="AN75" i="2"/>
  <c r="AN148" i="2"/>
  <c r="AN85" i="2"/>
  <c r="AN175" i="2"/>
  <c r="AN183" i="2"/>
  <c r="AN74" i="2"/>
  <c r="AN9" i="2"/>
  <c r="AN173" i="2"/>
  <c r="AN155" i="2"/>
  <c r="AN5" i="2"/>
  <c r="AN38" i="2"/>
  <c r="AN60" i="2"/>
  <c r="AN185" i="2"/>
  <c r="AN136" i="2"/>
  <c r="FE181" i="2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I47" i="2" l="1"/>
  <c r="BI25" i="2"/>
  <c r="BI190" i="2"/>
  <c r="BI171" i="2"/>
  <c r="BI43" i="2"/>
  <c r="BI46" i="2"/>
  <c r="BI79" i="2"/>
  <c r="BI192" i="2"/>
  <c r="BI151" i="2"/>
  <c r="BI53" i="2"/>
  <c r="BI78" i="2"/>
  <c r="BI38" i="2"/>
  <c r="BI20" i="2"/>
  <c r="BI82" i="2"/>
  <c r="BI177" i="2"/>
  <c r="BI99" i="2"/>
  <c r="BI19" i="2"/>
  <c r="BI164" i="2"/>
  <c r="BI153" i="2"/>
  <c r="BI141" i="2"/>
  <c r="BI160" i="2"/>
  <c r="BI54" i="2"/>
  <c r="BI112" i="2"/>
  <c r="BI110" i="2"/>
  <c r="BI132" i="2"/>
  <c r="BI159" i="2"/>
  <c r="BI37" i="2"/>
  <c r="BI35" i="2"/>
  <c r="BI111" i="2"/>
  <c r="BI9" i="2"/>
  <c r="BI75" i="2"/>
  <c r="BI5" i="2"/>
  <c r="BI191" i="2"/>
  <c r="BI170" i="2"/>
  <c r="BI152" i="2"/>
  <c r="BI162" i="2"/>
  <c r="BI39" i="2"/>
  <c r="BI139" i="2"/>
  <c r="BI154" i="2"/>
  <c r="BI83" i="2"/>
  <c r="BI40" i="2"/>
  <c r="BI122" i="2"/>
  <c r="BI59" i="2"/>
  <c r="BI178" i="2"/>
  <c r="BI26" i="2"/>
  <c r="BI52" i="2"/>
  <c r="BI57" i="2"/>
  <c r="BI73" i="2"/>
  <c r="BI156" i="2"/>
  <c r="BI147" i="2"/>
  <c r="BI16" i="2"/>
  <c r="BI100" i="2"/>
  <c r="BI109" i="2"/>
  <c r="BI62" i="2"/>
  <c r="BI103" i="2"/>
  <c r="BI13" i="2"/>
  <c r="BI44" i="2"/>
  <c r="BI113" i="2"/>
  <c r="BI143" i="2"/>
  <c r="BI50" i="2"/>
  <c r="BI183" i="2"/>
  <c r="BI60" i="2"/>
  <c r="BI184" i="2"/>
  <c r="BI71" i="2"/>
  <c r="BI155" i="2"/>
  <c r="BI193" i="2"/>
  <c r="BI15" i="2"/>
  <c r="BI168" i="2"/>
  <c r="BI55" i="2"/>
  <c r="BI27" i="2"/>
  <c r="BI94" i="2"/>
  <c r="BI128" i="2"/>
  <c r="BI125" i="2"/>
  <c r="BI91" i="2"/>
  <c r="BI48" i="2"/>
  <c r="BI23" i="2"/>
  <c r="BI180" i="2"/>
  <c r="BI102" i="2"/>
  <c r="BI10" i="2"/>
  <c r="BI129" i="2"/>
  <c r="BI45" i="2"/>
  <c r="BI136" i="2"/>
  <c r="BI49" i="2"/>
  <c r="BI93" i="2"/>
  <c r="BI117" i="2"/>
  <c r="BI116" i="2"/>
  <c r="BI97" i="2"/>
  <c r="BI133" i="2"/>
  <c r="BI12" i="2"/>
  <c r="BI202" i="2"/>
  <c r="BI176" i="2"/>
  <c r="BI96" i="2"/>
  <c r="BI201" i="2"/>
  <c r="BI149" i="2"/>
  <c r="BI114" i="2"/>
  <c r="BI22" i="2"/>
  <c r="BI137" i="2"/>
  <c r="BI169" i="2"/>
  <c r="BI84" i="2"/>
  <c r="BI198" i="2"/>
  <c r="BI66" i="2"/>
  <c r="BI92" i="2"/>
  <c r="BI182" i="2"/>
  <c r="BI138" i="2"/>
  <c r="BI199" i="2"/>
  <c r="BI166" i="2"/>
  <c r="BI172" i="2"/>
  <c r="BI119" i="2"/>
  <c r="BI64" i="2"/>
  <c r="BI163" i="2"/>
  <c r="BI140" i="2"/>
  <c r="BI68" i="2"/>
  <c r="BI115" i="2"/>
  <c r="BI186" i="2"/>
  <c r="BI142" i="2"/>
  <c r="BI107" i="2"/>
  <c r="BI58" i="2"/>
  <c r="BI24" i="2"/>
  <c r="BI3" i="2"/>
  <c r="C8" i="4" s="1"/>
  <c r="E8" i="4" s="1"/>
  <c r="F8" i="4" s="1"/>
  <c r="G8" i="4" s="1"/>
  <c r="L8" i="4" s="1"/>
  <c r="BI181" i="2"/>
  <c r="BI189" i="2"/>
  <c r="BI14" i="2"/>
  <c r="BI95" i="2"/>
  <c r="BI88" i="2"/>
  <c r="BI120" i="2"/>
  <c r="BI6" i="2"/>
  <c r="BI61" i="2"/>
  <c r="BI8" i="2"/>
  <c r="BI173" i="2"/>
  <c r="BI87" i="2"/>
  <c r="BI80" i="2"/>
  <c r="BI167" i="2"/>
  <c r="BI106" i="2"/>
  <c r="BI81" i="2"/>
  <c r="BI144" i="2"/>
  <c r="BI69" i="2"/>
  <c r="BI29" i="2"/>
  <c r="BI196" i="2"/>
  <c r="BI65" i="2"/>
  <c r="BI41" i="2"/>
  <c r="BI90" i="2"/>
  <c r="BI158" i="2"/>
  <c r="BI130" i="2"/>
  <c r="BI77" i="2"/>
  <c r="BI18" i="2"/>
  <c r="BI126" i="2"/>
  <c r="BI118" i="2"/>
  <c r="BI195" i="2"/>
  <c r="BI32" i="2"/>
  <c r="BI89" i="2"/>
  <c r="BI36" i="2"/>
  <c r="BI146" i="2"/>
  <c r="BI7" i="2"/>
  <c r="BI148" i="2"/>
  <c r="BI145" i="2"/>
  <c r="BI185" i="2"/>
  <c r="BI104" i="2"/>
  <c r="BI165" i="2"/>
  <c r="BI174" i="2"/>
  <c r="BI131" i="2"/>
  <c r="BI56" i="2"/>
  <c r="BI76" i="2"/>
  <c r="BI101" i="2"/>
  <c r="BI51" i="2"/>
  <c r="BI42" i="2"/>
  <c r="BI28" i="2"/>
  <c r="BI187" i="2"/>
  <c r="BI11" i="2"/>
  <c r="BI121" i="2"/>
  <c r="BI34" i="2"/>
  <c r="BI150" i="2"/>
  <c r="BI127" i="2"/>
  <c r="BI200" i="2"/>
  <c r="BI123" i="2"/>
  <c r="BI63" i="2"/>
  <c r="BI108" i="2"/>
  <c r="BI31" i="2"/>
  <c r="BI30" i="2"/>
  <c r="BI74" i="2"/>
  <c r="BI98" i="2"/>
  <c r="BI72" i="2"/>
  <c r="BI194" i="2"/>
  <c r="BI86" i="2"/>
  <c r="BI4" i="2"/>
  <c r="BI135" i="2"/>
  <c r="BI70" i="2"/>
  <c r="BI179" i="2"/>
  <c r="BI33" i="2"/>
  <c r="BI134" i="2"/>
  <c r="BI157" i="2"/>
  <c r="BI175" i="2"/>
  <c r="BI203" i="2"/>
  <c r="BI124" i="2"/>
  <c r="BI197" i="2"/>
  <c r="BI21" i="2"/>
  <c r="BI85" i="2"/>
  <c r="BI17" i="2"/>
  <c r="BI161" i="2"/>
  <c r="BI188" i="2"/>
  <c r="BI105" i="2"/>
  <c r="BI67" i="2"/>
  <c r="BF119" i="2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<sst xmlns="http://schemas.openxmlformats.org/spreadsheetml/2006/main" count="1173" uniqueCount="325">
  <si>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</si>
  <si>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</si>
  <si>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</si>
  <si>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</si>
  <si>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</si>
  <si>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</si>
  <si>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</si>
  <si>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</si>
  <si>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</si>
  <si>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</si>
  <si>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</si>
  <si>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</si>
  <si>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</si>
  <si>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</si>
  <si>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</si>
  <si>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</si>
  <si>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</si>
  <si>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</si>
  <si>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</si>
  <si>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</si>
  <si>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</si>
  <si>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</si>
  <si>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</si>
  <si>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</si>
  <si>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</si>
  <si>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</si>
  <si>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</si>
  <si>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</si>
  <si>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</si>
  <si>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</si>
  <si>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</si>
  <si>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</si>
  <si>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</si>
  <si>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</si>
  <si>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</si>
  <si>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</si>
  <si>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</si>
  <si>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</si>
  <si>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</si>
  <si>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</si>
  <si>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</si>
  <si>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</si>
  <si>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</si>
  <si>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</si>
  <si>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</si>
  <si>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</si>
  <si>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</si>
  <si>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</si>
  <si>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</si>
  <si>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</si>
  <si>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</si>
  <si>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</si>
  <si>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</si>
  <si>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</si>
  <si>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</si>
  <si>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</si>
  <si>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</si>
  <si>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</si>
  <si>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</si>
  <si>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</si>
  <si>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</si>
  <si>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</si>
  <si>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</si>
  <si>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</si>
  <si>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</si>
  <si>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</si>
  <si>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</si>
  <si>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</si>
  <si>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</si>
  <si>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</si>
  <si>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</si>
  <si>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</si>
  <si>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</si>
  <si>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</si>
  <si>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</si>
  <si>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</si>
  <si>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</si>
  <si>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</si>
  <si>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</si>
  <si>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</si>
  <si>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</si>
  <si>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</si>
  <si>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</si>
  <si>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</si>
  <si>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</si>
  <si>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</si>
  <si>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</si>
  <si>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</si>
  <si>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</si>
  <si>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</si>
  <si>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</si>
  <si>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</si>
  <si>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</si>
  <si>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</si>
  <si>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</si>
  <si>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</si>
  <si>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</si>
  <si>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</si>
  <si>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</si>
  <si>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</si>
  <si>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</si>
  <si>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</si>
  <si>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</si>
  <si>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</si>
  <si>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</si>
  <si>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</si>
  <si>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</si>
  <si>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</si>
  <si>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</si>
  <si>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</si>
  <si>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</si>
  <si>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</si>
  <si>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</si>
  <si>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</si>
  <si>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</si>
  <si>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</si>
  <si>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</si>
  <si>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</si>
  <si>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</si>
  <si>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</si>
  <si>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</si>
  <si>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</si>
  <si>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</si>
  <si>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</si>
  <si>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</si>
  <si>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</si>
  <si>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</si>
  <si>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</si>
  <si>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</si>
  <si>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</si>
  <si>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</si>
  <si>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</si>
  <si>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</si>
  <si>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</si>
  <si>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</si>
  <si>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</si>
  <si>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</si>
  <si>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</si>
  <si>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</si>
  <si>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</si>
  <si>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</si>
  <si>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</si>
  <si>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</si>
  <si>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</si>
  <si>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</si>
  <si>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</si>
  <si>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</si>
  <si>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</si>
  <si>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</si>
  <si>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</si>
  <si>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</si>
  <si>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</si>
  <si>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</si>
  <si>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</si>
  <si>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</si>
  <si>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</si>
  <si>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</si>
  <si>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</si>
  <si>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</si>
  <si>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</si>
  <si>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</si>
  <si>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</si>
  <si>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</si>
  <si>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</si>
  <si>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</si>
  <si>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</si>
  <si>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</si>
  <si>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</si>
  <si>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</si>
  <si>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</si>
  <si>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</si>
  <si>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</si>
  <si>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</si>
  <si>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</si>
  <si>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</si>
  <si>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</si>
  <si>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</si>
  <si>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</si>
  <si>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</si>
  <si>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</si>
  <si>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</si>
  <si>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</si>
  <si>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</si>
  <si>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</si>
  <si>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</si>
  <si>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</si>
  <si>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</si>
  <si>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</si>
  <si>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</si>
  <si>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</si>
  <si>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</si>
  <si>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</si>
  <si>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</si>
  <si>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</si>
  <si>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</si>
  <si>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</si>
  <si>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</si>
  <si>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</si>
  <si>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</si>
  <si>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</si>
  <si>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</si>
  <si>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</si>
  <si>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</si>
  <si>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</si>
  <si>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</si>
  <si>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</si>
  <si>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</si>
  <si>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</si>
  <si>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</si>
  <si>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</si>
  <si>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</si>
  <si>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</si>
  <si>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</si>
  <si>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</si>
  <si>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</si>
  <si>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</si>
  <si>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</si>
  <si>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</si>
  <si>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</si>
  <si>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</si>
  <si>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</si>
  <si>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</si>
  <si>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</si>
  <si>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</si>
  <si>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</si>
  <si>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</si>
  <si>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</si>
  <si>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</si>
  <si>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</si>
  <si>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</si>
  <si>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</si>
  <si>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</si>
  <si>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</si>
  <si>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</si>
  <si>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</si>
  <si>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</si>
  <si>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</si>
  <si>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</si>
  <si>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</si>
  <si>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</si>
  <si>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</si>
  <si>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</si>
  <si>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</si>
  <si>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</si>
  <si>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</si>
  <si>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</si>
  <si>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</si>
  <si>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</si>
  <si>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</si>
  <si>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</si>
  <si>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</si>
  <si>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</si>
  <si>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</si>
  <si>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</si>
  <si>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</si>
  <si>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</si>
  <si>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</si>
  <si>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</si>
  <si>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</si>
  <si>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</si>
  <si>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</si>
  <si>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</si>
  <si>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</si>
  <si>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</si>
  <si>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</si>
  <si>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</si>
  <si>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</si>
  <si>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</si>
  <si>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</si>
  <si>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</si>
  <si>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</si>
  <si>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</si>
  <si>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</si>
  <si>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</si>
  <si>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</si>
  <si>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</si>
  <si>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</si>
  <si>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</si>
  <si>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</si>
  <si>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</si>
  <si>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</si>
  <si>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</si>
  <si>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</si>
  <si>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</si>
  <si>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</si>
  <si>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</si>
  <si>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</si>
  <si>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</si>
  <si>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</si>
  <si>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</si>
  <si>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</si>
  <si>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</si>
  <si>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</si>
  <si>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</si>
  <si>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</si>
  <si>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</si>
  <si>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</si>
  <si>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</si>
  <si>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</si>
  <si>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</si>
  <si>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</si>
  <si>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</si>
  <si>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</si>
  <si>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</si>
  <si>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</si>
  <si>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</si>
  <si>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</si>
  <si>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</si>
  <si>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</si>
  <si>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</si>
  <si>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</si>
  <si>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</si>
  <si>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</si>
  <si>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</si>
  <si>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</si>
  <si>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</si>
  <si>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</si>
  <si>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</si>
  <si>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</si>
  <si>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</si>
  <si>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</si>
  <si>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</si>
  <si>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</si>
  <si>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</si>
  <si>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Classe 1/5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</si>
</sst>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  <font>
      <b/>
      <sz val="11"/>
      <color rgb="FFFF0000"/>
      <name val="Calibri"/>
    </font>
    <font>
      <b/>
      <sz val="11"/>
      <color rgb="FFFF0000"/>
      <name val="Calibri"/>
      <family val="2"/>
    </font>
    <font>
      <sz val="11"/>
      <color theme="1"/>
      <name val="Calibri"/>
      <family val="2"/>
    </font>
  </fonts>
  <fills count="2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rgb="FFFFFF99"/>
      </patternFill>
    </fill>
  </fills>
  <borders count="5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1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9" fontId="32" fillId="21" borderId="54" xfId="0" applyNumberFormat="1" applyFont="1" applyFill="1" applyBorder="1" applyAlignment="1" applyProtection="1">
      <alignment horizontal="center"/>
      <protection locked="0"/>
    </xf>
    <xf numFmtId="0" fontId="32" fillId="21" borderId="54" xfId="0" applyFont="1" applyFill="1" applyBorder="1" applyAlignment="1" applyProtection="1">
      <alignment horizontal="center"/>
      <protection locked="0"/>
    </xf>
    <xf numFmtId="1" fontId="32" fillId="21" borderId="54" xfId="0" applyNumberFormat="1" applyFont="1" applyFill="1" applyBorder="1" applyAlignment="1" applyProtection="1">
      <alignment horizontal="center" vertical="center"/>
      <protection locked="0"/>
    </xf>
    <xf numFmtId="1" fontId="32" fillId="21" borderId="54" xfId="0" applyNumberFormat="1" applyFont="1" applyFill="1" applyBorder="1" applyAlignment="1" applyProtection="1">
      <alignment horizontal="center"/>
      <protection locked="0"/>
    </xf>
    <xf numFmtId="9" fontId="33" fillId="21" borderId="54" xfId="0" applyNumberFormat="1" applyFont="1" applyFill="1" applyBorder="1" applyAlignment="1" applyProtection="1">
      <alignment horizontal="center"/>
      <protection locked="0"/>
    </xf>
    <xf numFmtId="0" fontId="33" fillId="21" borderId="54" xfId="0" applyFont="1" applyFill="1" applyBorder="1" applyAlignment="1" applyProtection="1">
      <alignment horizontal="center"/>
      <protection locked="0"/>
    </xf>
    <xf numFmtId="0" fontId="34" fillId="21" borderId="54" xfId="0" applyFont="1" applyFill="1" applyBorder="1" applyAlignment="1" applyProtection="1">
      <alignment horizontal="center" vertical="center"/>
      <protection locked="0"/>
    </xf>
    <xf numFmtId="9" fontId="34" fillId="21" borderId="54" xfId="0" applyNumberFormat="1" applyFont="1" applyFill="1" applyBorder="1" applyAlignment="1" applyProtection="1">
      <alignment horizontal="center" vertical="center"/>
      <protection locked="0"/>
    </xf>
    <xf numFmtId="1" fontId="34" fillId="21" borderId="54" xfId="0" applyNumberFormat="1" applyFont="1" applyFill="1" applyBorder="1" applyAlignment="1" applyProtection="1">
      <alignment horizontal="center" vertical="center"/>
      <protection locked="0"/>
    </xf>
    <xf numFmtId="0" fontId="33" fillId="21" borderId="54" xfId="0" applyFont="1" applyFill="1" applyBorder="1" applyAlignment="1" applyProtection="1">
      <alignment horizontal="center" wrapText="1"/>
      <protection locked="0"/>
    </xf>
    <xf numFmtId="0" fontId="33" fillId="21" borderId="55" xfId="0" applyFont="1" applyFill="1" applyBorder="1" applyAlignment="1" applyProtection="1">
      <alignment horizontal="center"/>
      <protection locked="0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2.2831395831066059</c:v>
                </c:pt>
                <c:pt idx="2">
                  <c:v>3.3622715131356418</c:v>
                </c:pt>
                <c:pt idx="3">
                  <c:v>4.9537668206699985</c:v>
                </c:pt>
                <c:pt idx="4">
                  <c:v>7.3019206751682626</c:v>
                </c:pt>
                <c:pt idx="5">
                  <c:v>10.76796491885821</c:v>
                </c:pt>
                <c:pt idx="6">
                  <c:v>15.886243830543714</c:v>
                </c:pt>
                <c:pt idx="7">
                  <c:v>23.447465214308199</c:v>
                </c:pt>
                <c:pt idx="8">
                  <c:v>34.622115381339128</c:v>
                </c:pt>
                <c:pt idx="9">
                  <c:v>51.143470796173354</c:v>
                </c:pt>
                <c:pt idx="10">
                  <c:v>75.579065897063757</c:v>
                </c:pt>
                <c:pt idx="11">
                  <c:v>111.73348684590691</c:v>
                </c:pt>
                <c:pt idx="12">
                  <c:v>141.78926461478019</c:v>
                </c:pt>
                <c:pt idx="13">
                  <c:v>119.59120534711991</c:v>
                </c:pt>
                <c:pt idx="14">
                  <c:v>146.99966348541213</c:v>
                </c:pt>
                <c:pt idx="15">
                  <c:v>174.28565960860999</c:v>
                </c:pt>
                <c:pt idx="16">
                  <c:v>202.76343275622813</c:v>
                </c:pt>
                <c:pt idx="17">
                  <c:v>232.43676367300131</c:v>
                </c:pt>
                <c:pt idx="18">
                  <c:v>200.17860042757502</c:v>
                </c:pt>
                <c:pt idx="19">
                  <c:v>225.99384895175194</c:v>
                </c:pt>
                <c:pt idx="20">
                  <c:v>253.02728945651543</c:v>
                </c:pt>
                <c:pt idx="21">
                  <c:v>278.7124764590701</c:v>
                </c:pt>
                <c:pt idx="22">
                  <c:v>304.34456023906205</c:v>
                </c:pt>
                <c:pt idx="23">
                  <c:v>253.02728945651543</c:v>
                </c:pt>
                <c:pt idx="24">
                  <c:v>274.86322161173604</c:v>
                </c:pt>
                <c:pt idx="25">
                  <c:v>296.66018896478852</c:v>
                </c:pt>
                <c:pt idx="26">
                  <c:v>319.70048005131179</c:v>
                </c:pt>
                <c:pt idx="27">
                  <c:v>341.42696956725416</c:v>
                </c:pt>
                <c:pt idx="28">
                  <c:v>361.84763005162068</c:v>
                </c:pt>
                <c:pt idx="29">
                  <c:v>382.24310448239459</c:v>
                </c:pt>
                <c:pt idx="30">
                  <c:v>402.61492499148608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2.9186529215796404</c:v>
                </c:pt>
                <c:pt idx="2">
                  <c:v>3.3534568077008267</c:v>
                </c:pt>
                <c:pt idx="3">
                  <c:v>3.8532663192914636</c:v>
                </c:pt>
                <c:pt idx="4">
                  <c:v>4.4278327950572871</c:v>
                </c:pt>
                <c:pt idx="5">
                  <c:v>5.0883749405847851</c:v>
                </c:pt>
                <c:pt idx="6">
                  <c:v>5.8478002794946704</c:v>
                </c:pt>
                <c:pt idx="7">
                  <c:v>6.7209601154527645</c:v>
                </c:pt>
                <c:pt idx="8">
                  <c:v>7.7249430885829424</c:v>
                </c:pt>
                <c:pt idx="9">
                  <c:v>8.8794131827373448</c:v>
                </c:pt>
                <c:pt idx="10">
                  <c:v>10.206998930746167</c:v>
                </c:pt>
                <c:pt idx="11">
                  <c:v>11.733741591167318</c:v>
                </c:pt>
                <c:pt idx="12">
                  <c:v>13.48961125290743</c:v>
                </c:pt>
                <c:pt idx="13">
                  <c:v>15.509101187281574</c:v>
                </c:pt>
                <c:pt idx="14">
                  <c:v>17.831912338165704</c:v>
                </c:pt>
                <c:pt idx="15">
                  <c:v>20.503741651632655</c:v>
                </c:pt>
                <c:pt idx="16">
                  <c:v>23.577190033470387</c:v>
                </c:pt>
                <c:pt idx="17">
                  <c:v>27.112808128482957</c:v>
                </c:pt>
                <c:pt idx="18">
                  <c:v>31.180300888159739</c:v>
                </c:pt>
                <c:pt idx="19">
                  <c:v>35.859915089307655</c:v>
                </c:pt>
                <c:pt idx="20">
                  <c:v>41.24403765031439</c:v>
                </c:pt>
                <c:pt idx="21">
                  <c:v>47.439036838501984</c:v>
                </c:pt>
                <c:pt idx="22">
                  <c:v>54.567383357630831</c:v>
                </c:pt>
                <c:pt idx="23">
                  <c:v>62.770093948303746</c:v>
                </c:pt>
                <c:pt idx="24">
                  <c:v>72.209546640294647</c:v>
                </c:pt>
                <c:pt idx="25">
                  <c:v>83.072724296726975</c:v>
                </c:pt>
                <c:pt idx="26">
                  <c:v>95.57495173783802</c:v>
                </c:pt>
                <c:pt idx="27">
                  <c:v>109.96420170241895</c:v>
                </c:pt>
                <c:pt idx="28">
                  <c:v>126.52605640047564</c:v>
                </c:pt>
                <c:pt idx="29">
                  <c:v>145.58942466484748</c:v>
                </c:pt>
                <c:pt idx="30">
                  <c:v>167.53312999190965</c:v>
                </c:pt>
                <c:pt idx="31">
                  <c:v>184.96016350318428</c:v>
                </c:pt>
                <c:pt idx="32">
                  <c:v>202.34883928900945</c:v>
                </c:pt>
                <c:pt idx="33">
                  <c:v>219.70291837077295</c:v>
                </c:pt>
                <c:pt idx="34">
                  <c:v>237.02551845889454</c:v>
                </c:pt>
                <c:pt idx="35">
                  <c:v>254.31926399689578</c:v>
                </c:pt>
                <c:pt idx="36">
                  <c:v>271.58639316611936</c:v>
                </c:pt>
                <c:pt idx="37">
                  <c:v>288.8288362057155</c:v>
                </c:pt>
                <c:pt idx="38">
                  <c:v>306.04827402630679</c:v>
                </c:pt>
                <c:pt idx="39">
                  <c:v>323.24618292824169</c:v>
                </c:pt>
                <c:pt idx="40">
                  <c:v>340.42386929767707</c:v>
                </c:pt>
                <c:pt idx="41">
                  <c:v>357.58249692924954</c:v>
                </c:pt>
                <c:pt idx="42">
                  <c:v>374.72310882804049</c:v>
                </c:pt>
                <c:pt idx="43">
                  <c:v>303.78697751435874</c:v>
                </c:pt>
                <c:pt idx="44">
                  <c:v>325.03602014386524</c:v>
                </c:pt>
                <c:pt idx="45">
                  <c:v>346.2543772080794</c:v>
                </c:pt>
                <c:pt idx="46">
                  <c:v>367.44419252735889</c:v>
                </c:pt>
                <c:pt idx="47">
                  <c:v>388.60734256263123</c:v>
                </c:pt>
                <c:pt idx="48">
                  <c:v>409.74548280313724</c:v>
                </c:pt>
                <c:pt idx="49">
                  <c:v>430.86008407941728</c:v>
                </c:pt>
                <c:pt idx="50">
                  <c:v>451.95246138590124</c:v>
                </c:pt>
                <c:pt idx="51">
                  <c:v>397.92035882082854</c:v>
                </c:pt>
                <c:pt idx="52">
                  <c:v>419.41147522713595</c:v>
                </c:pt>
                <c:pt idx="53">
                  <c:v>440.87887595456408</c:v>
                </c:pt>
                <c:pt idx="54">
                  <c:v>462.32387734414601</c:v>
                </c:pt>
                <c:pt idx="55">
                  <c:v>483.74766374129086</c:v>
                </c:pt>
                <c:pt idx="56">
                  <c:v>505.15130610985284</c:v>
                </c:pt>
                <c:pt idx="57">
                  <c:v>526.53577732806218</c:v>
                </c:pt>
                <c:pt idx="58">
                  <c:v>547.90196487117373</c:v>
                </c:pt>
                <c:pt idx="59">
                  <c:v>473.53722022194535</c:v>
                </c:pt>
                <c:pt idx="60">
                  <c:v>494.17034673482635</c:v>
                </c:pt>
                <c:pt idx="61">
                  <c:v>514.78522150420747</c:v>
                </c:pt>
                <c:pt idx="62">
                  <c:v>535.38267768945457</c:v>
                </c:pt>
                <c:pt idx="63">
                  <c:v>555.96347916630532</c:v>
                </c:pt>
                <c:pt idx="64">
                  <c:v>576.52832869172391</c:v>
                </c:pt>
                <c:pt idx="65">
                  <c:v>597.07787484385324</c:v>
                </c:pt>
                <c:pt idx="66">
                  <c:v>617.61271795747916</c:v>
                </c:pt>
                <c:pt idx="67">
                  <c:v>531.90342516997828</c:v>
                </c:pt>
                <c:pt idx="68">
                  <c:v>551.45819897917727</c:v>
                </c:pt>
                <c:pt idx="69">
                  <c:v>570.99844206089506</c:v>
                </c:pt>
                <c:pt idx="70">
                  <c:v>590.52472125912175</c:v>
                </c:pt>
                <c:pt idx="71">
                  <c:v>610.0375629062778</c:v>
                </c:pt>
                <c:pt idx="72">
                  <c:v>629.53745694797942</c:v>
                </c:pt>
                <c:pt idx="73">
                  <c:v>649.02486053053724</c:v>
                </c:pt>
                <c:pt idx="74">
                  <c:v>668.50020113551466</c:v>
                </c:pt>
                <c:pt idx="75">
                  <c:v>588.00209201354357</c:v>
                </c:pt>
                <c:pt idx="76">
                  <c:v>607.28602050975746</c:v>
                </c:pt>
                <c:pt idx="77">
                  <c:v>626.55724031624459</c:v>
                </c:pt>
                <c:pt idx="78">
                  <c:v>645.81619700031649</c:v>
                </c:pt>
                <c:pt idx="79">
                  <c:v>665.06330741235854</c:v>
                </c:pt>
                <c:pt idx="80">
                  <c:v>684.29896233097395</c:v>
                </c:pt>
                <c:pt idx="81">
                  <c:v>703.52352879550062</c:v>
                </c:pt>
                <c:pt idx="82">
                  <c:v>722.73735217054275</c:v>
                </c:pt>
                <c:pt idx="83">
                  <c:v>741.9407579797579</c:v>
                </c:pt>
                <c:pt idx="84">
                  <c:v>761.13405354010581</c:v>
                </c:pt>
                <c:pt idx="85">
                  <c:v>650.23104821097297</c:v>
                </c:pt>
                <c:pt idx="86">
                  <c:v>668.42032639223225</c:v>
                </c:pt>
                <c:pt idx="87">
                  <c:v>686.5994300501934</c:v>
                </c:pt>
                <c:pt idx="88">
                  <c:v>704.76866626625076</c:v>
                </c:pt>
                <c:pt idx="89">
                  <c:v>722.92832501246733</c:v>
                </c:pt>
                <c:pt idx="90">
                  <c:v>741.07868051939079</c:v>
                </c:pt>
                <c:pt idx="91">
                  <c:v>759.21999250302849</c:v>
                </c:pt>
                <c:pt idx="92">
                  <c:v>777.35250726856759</c:v>
                </c:pt>
                <c:pt idx="93">
                  <c:v>795.47645870586712</c:v>
                </c:pt>
                <c:pt idx="94">
                  <c:v>813.59206918960172</c:v>
                </c:pt>
                <c:pt idx="95">
                  <c:v>701.50979618330393</c:v>
                </c:pt>
                <c:pt idx="96">
                  <c:v>719.12756160931042</c:v>
                </c:pt>
                <c:pt idx="97">
                  <c:v>736.73651972550203</c:v>
                </c:pt>
                <c:pt idx="98">
                  <c:v>754.33691048556659</c:v>
                </c:pt>
                <c:pt idx="99">
                  <c:v>771.92896174398845</c:v>
                </c:pt>
                <c:pt idx="100">
                  <c:v>789.5128901335562</c:v>
                </c:pt>
                <c:pt idx="101">
                  <c:v>807.08890186071812</c:v>
                </c:pt>
                <c:pt idx="102">
                  <c:v>824.65719342812201</c:v>
                </c:pt>
                <c:pt idx="103">
                  <c:v>842.21795229245436</c:v>
                </c:pt>
                <c:pt idx="104">
                  <c:v>859.77135746461897</c:v>
                </c:pt>
                <c:pt idx="105">
                  <c:v>751.01755796856844</c:v>
                </c:pt>
                <c:pt idx="106">
                  <c:v>768.32401464044585</c:v>
                </c:pt>
                <c:pt idx="107">
                  <c:v>785.62256940259431</c:v>
                </c:pt>
                <c:pt idx="108">
                  <c:v>802.91342057869667</c:v>
                </c:pt>
                <c:pt idx="109">
                  <c:v>820.19675726305456</c:v>
                </c:pt>
                <c:pt idx="110">
                  <c:v>837.47275993947562</c:v>
                </c:pt>
                <c:pt idx="111">
                  <c:v>854.74160104649525</c:v>
                </c:pt>
                <c:pt idx="112">
                  <c:v>872.00344549459544</c:v>
                </c:pt>
                <c:pt idx="113">
                  <c:v>889.25845114039157</c:v>
                </c:pt>
                <c:pt idx="114">
                  <c:v>906.50676922213916</c:v>
                </c:pt>
                <c:pt idx="115">
                  <c:v>806.67639883068159</c:v>
                </c:pt>
                <c:pt idx="116">
                  <c:v>824.12975286944311</c:v>
                </c:pt>
                <c:pt idx="117">
                  <c:v>841.57566719594763</c:v>
                </c:pt>
                <c:pt idx="118">
                  <c:v>859.01431759046989</c:v>
                </c:pt>
                <c:pt idx="119">
                  <c:v>876.44587212254692</c:v>
                </c:pt>
                <c:pt idx="120">
                  <c:v>893.87049163895199</c:v>
                </c:pt>
                <c:pt idx="121">
                  <c:v>911.28833021168464</c:v>
                </c:pt>
                <c:pt idx="122">
                  <c:v>928.69953554997494</c:v>
                </c:pt>
                <c:pt idx="123">
                  <c:v>946.10424937982225</c:v>
                </c:pt>
                <c:pt idx="124">
                  <c:v>963.50260779418988</c:v>
                </c:pt>
                <c:pt idx="125">
                  <c:v>871.5330444266657</c:v>
                </c:pt>
                <c:pt idx="126">
                  <c:v>889.28979874386732</c:v>
                </c:pt>
                <c:pt idx="127">
                  <c:v>907.03947123791067</c:v>
                </c:pt>
                <c:pt idx="128">
                  <c:v>924.782219844937</c:v>
                </c:pt>
                <c:pt idx="129">
                  <c:v>942.51819595424388</c:v>
                </c:pt>
                <c:pt idx="130">
                  <c:v>960.24754480024455</c:v>
                </c:pt>
                <c:pt idx="131">
                  <c:v>977.97040582400894</c:v>
                </c:pt>
                <c:pt idx="132">
                  <c:v>995.68691300727494</c:v>
                </c:pt>
                <c:pt idx="133">
                  <c:v>1013.3971951814802</c:v>
                </c:pt>
                <c:pt idx="134">
                  <c:v>1031.1013763141029</c:v>
                </c:pt>
                <c:pt idx="135">
                  <c:v>934.34732566570358</c:v>
                </c:pt>
                <c:pt idx="136">
                  <c:v>952.21745226618202</c:v>
                </c:pt>
                <c:pt idx="137">
                  <c:v>970.08092639249298</c:v>
                </c:pt>
                <c:pt idx="138">
                  <c:v>987.93788764287194</c:v>
                </c:pt>
                <c:pt idx="139">
                  <c:v>1005.7884701643774</c:v>
                </c:pt>
                <c:pt idx="140">
                  <c:v>1023.6328029606674</c:v>
                </c:pt>
                <c:pt idx="141">
                  <c:v>1041.4710101772337</c:v>
                </c:pt>
                <c:pt idx="142">
                  <c:v>1059.3032113661056</c:v>
                </c:pt>
                <c:pt idx="143">
                  <c:v>1077.1295217318266</c:v>
                </c:pt>
                <c:pt idx="144">
                  <c:v>1094.9500523603294</c:v>
                </c:pt>
                <c:pt idx="145">
                  <c:v>996.51262678240073</c:v>
                </c:pt>
                <c:pt idx="146">
                  <c:v>1014.7666457953819</c:v>
                </c:pt>
                <c:pt idx="147">
                  <c:v>1033.0141930648815</c:v>
                </c:pt>
                <c:pt idx="148">
                  <c:v>1051.2553988533821</c:v>
                </c:pt>
                <c:pt idx="149">
                  <c:v>1069.4903885407077</c:v>
                </c:pt>
                <c:pt idx="150">
                  <c:v>1087.7192828888385</c:v>
                </c:pt>
                <c:pt idx="151">
                  <c:v>1105.9421982880806</c:v>
                </c:pt>
                <c:pt idx="152">
                  <c:v>1124.1592469861921</c:v>
                </c:pt>
                <c:pt idx="153">
                  <c:v>1142.3705373019091</c:v>
                </c:pt>
                <c:pt idx="154">
                  <c:v>1160.576173824167</c:v>
                </c:pt>
                <c:pt idx="155">
                  <c:v>1064.380379744247</c:v>
                </c:pt>
                <c:pt idx="156">
                  <c:v>1082.902410920804</c:v>
                </c:pt>
                <c:pt idx="157">
                  <c:v>1101.4182390875162</c:v>
                </c:pt>
                <c:pt idx="158">
                  <c:v>1119.9279830552393</c:v>
                </c:pt>
                <c:pt idx="159">
                  <c:v>1138.4317573933313</c:v>
                </c:pt>
                <c:pt idx="160">
                  <c:v>1156.9296726489297</c:v>
                </c:pt>
                <c:pt idx="161">
                  <c:v>1175.4218355514965</c:v>
                </c:pt>
                <c:pt idx="162">
                  <c:v>1193.908349203846</c:v>
                </c:pt>
                <c:pt idx="163">
                  <c:v>1212.3893132607429</c:v>
                </c:pt>
                <c:pt idx="164">
                  <c:v>1230.8648240960699</c:v>
                </c:pt>
                <c:pt idx="165">
                  <c:v>1125.6985677204759</c:v>
                </c:pt>
                <c:pt idx="166">
                  <c:v>1144.3710200294324</c:v>
                </c:pt>
                <c:pt idx="167">
                  <c:v>1163.0375400520536</c:v>
                </c:pt>
                <c:pt idx="168">
                  <c:v>1181.6982362620067</c:v>
                </c:pt>
                <c:pt idx="169">
                  <c:v>1200.3532134332577</c:v>
                </c:pt>
                <c:pt idx="170">
                  <c:v>1219.0025728229407</c:v>
                </c:pt>
                <c:pt idx="171">
                  <c:v>1237.6464123424739</c:v>
                </c:pt>
                <c:pt idx="172">
                  <c:v>1256.2848267178426</c:v>
                </c:pt>
                <c:pt idx="173">
                  <c:v>1274.9179076398987</c:v>
                </c:pt>
                <c:pt idx="174">
                  <c:v>1293.5457439054287</c:v>
                </c:pt>
                <c:pt idx="175">
                  <c:v>841.53173202498567</c:v>
                </c:pt>
                <c:pt idx="176">
                  <c:v>836.78227693510962</c:v>
                </c:pt>
                <c:pt idx="177">
                  <c:v>832.03227984504099</c:v>
                </c:pt>
                <c:pt idx="178">
                  <c:v>588.64910359098781</c:v>
                </c:pt>
                <c:pt idx="179">
                  <c:v>587.11058270701153</c:v>
                </c:pt>
                <c:pt idx="180">
                  <c:v>585.57197782129811</c:v>
                </c:pt>
                <c:pt idx="181">
                  <c:v>419.54414325629926</c:v>
                </c:pt>
                <c:pt idx="182">
                  <c:v>417.86715275844568</c:v>
                </c:pt>
                <c:pt idx="183">
                  <c:v>416.19001717197904</c:v>
                </c:pt>
                <c:pt idx="184">
                  <c:v>49.91225159574433</c:v>
                </c:pt>
                <c:pt idx="185">
                  <c:v>49.91225159574433</c:v>
                </c:pt>
                <c:pt idx="186">
                  <c:v>49.91225159574433</c:v>
                </c:pt>
                <c:pt idx="187">
                  <c:v>49.91225159574433</c:v>
                </c:pt>
                <c:pt idx="188">
                  <c:v>49.91225159574433</c:v>
                </c:pt>
                <c:pt idx="189">
                  <c:v>49.91225159574433</c:v>
                </c:pt>
                <c:pt idx="190">
                  <c:v>49.91225159574433</c:v>
                </c:pt>
                <c:pt idx="191">
                  <c:v>49.91225159574433</c:v>
                </c:pt>
                <c:pt idx="192">
                  <c:v>49.91225159574433</c:v>
                </c:pt>
                <c:pt idx="193">
                  <c:v>49.91225159574433</c:v>
                </c:pt>
                <c:pt idx="194">
                  <c:v>49.91225159574433</c:v>
                </c:pt>
                <c:pt idx="195">
                  <c:v>49.91225159574433</c:v>
                </c:pt>
                <c:pt idx="196">
                  <c:v>49.91225159574433</c:v>
                </c:pt>
                <c:pt idx="197">
                  <c:v>49.91225159574433</c:v>
                </c:pt>
                <c:pt idx="198">
                  <c:v>49.91225159574433</c:v>
                </c:pt>
                <c:pt idx="199">
                  <c:v>49.91225159574433</c:v>
                </c:pt>
                <c:pt idx="200">
                  <c:v>49.91225159574433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4.4" x14ac:dyDescent="0.3"/>
  <cols>
    <col min="1" max="1" width="6.6640625" customWidth="1"/>
    <col min="2" max="13" width="15.77734375" customWidth="1"/>
  </cols>
  <sheetData>
    <row r="12" spans="2:13" ht="15" customHeight="1" x14ac:dyDescent="0.3">
      <c r="B12" s="266" t="s">
        <v>291</v>
      </c>
      <c r="C12" s="266"/>
      <c r="D12" s="266"/>
      <c r="E12" s="266"/>
      <c r="F12" s="266"/>
      <c r="G12" s="266"/>
      <c r="H12" s="266"/>
      <c r="I12" s="266"/>
      <c r="J12" s="266"/>
      <c r="K12" s="266"/>
      <c r="L12" s="266"/>
      <c r="M12" s="266"/>
    </row>
    <row r="13" spans="2:13" ht="15" customHeight="1" x14ac:dyDescent="0.3">
      <c r="B13" s="266"/>
      <c r="C13" s="266"/>
      <c r="D13" s="266"/>
      <c r="E13" s="266"/>
      <c r="F13" s="266"/>
      <c r="G13" s="266"/>
      <c r="H13" s="266"/>
      <c r="I13" s="266"/>
      <c r="J13" s="266"/>
      <c r="K13" s="266"/>
      <c r="L13" s="266"/>
      <c r="M13" s="266"/>
    </row>
    <row r="14" spans="2:13" ht="15" customHeight="1" x14ac:dyDescent="0.3">
      <c r="B14" s="266"/>
      <c r="C14" s="266"/>
      <c r="D14" s="266"/>
      <c r="E14" s="266"/>
      <c r="F14" s="266"/>
      <c r="G14" s="266"/>
      <c r="H14" s="266"/>
      <c r="I14" s="266"/>
      <c r="J14" s="266"/>
      <c r="K14" s="266"/>
      <c r="L14" s="266"/>
      <c r="M14" s="266"/>
    </row>
    <row r="15" spans="2:13" ht="18.75" customHeight="1" x14ac:dyDescent="0.3">
      <c r="B15" s="266"/>
      <c r="C15" s="266"/>
      <c r="D15" s="266"/>
      <c r="E15" s="266"/>
      <c r="F15" s="266"/>
      <c r="G15" s="266"/>
      <c r="H15" s="266"/>
      <c r="I15" s="266"/>
      <c r="J15" s="266"/>
      <c r="K15" s="266"/>
      <c r="L15" s="266"/>
      <c r="M15" s="266"/>
    </row>
    <row r="16" spans="2:13" ht="18.75" customHeight="1" x14ac:dyDescent="0.3">
      <c r="B16" s="266"/>
      <c r="C16" s="266"/>
      <c r="D16" s="266"/>
      <c r="E16" s="266"/>
      <c r="F16" s="266"/>
      <c r="G16" s="266"/>
      <c r="H16" s="266"/>
      <c r="I16" s="266"/>
      <c r="J16" s="266"/>
      <c r="K16" s="266"/>
      <c r="L16" s="266"/>
      <c r="M16" s="266"/>
    </row>
    <row r="18" spans="2:13" ht="12" customHeight="1" x14ac:dyDescent="0.3">
      <c r="B18" s="266" t="s">
        <v>292</v>
      </c>
      <c r="C18" s="266"/>
      <c r="D18" s="266"/>
      <c r="E18" s="266"/>
      <c r="F18" s="266"/>
      <c r="G18" s="266"/>
      <c r="H18" s="266"/>
      <c r="I18" s="266"/>
      <c r="J18" s="266"/>
      <c r="K18" s="266"/>
      <c r="L18" s="266"/>
      <c r="M18" s="266"/>
    </row>
    <row r="19" spans="2:13" ht="12" customHeight="1" x14ac:dyDescent="0.3">
      <c r="B19" s="266"/>
      <c r="C19" s="266"/>
      <c r="D19" s="266"/>
      <c r="E19" s="266"/>
      <c r="F19" s="266"/>
      <c r="G19" s="266"/>
      <c r="H19" s="266"/>
      <c r="I19" s="266"/>
      <c r="J19" s="266"/>
      <c r="K19" s="266"/>
      <c r="L19" s="266"/>
      <c r="M19" s="266"/>
    </row>
    <row r="20" spans="2:13" ht="12" customHeight="1" x14ac:dyDescent="0.3">
      <c r="B20" s="266"/>
      <c r="C20" s="266"/>
      <c r="D20" s="266"/>
      <c r="E20" s="266"/>
      <c r="F20" s="266"/>
      <c r="G20" s="266"/>
      <c r="H20" s="266"/>
      <c r="I20" s="266"/>
      <c r="J20" s="266"/>
      <c r="K20" s="266"/>
      <c r="L20" s="266"/>
      <c r="M20" s="266"/>
    </row>
    <row r="21" spans="2:13" ht="12" customHeight="1" x14ac:dyDescent="0.3">
      <c r="B21" s="266"/>
      <c r="C21" s="266"/>
      <c r="D21" s="266"/>
      <c r="E21" s="266"/>
      <c r="F21" s="266"/>
      <c r="G21" s="266"/>
      <c r="H21" s="266"/>
      <c r="I21" s="266"/>
      <c r="J21" s="266"/>
      <c r="K21" s="266"/>
      <c r="L21" s="266"/>
      <c r="M21" s="266"/>
    </row>
    <row r="22" spans="2:13" ht="12" customHeight="1" x14ac:dyDescent="0.3">
      <c r="B22" s="266"/>
      <c r="C22" s="266"/>
      <c r="D22" s="266"/>
      <c r="E22" s="266"/>
      <c r="F22" s="266"/>
      <c r="G22" s="266"/>
      <c r="H22" s="266"/>
      <c r="I22" s="266"/>
      <c r="J22" s="266"/>
      <c r="K22" s="266"/>
      <c r="L22" s="266"/>
      <c r="M22" s="266"/>
    </row>
    <row r="23" spans="2:13" ht="12" customHeight="1" x14ac:dyDescent="0.3">
      <c r="B23" s="266"/>
      <c r="C23" s="266"/>
      <c r="D23" s="266"/>
      <c r="E23" s="266"/>
      <c r="F23" s="266"/>
      <c r="G23" s="266"/>
      <c r="H23" s="266"/>
      <c r="I23" s="266"/>
      <c r="J23" s="266"/>
      <c r="K23" s="266"/>
      <c r="L23" s="266"/>
      <c r="M23" s="266"/>
    </row>
    <row r="24" spans="2:13" ht="12" customHeight="1" x14ac:dyDescent="0.3">
      <c r="B24" s="266"/>
      <c r="C24" s="266"/>
      <c r="D24" s="266"/>
      <c r="E24" s="266"/>
      <c r="F24" s="266"/>
      <c r="G24" s="266"/>
      <c r="H24" s="266"/>
      <c r="I24" s="266"/>
      <c r="J24" s="266"/>
      <c r="K24" s="266"/>
      <c r="L24" s="266"/>
      <c r="M24" s="266"/>
    </row>
    <row r="25" spans="2:13" ht="12" customHeight="1" x14ac:dyDescent="0.3">
      <c r="B25" s="266"/>
      <c r="C25" s="266"/>
      <c r="D25" s="266"/>
      <c r="E25" s="266"/>
      <c r="F25" s="266"/>
      <c r="G25" s="266"/>
      <c r="H25" s="266"/>
      <c r="I25" s="266"/>
      <c r="J25" s="266"/>
      <c r="K25" s="266"/>
      <c r="L25" s="266"/>
      <c r="M25" s="266"/>
    </row>
    <row r="26" spans="2:13" ht="12" customHeight="1" x14ac:dyDescent="0.3">
      <c r="B26" s="266"/>
      <c r="C26" s="266"/>
      <c r="D26" s="266"/>
      <c r="E26" s="266"/>
      <c r="F26" s="266"/>
      <c r="G26" s="266"/>
      <c r="H26" s="266"/>
      <c r="I26" s="266"/>
      <c r="J26" s="266"/>
      <c r="K26" s="266"/>
      <c r="L26" s="266"/>
      <c r="M26" s="266"/>
    </row>
    <row r="27" spans="2:13" ht="12" customHeight="1" x14ac:dyDescent="0.3">
      <c r="B27" s="266"/>
      <c r="C27" s="266"/>
      <c r="D27" s="266"/>
      <c r="E27" s="266"/>
      <c r="F27" s="266"/>
      <c r="G27" s="266"/>
      <c r="H27" s="266"/>
      <c r="I27" s="266"/>
      <c r="J27" s="266"/>
      <c r="K27" s="266"/>
      <c r="L27" s="266"/>
      <c r="M27" s="266"/>
    </row>
    <row r="28" spans="2:13" ht="12" customHeight="1" x14ac:dyDescent="0.3">
      <c r="B28" s="266"/>
      <c r="C28" s="266"/>
      <c r="D28" s="266"/>
      <c r="E28" s="266"/>
      <c r="F28" s="266"/>
      <c r="G28" s="266"/>
      <c r="H28" s="266"/>
      <c r="I28" s="266"/>
      <c r="J28" s="266"/>
      <c r="K28" s="266"/>
      <c r="L28" s="266"/>
      <c r="M28" s="266"/>
    </row>
    <row r="29" spans="2:13" ht="12" customHeight="1" x14ac:dyDescent="0.3">
      <c r="B29" s="266"/>
      <c r="C29" s="266"/>
      <c r="D29" s="266"/>
      <c r="E29" s="266"/>
      <c r="F29" s="266"/>
      <c r="G29" s="266"/>
      <c r="H29" s="266"/>
      <c r="I29" s="266"/>
      <c r="J29" s="266"/>
      <c r="K29" s="266"/>
      <c r="L29" s="266"/>
      <c r="M29" s="266"/>
    </row>
    <row r="30" spans="2:13" ht="12" customHeight="1" x14ac:dyDescent="0.3">
      <c r="B30" s="266"/>
      <c r="C30" s="266"/>
      <c r="D30" s="266"/>
      <c r="E30" s="266"/>
      <c r="F30" s="266"/>
      <c r="G30" s="266"/>
      <c r="H30" s="266"/>
      <c r="I30" s="266"/>
      <c r="J30" s="266"/>
      <c r="K30" s="266"/>
      <c r="L30" s="266"/>
      <c r="M30" s="266"/>
    </row>
    <row r="31" spans="2:13" ht="12" customHeight="1" x14ac:dyDescent="0.3">
      <c r="B31" s="266"/>
      <c r="C31" s="266"/>
      <c r="D31" s="266"/>
      <c r="E31" s="266"/>
      <c r="F31" s="266"/>
      <c r="G31" s="266"/>
      <c r="H31" s="266"/>
      <c r="I31" s="266"/>
      <c r="J31" s="266"/>
      <c r="K31" s="266"/>
      <c r="L31" s="266"/>
      <c r="M31" s="266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zoomScale="80" zoomScaleNormal="80" workbookViewId="0">
      <selection activeCell="F21" sqref="F21"/>
    </sheetView>
  </sheetViews>
  <sheetFormatPr baseColWidth="10" defaultColWidth="11.44140625" defaultRowHeight="14.4" x14ac:dyDescent="0.3"/>
  <cols>
    <col min="1" max="1" width="13.6640625" style="23" customWidth="1"/>
    <col min="2" max="2" width="36.109375" style="23" customWidth="1"/>
    <col min="3" max="3" width="14.77734375" style="23" bestFit="1" customWidth="1"/>
    <col min="4" max="4" width="16.44140625" style="23" customWidth="1"/>
    <col min="5" max="5" width="23.33203125" style="23" customWidth="1"/>
    <col min="6" max="6" width="28.77734375" style="23" bestFit="1" customWidth="1"/>
    <col min="7" max="8" width="14.6640625" style="23" customWidth="1"/>
    <col min="9" max="9" width="17" style="23" customWidth="1"/>
    <col min="10" max="10" width="13.77734375" style="23" customWidth="1"/>
    <col min="11" max="16384" width="11.44140625" style="23"/>
  </cols>
  <sheetData>
    <row r="1" spans="1:38" x14ac:dyDescent="0.3">
      <c r="A1" s="4"/>
      <c r="B1" s="4"/>
      <c r="C1" s="267" t="s">
        <v>190</v>
      </c>
      <c r="D1" s="267"/>
      <c r="E1" s="267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09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72" t="s">
        <v>192</v>
      </c>
      <c r="C3" s="273"/>
      <c r="D3" s="273"/>
      <c r="E3" s="273"/>
      <c r="F3" s="274"/>
      <c r="G3" s="87"/>
      <c r="I3" s="209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88"/>
      <c r="B4" s="88"/>
      <c r="C4" s="88"/>
      <c r="D4" s="88"/>
      <c r="E4" s="88"/>
      <c r="F4" s="88"/>
      <c r="G4" s="216"/>
      <c r="I4" s="209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77" t="s">
        <v>231</v>
      </c>
      <c r="B5" s="277"/>
      <c r="C5" s="24">
        <v>2.4500000000000002</v>
      </c>
      <c r="D5" s="278" t="s">
        <v>229</v>
      </c>
      <c r="E5" s="279"/>
      <c r="F5" s="88"/>
      <c r="G5" s="216"/>
      <c r="H5" s="216"/>
      <c r="I5" s="216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89"/>
      <c r="B6" s="89"/>
      <c r="C6" s="4"/>
      <c r="D6" s="85"/>
      <c r="E6" s="85"/>
      <c r="F6" s="26"/>
      <c r="G6" s="203"/>
      <c r="H6" s="203"/>
      <c r="I6" s="203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76" t="s">
        <v>226</v>
      </c>
      <c r="B7" s="276"/>
      <c r="C7" s="88"/>
      <c r="D7" s="88"/>
      <c r="E7" s="4"/>
      <c r="F7" s="88"/>
      <c r="G7" s="216"/>
      <c r="H7" s="216"/>
      <c r="I7" s="216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G8" s="23" t="s">
        <v>324</v>
      </c>
      <c r="I8" s="223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165</v>
      </c>
      <c r="B9" s="261" t="s">
        <v>36</v>
      </c>
      <c r="C9" s="262">
        <v>0.97765363128491622</v>
      </c>
      <c r="D9" s="33">
        <f t="shared" ref="D9:D18" si="0">C9*$C$5</f>
        <v>2.3952513966480451</v>
      </c>
      <c r="E9" s="263">
        <v>30</v>
      </c>
      <c r="F9" s="35" t="str">
        <f t="array" ref="F9">IF(E9="","",IF(INDEX(A:A,MAX(IF(ISNUMBER($A$36:$A$55),ROW($A$36:$A$55),"")))&lt;&gt;E9,"Corrigez : révolution incorrecte","OK"))</f>
        <v>OK</v>
      </c>
      <c r="G9" s="226" t="s">
        <v>306</v>
      </c>
      <c r="I9" s="22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166</v>
      </c>
      <c r="B10" s="261" t="s">
        <v>15</v>
      </c>
      <c r="C10" s="262">
        <v>2.2346368715083796E-2</v>
      </c>
      <c r="D10" s="33">
        <f t="shared" si="0"/>
        <v>5.4748603351955305E-2</v>
      </c>
      <c r="E10" s="263">
        <v>183</v>
      </c>
      <c r="F10" s="35" t="str">
        <f t="array" ref="F10">IF(E10="","",IF(INDEX(A:A,MAX(IF(ISNUMBER($A$62:$A$81),ROW($A$62:$A$81),"")))&lt;&gt;E10,"Corrigez : révolution incorrecte","OK"))</f>
        <v>OK</v>
      </c>
      <c r="G10" s="23" t="s">
        <v>324</v>
      </c>
      <c r="I10" s="22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167</v>
      </c>
      <c r="B11" s="261"/>
      <c r="C11" s="262"/>
      <c r="D11" s="33">
        <f t="shared" si="0"/>
        <v>0</v>
      </c>
      <c r="E11" s="263"/>
      <c r="F11" s="35" t="str">
        <f t="array" ref="F11">IF(E11="","",IF(INDEX(A:A,MAX(IF(ISNUMBER($A$88:$A$107),ROW($A$88:$A$107),"")))&lt;&gt;E11,"Corrigez : révolution incorrecte","OK"))</f>
        <v/>
      </c>
      <c r="I11" s="22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168</v>
      </c>
      <c r="B12" s="261"/>
      <c r="C12" s="262"/>
      <c r="D12" s="33">
        <f t="shared" si="0"/>
        <v>0</v>
      </c>
      <c r="E12" s="263"/>
      <c r="F12" s="35" t="str">
        <f t="array" ref="F12">IF(E12="","",IF(INDEX(A:A,MAX(IF(ISNUMBER($A$114:$A$133),ROW($A$114:$A$133),"")))&lt;&gt;E12,"Corrigez : révolution incorrecte","OK"))</f>
        <v/>
      </c>
      <c r="I12" s="22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7"/>
      <c r="B19" s="36" t="s">
        <v>175</v>
      </c>
      <c r="C19" s="37">
        <f>SUM(C9:C18)</f>
        <v>1</v>
      </c>
      <c r="D19" s="38">
        <f>SUM(D9:D18)</f>
        <v>2.4500000000000002</v>
      </c>
      <c r="E19" s="4"/>
      <c r="F19" s="90"/>
      <c r="G19" s="217"/>
      <c r="H19" s="217"/>
      <c r="I19" s="217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7"/>
      <c r="B20" s="39" t="s">
        <v>230</v>
      </c>
      <c r="C20" s="40" t="str">
        <f>IF(C19&gt;100%,"Erreur : corrigez","OK")</f>
        <v>OK</v>
      </c>
      <c r="D20" s="220"/>
      <c r="F20" s="203"/>
      <c r="G20" s="203"/>
      <c r="H20" s="217"/>
      <c r="I20" s="217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18"/>
      <c r="I21" s="218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75" t="s">
        <v>232</v>
      </c>
      <c r="B22" s="275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218</v>
      </c>
      <c r="B24" s="42" t="s">
        <v>224</v>
      </c>
      <c r="C24" s="43">
        <v>0.2</v>
      </c>
      <c r="D24" s="44" t="s">
        <v>233</v>
      </c>
      <c r="E24" s="91"/>
      <c r="F24" s="91"/>
      <c r="G24" s="200"/>
      <c r="I24" s="200"/>
      <c r="J24" s="219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220</v>
      </c>
      <c r="B25" s="42" t="s">
        <v>219</v>
      </c>
      <c r="C25" s="45">
        <v>0.1</v>
      </c>
      <c r="D25" s="92"/>
      <c r="E25" s="4"/>
      <c r="F25" s="92"/>
      <c r="G25" s="219"/>
      <c r="I25" s="219"/>
      <c r="J25" s="219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222</v>
      </c>
      <c r="B26" s="42" t="s">
        <v>221</v>
      </c>
      <c r="C26" s="43">
        <v>0.15</v>
      </c>
      <c r="D26" s="44" t="s">
        <v>234</v>
      </c>
      <c r="E26" s="91"/>
      <c r="F26" s="91"/>
      <c r="G26" s="200"/>
      <c r="I26" s="200"/>
      <c r="J26" s="200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223</v>
      </c>
      <c r="B27" s="42" t="s">
        <v>225</v>
      </c>
      <c r="C27" s="43">
        <v>0</v>
      </c>
      <c r="D27" s="44" t="s">
        <v>235</v>
      </c>
      <c r="E27" s="91"/>
      <c r="F27" s="91"/>
      <c r="G27" s="200"/>
      <c r="I27" s="200"/>
      <c r="J27" s="200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76" t="s">
        <v>227</v>
      </c>
      <c r="B30" s="276"/>
      <c r="D30" s="221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1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165</v>
      </c>
      <c r="B32" s="47" t="str">
        <f>IF(B9="","",B9)</f>
        <v>Pin maritime</v>
      </c>
      <c r="D32" s="227" t="s">
        <v>307</v>
      </c>
      <c r="K32" s="221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21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4" t="s">
        <v>185</v>
      </c>
      <c r="C34" s="268" t="s">
        <v>186</v>
      </c>
      <c r="D34" s="268"/>
      <c r="E34" s="269" t="s">
        <v>187</v>
      </c>
      <c r="F34" s="270"/>
      <c r="G34" s="270"/>
      <c r="H34" s="271"/>
      <c r="I34" s="93"/>
      <c r="J34" s="221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2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264">
        <v>11</v>
      </c>
      <c r="B36" s="264">
        <v>83</v>
      </c>
      <c r="C36" s="264"/>
      <c r="D36" s="264"/>
      <c r="E36" s="259"/>
      <c r="F36" s="259"/>
      <c r="G36" s="259"/>
      <c r="H36" s="259"/>
      <c r="I36" s="49">
        <f>IFERROR(B36/A36,"")</f>
        <v>7.5454545454545459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264">
        <v>12</v>
      </c>
      <c r="B37" s="264">
        <v>106</v>
      </c>
      <c r="C37" s="264">
        <v>1</v>
      </c>
      <c r="D37" s="264">
        <v>34</v>
      </c>
      <c r="E37" s="259"/>
      <c r="F37" s="259"/>
      <c r="G37" s="259">
        <v>1</v>
      </c>
      <c r="H37" s="259"/>
      <c r="I37" s="53">
        <f t="shared" ref="I37:I55" si="1">IF(A37&lt;&gt;0,(B37-(B36-D36))/(A37-A36),"")</f>
        <v>23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264">
        <v>13</v>
      </c>
      <c r="B38" s="264">
        <v>89</v>
      </c>
      <c r="C38" s="264"/>
      <c r="D38" s="264"/>
      <c r="E38" s="259"/>
      <c r="F38" s="259"/>
      <c r="G38" s="259"/>
      <c r="H38" s="259"/>
      <c r="I38" s="53">
        <f t="shared" si="1"/>
        <v>17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264">
        <v>14</v>
      </c>
      <c r="B39" s="264">
        <v>110</v>
      </c>
      <c r="C39" s="264"/>
      <c r="D39" s="264"/>
      <c r="E39" s="259"/>
      <c r="F39" s="259"/>
      <c r="G39" s="259"/>
      <c r="H39" s="259"/>
      <c r="I39" s="49">
        <f t="shared" si="1"/>
        <v>21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264">
        <v>15</v>
      </c>
      <c r="B40" s="264">
        <v>131</v>
      </c>
      <c r="C40" s="264"/>
      <c r="D40" s="264"/>
      <c r="E40" s="259"/>
      <c r="F40" s="259"/>
      <c r="G40" s="259"/>
      <c r="H40" s="259"/>
      <c r="I40" s="49">
        <f t="shared" si="1"/>
        <v>21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264">
        <v>16</v>
      </c>
      <c r="B41" s="264">
        <v>153</v>
      </c>
      <c r="C41" s="264"/>
      <c r="D41" s="264"/>
      <c r="E41" s="259"/>
      <c r="F41" s="259"/>
      <c r="G41" s="259"/>
      <c r="H41" s="259"/>
      <c r="I41" s="53">
        <f t="shared" si="1"/>
        <v>22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264">
        <v>17</v>
      </c>
      <c r="B42" s="264">
        <v>176</v>
      </c>
      <c r="C42" s="264">
        <v>2</v>
      </c>
      <c r="D42" s="264">
        <v>43</v>
      </c>
      <c r="E42" s="259">
        <v>0.25</v>
      </c>
      <c r="F42" s="259">
        <v>0.75</v>
      </c>
      <c r="G42" s="259"/>
      <c r="H42" s="259"/>
      <c r="I42" s="53">
        <f t="shared" si="1"/>
        <v>23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264">
        <v>18</v>
      </c>
      <c r="B43" s="264">
        <v>151</v>
      </c>
      <c r="C43" s="264"/>
      <c r="D43" s="264"/>
      <c r="E43" s="259"/>
      <c r="F43" s="259"/>
      <c r="G43" s="259"/>
      <c r="H43" s="259"/>
      <c r="I43" s="49">
        <f t="shared" si="1"/>
        <v>18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264">
        <v>19</v>
      </c>
      <c r="B44" s="264">
        <v>171</v>
      </c>
      <c r="C44" s="264"/>
      <c r="D44" s="264"/>
      <c r="E44" s="259"/>
      <c r="F44" s="259"/>
      <c r="G44" s="259"/>
      <c r="H44" s="259"/>
      <c r="I44" s="49">
        <f t="shared" si="1"/>
        <v>20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264">
        <v>20</v>
      </c>
      <c r="B45" s="260">
        <v>192</v>
      </c>
      <c r="C45" s="264"/>
      <c r="D45" s="260"/>
      <c r="E45" s="259"/>
      <c r="F45" s="259"/>
      <c r="G45" s="259"/>
      <c r="H45" s="259"/>
      <c r="I45" s="49">
        <f t="shared" si="1"/>
        <v>21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264">
        <v>21</v>
      </c>
      <c r="B46" s="265">
        <v>212</v>
      </c>
      <c r="C46" s="264"/>
      <c r="D46" s="265"/>
      <c r="E46" s="259"/>
      <c r="F46" s="259"/>
      <c r="G46" s="259"/>
      <c r="H46" s="259"/>
      <c r="I46" s="49">
        <f t="shared" si="1"/>
        <v>20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264">
        <v>22</v>
      </c>
      <c r="B47" s="260">
        <v>232</v>
      </c>
      <c r="C47" s="264">
        <v>3</v>
      </c>
      <c r="D47" s="260">
        <v>56</v>
      </c>
      <c r="E47" s="259">
        <v>0.6</v>
      </c>
      <c r="F47" s="259">
        <v>0.4</v>
      </c>
      <c r="G47" s="259"/>
      <c r="H47" s="259"/>
      <c r="I47" s="49">
        <f t="shared" si="1"/>
        <v>20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264">
        <v>23</v>
      </c>
      <c r="B48" s="260">
        <v>192</v>
      </c>
      <c r="C48" s="264"/>
      <c r="D48" s="260"/>
      <c r="E48" s="259"/>
      <c r="F48" s="259"/>
      <c r="G48" s="259"/>
      <c r="H48" s="259"/>
      <c r="I48" s="49">
        <f t="shared" si="1"/>
        <v>16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264">
        <v>24</v>
      </c>
      <c r="B49" s="260">
        <v>209</v>
      </c>
      <c r="C49" s="264"/>
      <c r="D49" s="260"/>
      <c r="E49" s="259"/>
      <c r="F49" s="259"/>
      <c r="G49" s="259"/>
      <c r="H49" s="259"/>
      <c r="I49" s="49">
        <f t="shared" si="1"/>
        <v>17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260">
        <v>25</v>
      </c>
      <c r="B50" s="260">
        <v>226</v>
      </c>
      <c r="C50" s="260"/>
      <c r="D50" s="260"/>
      <c r="E50" s="259"/>
      <c r="F50" s="259"/>
      <c r="G50" s="259"/>
      <c r="H50" s="259"/>
      <c r="I50" s="49">
        <f t="shared" si="1"/>
        <v>17</v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260">
        <v>26</v>
      </c>
      <c r="B51" s="260">
        <v>244</v>
      </c>
      <c r="C51" s="260"/>
      <c r="D51" s="260"/>
      <c r="E51" s="259"/>
      <c r="F51" s="259"/>
      <c r="G51" s="259"/>
      <c r="H51" s="259"/>
      <c r="I51" s="49">
        <f t="shared" si="1"/>
        <v>18</v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260">
        <v>27</v>
      </c>
      <c r="B52" s="260">
        <v>261</v>
      </c>
      <c r="C52" s="260"/>
      <c r="D52" s="260"/>
      <c r="E52" s="259"/>
      <c r="F52" s="259"/>
      <c r="G52" s="259"/>
      <c r="H52" s="259"/>
      <c r="I52" s="49">
        <f t="shared" si="1"/>
        <v>17</v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260">
        <v>28</v>
      </c>
      <c r="B53" s="260">
        <v>277</v>
      </c>
      <c r="C53" s="260"/>
      <c r="D53" s="260"/>
      <c r="E53" s="259"/>
      <c r="F53" s="259"/>
      <c r="G53" s="259"/>
      <c r="H53" s="259"/>
      <c r="I53" s="49">
        <f t="shared" si="1"/>
        <v>16</v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260">
        <v>29</v>
      </c>
      <c r="B54" s="260">
        <v>293</v>
      </c>
      <c r="C54" s="260"/>
      <c r="D54" s="260"/>
      <c r="E54" s="259"/>
      <c r="F54" s="259"/>
      <c r="G54" s="259"/>
      <c r="H54" s="259"/>
      <c r="I54" s="49">
        <f t="shared" si="1"/>
        <v>16</v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260">
        <v>30</v>
      </c>
      <c r="B55" s="260">
        <v>309</v>
      </c>
      <c r="C55" s="260">
        <v>4</v>
      </c>
      <c r="D55" s="260">
        <v>309</v>
      </c>
      <c r="E55" s="259">
        <v>1</v>
      </c>
      <c r="F55" s="259"/>
      <c r="G55" s="259"/>
      <c r="H55" s="259"/>
      <c r="I55" s="49">
        <f t="shared" si="1"/>
        <v>16</v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166</v>
      </c>
      <c r="B58" s="52" t="str">
        <f>IF(B10="","",B10)</f>
        <v>Chêne tauzin</v>
      </c>
      <c r="D58" s="227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4" t="s">
        <v>185</v>
      </c>
      <c r="C60" s="268" t="s">
        <v>186</v>
      </c>
      <c r="D60" s="268"/>
      <c r="E60" s="269" t="s">
        <v>187</v>
      </c>
      <c r="F60" s="270"/>
      <c r="G60" s="270"/>
      <c r="H60" s="271"/>
      <c r="I60" s="93"/>
      <c r="J60" s="221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2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50">
        <v>30</v>
      </c>
      <c r="B62" s="60">
        <v>75.346153849999993</v>
      </c>
      <c r="C62" s="260"/>
      <c r="D62" s="260"/>
      <c r="E62" s="259"/>
      <c r="F62" s="259"/>
      <c r="G62" s="259"/>
      <c r="H62" s="259"/>
      <c r="I62" s="53">
        <f>IFERROR(B62/A62,"")</f>
        <v>2.5115384616666665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50">
        <v>42</v>
      </c>
      <c r="B63" s="60">
        <v>171.96</v>
      </c>
      <c r="C63" s="260">
        <v>1</v>
      </c>
      <c r="D63" s="260">
        <v>43.21</v>
      </c>
      <c r="E63" s="259">
        <v>1</v>
      </c>
      <c r="F63" s="259"/>
      <c r="G63" s="259"/>
      <c r="H63" s="259"/>
      <c r="I63" s="49">
        <f>IF(A63&lt;&gt;0,(B63-(B62-D62))/(A63-A62),"")</f>
        <v>8.0511538458333352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50">
        <v>50</v>
      </c>
      <c r="B64" s="60">
        <v>208.33</v>
      </c>
      <c r="C64" s="260">
        <v>2</v>
      </c>
      <c r="D64" s="260">
        <v>35.58</v>
      </c>
      <c r="E64" s="259">
        <v>1</v>
      </c>
      <c r="F64" s="259"/>
      <c r="G64" s="259"/>
      <c r="H64" s="259"/>
      <c r="I64" s="49">
        <f>IF(A64&lt;&gt;0,(B64-(B63-D63))/(A64-A63),"")</f>
        <v>9.9475000000000016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50">
        <v>58</v>
      </c>
      <c r="B65" s="60">
        <v>253.7</v>
      </c>
      <c r="C65" s="260">
        <v>3</v>
      </c>
      <c r="D65" s="260">
        <v>44.93</v>
      </c>
      <c r="E65" s="259">
        <v>1</v>
      </c>
      <c r="F65" s="259"/>
      <c r="G65" s="259"/>
      <c r="H65" s="259"/>
      <c r="I65" s="49">
        <f>IF(A65&lt;&gt;0,(B65-(B64-D64))/(A65-A64),"")</f>
        <v>10.118749999999999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50">
        <v>66</v>
      </c>
      <c r="B66" s="60">
        <v>286.77</v>
      </c>
      <c r="C66" s="260">
        <v>4</v>
      </c>
      <c r="D66" s="260">
        <v>49.91</v>
      </c>
      <c r="E66" s="259">
        <v>1</v>
      </c>
      <c r="F66" s="259"/>
      <c r="G66" s="259"/>
      <c r="H66" s="259"/>
      <c r="I66" s="49">
        <f t="shared" ref="I66:I81" si="2">IF(A66&lt;&gt;0,(B66-(B65-D65))/(A66-A65),"")</f>
        <v>9.75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50">
        <v>74</v>
      </c>
      <c r="B67" s="60">
        <v>310.95999999999998</v>
      </c>
      <c r="C67" s="260">
        <v>5</v>
      </c>
      <c r="D67" s="260">
        <v>47.4</v>
      </c>
      <c r="E67" s="259">
        <v>1</v>
      </c>
      <c r="F67" s="259"/>
      <c r="G67" s="259"/>
      <c r="H67" s="259"/>
      <c r="I67" s="49">
        <f t="shared" si="2"/>
        <v>9.2624999999999993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50">
        <v>84</v>
      </c>
      <c r="B68" s="60">
        <v>355.09</v>
      </c>
      <c r="C68" s="260">
        <v>6</v>
      </c>
      <c r="D68" s="260">
        <v>61.47</v>
      </c>
      <c r="E68" s="259">
        <v>1</v>
      </c>
      <c r="F68" s="259"/>
      <c r="G68" s="259"/>
      <c r="H68" s="259"/>
      <c r="I68" s="49">
        <f t="shared" si="2"/>
        <v>9.1529999999999969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50">
        <v>94</v>
      </c>
      <c r="B69" s="60">
        <v>380.13</v>
      </c>
      <c r="C69" s="260">
        <v>7</v>
      </c>
      <c r="D69" s="260">
        <v>61.85</v>
      </c>
      <c r="E69" s="259">
        <v>1</v>
      </c>
      <c r="F69" s="259"/>
      <c r="G69" s="259"/>
      <c r="H69" s="259"/>
      <c r="I69" s="49">
        <f t="shared" si="2"/>
        <v>8.6509999999999998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50">
        <v>104</v>
      </c>
      <c r="B70" s="60">
        <v>402.2</v>
      </c>
      <c r="C70" s="260">
        <v>8</v>
      </c>
      <c r="D70" s="260">
        <v>60.19</v>
      </c>
      <c r="E70" s="259">
        <v>1</v>
      </c>
      <c r="F70" s="259"/>
      <c r="G70" s="259"/>
      <c r="H70" s="259"/>
      <c r="I70" s="49">
        <f t="shared" si="2"/>
        <v>8.3920000000000012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50">
        <v>114</v>
      </c>
      <c r="B71" s="60">
        <v>424.56</v>
      </c>
      <c r="C71" s="260">
        <v>9</v>
      </c>
      <c r="D71" s="260">
        <v>56.07</v>
      </c>
      <c r="E71" s="259">
        <v>1</v>
      </c>
      <c r="F71" s="259"/>
      <c r="G71" s="259"/>
      <c r="H71" s="259"/>
      <c r="I71" s="49">
        <f t="shared" si="2"/>
        <v>8.2550000000000008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50">
        <v>124</v>
      </c>
      <c r="B72" s="60">
        <v>451.86</v>
      </c>
      <c r="C72" s="260">
        <v>10</v>
      </c>
      <c r="D72" s="260">
        <v>52.53</v>
      </c>
      <c r="E72" s="259">
        <v>1</v>
      </c>
      <c r="F72" s="259"/>
      <c r="G72" s="259"/>
      <c r="H72" s="259"/>
      <c r="I72" s="49">
        <f t="shared" si="2"/>
        <v>8.3369999999999997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260">
        <v>134</v>
      </c>
      <c r="B73" s="260">
        <v>484.28</v>
      </c>
      <c r="C73" s="260">
        <v>11</v>
      </c>
      <c r="D73" s="260">
        <v>54.95</v>
      </c>
      <c r="E73" s="259">
        <v>1</v>
      </c>
      <c r="F73" s="259"/>
      <c r="G73" s="259"/>
      <c r="H73" s="259"/>
      <c r="I73" s="49">
        <f t="shared" si="2"/>
        <v>8.4949999999999939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260">
        <v>144</v>
      </c>
      <c r="B74" s="260">
        <v>514.94000000000005</v>
      </c>
      <c r="C74" s="260">
        <v>12</v>
      </c>
      <c r="D74" s="260">
        <v>56.01</v>
      </c>
      <c r="E74" s="259">
        <v>1</v>
      </c>
      <c r="F74" s="259"/>
      <c r="G74" s="259"/>
      <c r="H74" s="259"/>
      <c r="I74" s="49">
        <f t="shared" si="2"/>
        <v>8.561000000000007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260">
        <v>154</v>
      </c>
      <c r="B75" s="260">
        <v>546.49</v>
      </c>
      <c r="C75" s="260">
        <v>13</v>
      </c>
      <c r="D75" s="260">
        <v>55.13</v>
      </c>
      <c r="E75" s="259">
        <v>1</v>
      </c>
      <c r="F75" s="259"/>
      <c r="G75" s="259"/>
      <c r="H75" s="259"/>
      <c r="I75" s="49">
        <f t="shared" si="2"/>
        <v>8.7559999999999949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260">
        <v>164</v>
      </c>
      <c r="B76" s="260">
        <v>580.32000000000005</v>
      </c>
      <c r="C76" s="260">
        <v>14</v>
      </c>
      <c r="D76" s="260">
        <v>59.58</v>
      </c>
      <c r="E76" s="259">
        <v>1</v>
      </c>
      <c r="F76" s="259"/>
      <c r="G76" s="259"/>
      <c r="H76" s="259"/>
      <c r="I76" s="49">
        <f t="shared" si="2"/>
        <v>8.8960000000000043</v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256">
        <v>174</v>
      </c>
      <c r="B77" s="257">
        <v>610.52</v>
      </c>
      <c r="C77" s="256">
        <v>15</v>
      </c>
      <c r="D77" s="256">
        <v>214.77</v>
      </c>
      <c r="E77" s="255">
        <v>1</v>
      </c>
      <c r="F77" s="255"/>
      <c r="G77" s="255"/>
      <c r="H77" s="255"/>
      <c r="I77" s="49">
        <f t="shared" si="2"/>
        <v>8.977999999999998</v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256">
        <v>177</v>
      </c>
      <c r="B78" s="257">
        <v>388.94</v>
      </c>
      <c r="C78" s="256">
        <v>16</v>
      </c>
      <c r="D78" s="256">
        <v>115.19</v>
      </c>
      <c r="E78" s="255">
        <v>1</v>
      </c>
      <c r="F78" s="255"/>
      <c r="G78" s="255"/>
      <c r="H78" s="255"/>
      <c r="I78" s="49">
        <f t="shared" si="2"/>
        <v>-2.2700000000000009</v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256">
        <v>180</v>
      </c>
      <c r="B79" s="257">
        <v>271.56</v>
      </c>
      <c r="C79" s="256">
        <v>17</v>
      </c>
      <c r="D79" s="256">
        <v>77.72</v>
      </c>
      <c r="E79" s="255">
        <v>1</v>
      </c>
      <c r="F79" s="255"/>
      <c r="G79" s="255"/>
      <c r="H79" s="255"/>
      <c r="I79" s="49">
        <f t="shared" si="2"/>
        <v>-0.72999999999999921</v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256">
        <v>183</v>
      </c>
      <c r="B80" s="257">
        <v>191.47</v>
      </c>
      <c r="C80" s="256">
        <v>18</v>
      </c>
      <c r="D80" s="256">
        <v>169.76</v>
      </c>
      <c r="E80" s="255">
        <v>1</v>
      </c>
      <c r="F80" s="255"/>
      <c r="G80" s="255"/>
      <c r="H80" s="255"/>
      <c r="I80" s="49">
        <f t="shared" si="2"/>
        <v>-0.79000000000000148</v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256"/>
      <c r="B81" s="257"/>
      <c r="C81" s="256"/>
      <c r="D81" s="258"/>
      <c r="E81" s="255"/>
      <c r="F81" s="255"/>
      <c r="G81" s="255"/>
      <c r="H81" s="255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167</v>
      </c>
      <c r="B84" s="52" t="str">
        <f>IF(B11="","",B11)</f>
        <v/>
      </c>
      <c r="D84" s="227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4" t="s">
        <v>185</v>
      </c>
      <c r="C86" s="268" t="s">
        <v>186</v>
      </c>
      <c r="D86" s="268"/>
      <c r="E86" s="269" t="s">
        <v>187</v>
      </c>
      <c r="F86" s="270"/>
      <c r="G86" s="270"/>
      <c r="H86" s="271"/>
      <c r="I86" s="93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260"/>
      <c r="B88" s="260"/>
      <c r="C88" s="260"/>
      <c r="D88" s="260"/>
      <c r="E88" s="259"/>
      <c r="F88" s="259"/>
      <c r="G88" s="259"/>
      <c r="H88" s="259"/>
      <c r="I88" s="53" t="str">
        <f>IFERROR(B88/A88,"")</f>
        <v/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260"/>
      <c r="B89" s="260"/>
      <c r="C89" s="260"/>
      <c r="D89" s="260"/>
      <c r="E89" s="259"/>
      <c r="F89" s="259"/>
      <c r="G89" s="259"/>
      <c r="H89" s="259"/>
      <c r="I89" s="53" t="str">
        <f t="shared" ref="I89:I107" si="3">IF(A89&lt;&gt;0,(B89-(B88-D88))/(A89-A88),"")</f>
        <v/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260"/>
      <c r="B90" s="260"/>
      <c r="C90" s="260"/>
      <c r="D90" s="260"/>
      <c r="E90" s="259"/>
      <c r="F90" s="259"/>
      <c r="G90" s="259"/>
      <c r="H90" s="259"/>
      <c r="I90" s="53" t="str">
        <f t="shared" si="3"/>
        <v/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260"/>
      <c r="B91" s="260"/>
      <c r="C91" s="260"/>
      <c r="D91" s="260"/>
      <c r="E91" s="259"/>
      <c r="F91" s="259"/>
      <c r="G91" s="259"/>
      <c r="H91" s="259"/>
      <c r="I91" s="53" t="str">
        <f t="shared" si="3"/>
        <v/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260"/>
      <c r="B92" s="260"/>
      <c r="C92" s="260"/>
      <c r="D92" s="260"/>
      <c r="E92" s="259"/>
      <c r="F92" s="259"/>
      <c r="G92" s="259"/>
      <c r="H92" s="259"/>
      <c r="I92" s="53" t="str">
        <f t="shared" si="3"/>
        <v/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260"/>
      <c r="B93" s="260"/>
      <c r="C93" s="260"/>
      <c r="D93" s="260"/>
      <c r="E93" s="259"/>
      <c r="F93" s="259"/>
      <c r="G93" s="259"/>
      <c r="H93" s="259"/>
      <c r="I93" s="53" t="str">
        <f t="shared" si="3"/>
        <v/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260"/>
      <c r="B94" s="260"/>
      <c r="C94" s="260"/>
      <c r="D94" s="260"/>
      <c r="E94" s="259"/>
      <c r="F94" s="259"/>
      <c r="G94" s="259"/>
      <c r="H94" s="259"/>
      <c r="I94" s="53" t="str">
        <f t="shared" si="3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260"/>
      <c r="B95" s="260"/>
      <c r="C95" s="260"/>
      <c r="D95" s="260"/>
      <c r="E95" s="259"/>
      <c r="F95" s="259"/>
      <c r="G95" s="259"/>
      <c r="H95" s="259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260"/>
      <c r="B96" s="260"/>
      <c r="C96" s="260"/>
      <c r="D96" s="260"/>
      <c r="E96" s="259"/>
      <c r="F96" s="259"/>
      <c r="G96" s="259"/>
      <c r="H96" s="259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260"/>
      <c r="B97" s="260"/>
      <c r="C97" s="260"/>
      <c r="D97" s="260"/>
      <c r="E97" s="259"/>
      <c r="F97" s="259"/>
      <c r="G97" s="259"/>
      <c r="H97" s="259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260"/>
      <c r="B98" s="260"/>
      <c r="C98" s="260"/>
      <c r="D98" s="260"/>
      <c r="E98" s="259"/>
      <c r="F98" s="259"/>
      <c r="G98" s="259"/>
      <c r="H98" s="259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260"/>
      <c r="B99" s="260"/>
      <c r="C99" s="260"/>
      <c r="D99" s="260"/>
      <c r="E99" s="259"/>
      <c r="F99" s="259"/>
      <c r="G99" s="259"/>
      <c r="H99" s="259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260"/>
      <c r="B100" s="260"/>
      <c r="C100" s="260"/>
      <c r="D100" s="260"/>
      <c r="E100" s="259"/>
      <c r="F100" s="259"/>
      <c r="G100" s="259"/>
      <c r="H100" s="259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260"/>
      <c r="B101" s="260"/>
      <c r="C101" s="260"/>
      <c r="D101" s="260"/>
      <c r="E101" s="259"/>
      <c r="F101" s="259"/>
      <c r="G101" s="259"/>
      <c r="H101" s="259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260"/>
      <c r="B102" s="260"/>
      <c r="C102" s="260"/>
      <c r="D102" s="260"/>
      <c r="E102" s="259"/>
      <c r="F102" s="259"/>
      <c r="G102" s="259"/>
      <c r="H102" s="259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256"/>
      <c r="B103" s="257"/>
      <c r="C103" s="256"/>
      <c r="D103" s="256"/>
      <c r="E103" s="255"/>
      <c r="F103" s="255"/>
      <c r="G103" s="255"/>
      <c r="H103" s="255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256"/>
      <c r="B104" s="257"/>
      <c r="C104" s="256"/>
      <c r="D104" s="256"/>
      <c r="E104" s="255"/>
      <c r="F104" s="255"/>
      <c r="G104" s="255"/>
      <c r="H104" s="255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256"/>
      <c r="B105" s="257"/>
      <c r="C105" s="256"/>
      <c r="D105" s="256"/>
      <c r="E105" s="255"/>
      <c r="F105" s="255"/>
      <c r="G105" s="255"/>
      <c r="H105" s="255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256"/>
      <c r="B106" s="257"/>
      <c r="C106" s="256"/>
      <c r="D106" s="256"/>
      <c r="E106" s="255"/>
      <c r="F106" s="255"/>
      <c r="G106" s="255"/>
      <c r="H106" s="255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256"/>
      <c r="B107" s="257"/>
      <c r="C107" s="256"/>
      <c r="D107" s="258"/>
      <c r="E107" s="255"/>
      <c r="F107" s="255"/>
      <c r="G107" s="255"/>
      <c r="H107" s="255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168</v>
      </c>
      <c r="B110" s="52" t="str">
        <f>IF(B12="","",B12)</f>
        <v/>
      </c>
      <c r="D110" s="227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4" t="s">
        <v>185</v>
      </c>
      <c r="C112" s="268" t="s">
        <v>186</v>
      </c>
      <c r="D112" s="268"/>
      <c r="E112" s="269" t="s">
        <v>187</v>
      </c>
      <c r="F112" s="270"/>
      <c r="G112" s="270"/>
      <c r="H112" s="271"/>
      <c r="I112" s="93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260"/>
      <c r="B114" s="260"/>
      <c r="C114" s="260"/>
      <c r="D114" s="260"/>
      <c r="E114" s="259"/>
      <c r="F114" s="259"/>
      <c r="G114" s="259"/>
      <c r="H114" s="259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260"/>
      <c r="B115" s="260"/>
      <c r="C115" s="260"/>
      <c r="D115" s="260"/>
      <c r="E115" s="259"/>
      <c r="F115" s="259"/>
      <c r="G115" s="259"/>
      <c r="H115" s="259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260"/>
      <c r="B116" s="260"/>
      <c r="C116" s="260"/>
      <c r="D116" s="260"/>
      <c r="E116" s="259"/>
      <c r="F116" s="259"/>
      <c r="G116" s="259"/>
      <c r="H116" s="259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260"/>
      <c r="B117" s="260"/>
      <c r="C117" s="260"/>
      <c r="D117" s="260"/>
      <c r="E117" s="259"/>
      <c r="F117" s="259"/>
      <c r="G117" s="259"/>
      <c r="H117" s="259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260"/>
      <c r="B118" s="260"/>
      <c r="C118" s="260"/>
      <c r="D118" s="260"/>
      <c r="E118" s="259"/>
      <c r="F118" s="259"/>
      <c r="G118" s="259"/>
      <c r="H118" s="259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260"/>
      <c r="B119" s="260"/>
      <c r="C119" s="260"/>
      <c r="D119" s="260"/>
      <c r="E119" s="259"/>
      <c r="F119" s="259"/>
      <c r="G119" s="259"/>
      <c r="H119" s="259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260"/>
      <c r="B120" s="260"/>
      <c r="C120" s="260"/>
      <c r="D120" s="260"/>
      <c r="E120" s="259"/>
      <c r="F120" s="259"/>
      <c r="G120" s="259"/>
      <c r="H120" s="259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260"/>
      <c r="B121" s="260"/>
      <c r="C121" s="260"/>
      <c r="D121" s="260"/>
      <c r="E121" s="259"/>
      <c r="F121" s="259"/>
      <c r="G121" s="259"/>
      <c r="H121" s="259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260"/>
      <c r="B122" s="260"/>
      <c r="C122" s="260"/>
      <c r="D122" s="260"/>
      <c r="E122" s="259"/>
      <c r="F122" s="259"/>
      <c r="G122" s="259"/>
      <c r="H122" s="259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260"/>
      <c r="B123" s="260"/>
      <c r="C123" s="260"/>
      <c r="D123" s="260"/>
      <c r="E123" s="259"/>
      <c r="F123" s="259"/>
      <c r="G123" s="259"/>
      <c r="H123" s="259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260"/>
      <c r="B124" s="260"/>
      <c r="C124" s="260"/>
      <c r="D124" s="260"/>
      <c r="E124" s="259"/>
      <c r="F124" s="259"/>
      <c r="G124" s="259"/>
      <c r="H124" s="259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260"/>
      <c r="B125" s="260"/>
      <c r="C125" s="260"/>
      <c r="D125" s="260"/>
      <c r="E125" s="259"/>
      <c r="F125" s="259"/>
      <c r="G125" s="259"/>
      <c r="H125" s="259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260"/>
      <c r="B126" s="260"/>
      <c r="C126" s="260"/>
      <c r="D126" s="260"/>
      <c r="E126" s="259"/>
      <c r="F126" s="259"/>
      <c r="G126" s="259"/>
      <c r="H126" s="259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260"/>
      <c r="B127" s="260"/>
      <c r="C127" s="260"/>
      <c r="D127" s="260"/>
      <c r="E127" s="259"/>
      <c r="F127" s="259"/>
      <c r="G127" s="259"/>
      <c r="H127" s="259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260"/>
      <c r="B128" s="260"/>
      <c r="C128" s="260"/>
      <c r="D128" s="260"/>
      <c r="E128" s="259"/>
      <c r="F128" s="259"/>
      <c r="G128" s="259"/>
      <c r="H128" s="259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260"/>
      <c r="B129" s="260"/>
      <c r="C129" s="260"/>
      <c r="D129" s="260"/>
      <c r="E129" s="259"/>
      <c r="F129" s="259"/>
      <c r="G129" s="259"/>
      <c r="H129" s="259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260"/>
      <c r="B130" s="260"/>
      <c r="C130" s="260"/>
      <c r="D130" s="260"/>
      <c r="E130" s="259"/>
      <c r="F130" s="259"/>
      <c r="G130" s="259"/>
      <c r="H130" s="259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260"/>
      <c r="B131" s="260"/>
      <c r="C131" s="260"/>
      <c r="D131" s="260"/>
      <c r="E131" s="259"/>
      <c r="F131" s="259"/>
      <c r="G131" s="259"/>
      <c r="H131" s="259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260"/>
      <c r="B132" s="260"/>
      <c r="C132" s="260"/>
      <c r="D132" s="260"/>
      <c r="E132" s="259"/>
      <c r="F132" s="259"/>
      <c r="G132" s="259"/>
      <c r="H132" s="259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260"/>
      <c r="B133" s="260"/>
      <c r="C133" s="260"/>
      <c r="D133" s="260"/>
      <c r="E133" s="259"/>
      <c r="F133" s="259"/>
      <c r="G133" s="259"/>
      <c r="H133" s="259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169</v>
      </c>
      <c r="B136" s="52" t="str">
        <f>IF(B13="","",B13)</f>
        <v/>
      </c>
      <c r="D136" s="227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4" t="s">
        <v>185</v>
      </c>
      <c r="C138" s="268" t="s">
        <v>186</v>
      </c>
      <c r="D138" s="268"/>
      <c r="E138" s="269" t="s">
        <v>187</v>
      </c>
      <c r="F138" s="270"/>
      <c r="G138" s="270"/>
      <c r="H138" s="271"/>
      <c r="I138" s="93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170</v>
      </c>
      <c r="B162" s="52" t="str">
        <f>IF(B14="","",B14)</f>
        <v/>
      </c>
      <c r="D162" s="227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4" t="s">
        <v>185</v>
      </c>
      <c r="C164" s="268" t="s">
        <v>186</v>
      </c>
      <c r="D164" s="268"/>
      <c r="E164" s="269" t="s">
        <v>187</v>
      </c>
      <c r="F164" s="270"/>
      <c r="G164" s="270"/>
      <c r="H164" s="271"/>
      <c r="I164" s="93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171</v>
      </c>
      <c r="B188" s="52" t="str">
        <f>IF(B15="","",B15)</f>
        <v/>
      </c>
      <c r="D188" s="227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4" t="s">
        <v>185</v>
      </c>
      <c r="C190" s="268" t="s">
        <v>186</v>
      </c>
      <c r="D190" s="268"/>
      <c r="E190" s="269" t="s">
        <v>187</v>
      </c>
      <c r="F190" s="270"/>
      <c r="G190" s="270"/>
      <c r="H190" s="271"/>
      <c r="I190" s="93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172</v>
      </c>
      <c r="B214" s="52" t="str">
        <f>IF(B16="","",B16)</f>
        <v/>
      </c>
      <c r="D214" s="227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4" t="s">
        <v>185</v>
      </c>
      <c r="C216" s="268" t="s">
        <v>186</v>
      </c>
      <c r="D216" s="268"/>
      <c r="E216" s="269" t="s">
        <v>187</v>
      </c>
      <c r="F216" s="270"/>
      <c r="G216" s="270"/>
      <c r="H216" s="271"/>
      <c r="I216" s="93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6"/>
      <c r="B231" s="60"/>
      <c r="C231" s="86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173</v>
      </c>
      <c r="B240" s="52" t="str">
        <f>IF(B17="","",B17)</f>
        <v/>
      </c>
      <c r="D240" s="227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4" t="s">
        <v>185</v>
      </c>
      <c r="C242" s="268" t="s">
        <v>186</v>
      </c>
      <c r="D242" s="268"/>
      <c r="E242" s="269" t="s">
        <v>187</v>
      </c>
      <c r="F242" s="270"/>
      <c r="G242" s="270"/>
      <c r="H242" s="271"/>
      <c r="I242" s="93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6"/>
      <c r="B257" s="60"/>
      <c r="C257" s="86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174</v>
      </c>
      <c r="B266" s="52" t="str">
        <f>IF(B18="","",B18)</f>
        <v/>
      </c>
      <c r="D266" s="227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4" t="s">
        <v>185</v>
      </c>
      <c r="C268" s="268" t="s">
        <v>186</v>
      </c>
      <c r="D268" s="268"/>
      <c r="E268" s="269" t="s">
        <v>187</v>
      </c>
      <c r="F268" s="270"/>
      <c r="G268" s="270"/>
      <c r="H268" s="271"/>
      <c r="I268" s="93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6"/>
      <c r="B283" s="60"/>
      <c r="C283" s="86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0" zoomScaleNormal="110" workbookViewId="0">
      <selection activeCell="G23" sqref="G23"/>
    </sheetView>
  </sheetViews>
  <sheetFormatPr baseColWidth="10" defaultColWidth="11.44140625" defaultRowHeight="14.4" x14ac:dyDescent="0.3"/>
  <cols>
    <col min="1" max="1" width="5.777343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4414062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5"/>
      <c r="K1" s="95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81" t="s">
        <v>191</v>
      </c>
      <c r="C2" s="282"/>
      <c r="D2" s="282"/>
      <c r="E2" s="282"/>
      <c r="F2" s="282"/>
      <c r="G2" s="283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80"/>
      <c r="C4" s="280"/>
      <c r="D4" s="280"/>
      <c r="E4" s="280"/>
      <c r="F4" s="280"/>
      <c r="G4" s="280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6" t="s">
        <v>296</v>
      </c>
      <c r="C5" s="96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5"/>
      <c r="C6" s="215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7"/>
      <c r="B7" s="26" t="s">
        <v>295</v>
      </c>
      <c r="C7" s="98" t="s">
        <v>214</v>
      </c>
      <c r="D7" s="213"/>
      <c r="E7" s="99"/>
      <c r="F7" s="26" t="s">
        <v>295</v>
      </c>
      <c r="G7" s="98" t="s">
        <v>215</v>
      </c>
      <c r="H7" s="214"/>
      <c r="I7" s="214"/>
      <c r="J7" s="214"/>
      <c r="K7" s="214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</row>
    <row r="8" spans="1:38" ht="17.25" customHeight="1" x14ac:dyDescent="0.3">
      <c r="A8" s="103">
        <v>1</v>
      </c>
      <c r="B8" s="61">
        <v>0</v>
      </c>
      <c r="C8" s="49" t="s">
        <v>177</v>
      </c>
      <c r="D8" s="23"/>
      <c r="E8" s="103">
        <v>4</v>
      </c>
      <c r="F8" s="61">
        <v>1</v>
      </c>
      <c r="G8" s="100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3">
        <v>2</v>
      </c>
      <c r="B9" s="61">
        <v>0</v>
      </c>
      <c r="C9" s="106" t="s">
        <v>216</v>
      </c>
      <c r="D9" s="23"/>
      <c r="E9" s="103">
        <v>5</v>
      </c>
      <c r="F9" s="61">
        <v>0</v>
      </c>
      <c r="G9" s="101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3">
        <v>3</v>
      </c>
      <c r="B10" s="61">
        <v>0</v>
      </c>
      <c r="C10" s="107" t="s">
        <v>217</v>
      </c>
      <c r="D10" s="23"/>
      <c r="E10" s="4"/>
      <c r="F10" s="104">
        <f>SUM(F7:F9)</f>
        <v>1</v>
      </c>
      <c r="G10" s="102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4">
        <v>0</v>
      </c>
      <c r="C11" s="102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4"/>
      <c r="B13" s="105"/>
      <c r="C13" s="96" t="s">
        <v>273</v>
      </c>
      <c r="D13" s="214"/>
      <c r="E13" s="97"/>
      <c r="F13" s="105"/>
      <c r="G13" s="96" t="s">
        <v>301</v>
      </c>
      <c r="H13" s="214"/>
      <c r="I13" s="214"/>
      <c r="J13" s="214"/>
      <c r="K13" s="214"/>
      <c r="L13" s="97"/>
      <c r="M13" s="97"/>
      <c r="N13" s="97"/>
      <c r="O13" s="97"/>
      <c r="P13" s="97"/>
      <c r="Q13" s="97"/>
      <c r="R13" s="97"/>
      <c r="S13" s="97"/>
      <c r="T13" s="97"/>
      <c r="U13" s="97"/>
      <c r="V13" s="97"/>
      <c r="W13" s="97"/>
      <c r="X13" s="97"/>
      <c r="Y13" s="97"/>
      <c r="Z13" s="97"/>
      <c r="AA13" s="97"/>
      <c r="AB13" s="97"/>
      <c r="AC13" s="97"/>
      <c r="AD13" s="97"/>
      <c r="AE13" s="97"/>
      <c r="AF13" s="97"/>
      <c r="AG13" s="97"/>
      <c r="AH13" s="97"/>
    </row>
    <row r="14" spans="1:38" s="3" customFormat="1" ht="21" customHeight="1" x14ac:dyDescent="0.3">
      <c r="A14" s="214"/>
      <c r="B14" s="105"/>
      <c r="C14" s="96" t="s">
        <v>309</v>
      </c>
      <c r="D14" s="214"/>
      <c r="E14" s="97"/>
      <c r="F14" s="105"/>
      <c r="G14" s="96" t="s">
        <v>294</v>
      </c>
      <c r="H14" s="214"/>
      <c r="I14" s="214"/>
      <c r="J14" s="214"/>
      <c r="K14" s="214"/>
      <c r="L14" s="97"/>
      <c r="M14" s="97"/>
      <c r="N14" s="97"/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  <c r="Z14" s="97"/>
      <c r="AA14" s="97"/>
      <c r="AB14" s="97"/>
      <c r="AC14" s="97"/>
      <c r="AD14" s="97"/>
      <c r="AE14" s="97"/>
      <c r="AF14" s="97"/>
      <c r="AG14" s="97"/>
      <c r="AH14" s="97"/>
    </row>
    <row r="15" spans="1:38" x14ac:dyDescent="0.3">
      <c r="A15" s="23"/>
      <c r="B15" s="26" t="s">
        <v>295</v>
      </c>
      <c r="C15" s="4"/>
      <c r="D15" s="23"/>
      <c r="E15" s="4"/>
      <c r="F15" s="4"/>
      <c r="G15" s="2" t="s">
        <v>36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0</v>
      </c>
      <c r="C16" s="108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0</v>
      </c>
      <c r="C17" s="108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</v>
      </c>
      <c r="C18" s="108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4">
        <f>SUM(B16:B18)</f>
        <v>0</v>
      </c>
      <c r="C19" s="102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77734375" style="4" bestFit="1" customWidth="1"/>
    <col min="2" max="4" width="11.44140625" style="4"/>
    <col min="5" max="5" width="9.44140625" style="4" customWidth="1"/>
    <col min="6" max="7" width="11.44140625" style="4"/>
    <col min="8" max="8" width="10.6640625" style="4" customWidth="1"/>
    <col min="9" max="9" width="9.44140625" style="4" customWidth="1"/>
    <col min="10" max="11" width="10.4414062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4414062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44140625" style="4" bestFit="1" customWidth="1"/>
    <col min="36" max="36" width="9.44140625" style="4" bestFit="1" customWidth="1"/>
    <col min="37" max="38" width="10.44140625" style="4" bestFit="1" customWidth="1"/>
    <col min="39" max="41" width="10.44140625" style="4" customWidth="1"/>
    <col min="42" max="42" width="9" style="4" bestFit="1" customWidth="1"/>
    <col min="43" max="43" width="10.4414062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44140625" style="4" bestFit="1" customWidth="1"/>
    <col min="54" max="54" width="14.33203125" style="4" customWidth="1"/>
    <col min="55" max="55" width="14" style="4" customWidth="1"/>
    <col min="56" max="56" width="10.44140625" style="4" bestFit="1" customWidth="1"/>
    <col min="57" max="57" width="9.44140625" style="4" bestFit="1" customWidth="1"/>
    <col min="58" max="59" width="10.44140625" style="4" bestFit="1" customWidth="1"/>
    <col min="60" max="62" width="10.44140625" style="4" customWidth="1"/>
    <col min="63" max="63" width="9" style="4" bestFit="1" customWidth="1"/>
    <col min="64" max="64" width="10.4414062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44140625" style="4" bestFit="1" customWidth="1"/>
    <col min="75" max="75" width="14" style="4" bestFit="1" customWidth="1"/>
    <col min="76" max="76" width="13.77734375" style="4" customWidth="1"/>
    <col min="77" max="77" width="10.44140625" style="4" bestFit="1" customWidth="1"/>
    <col min="78" max="78" width="9.44140625" style="4" bestFit="1" customWidth="1"/>
    <col min="79" max="80" width="10.44140625" style="4" bestFit="1" customWidth="1"/>
    <col min="81" max="83" width="10.44140625" style="4" customWidth="1"/>
    <col min="84" max="84" width="11.44140625" style="4"/>
    <col min="85" max="85" width="10.4414062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44140625" style="4" bestFit="1" customWidth="1"/>
    <col min="99" max="99" width="9.44140625" style="4" bestFit="1" customWidth="1"/>
    <col min="100" max="101" width="10.44140625" style="4" bestFit="1" customWidth="1"/>
    <col min="102" max="104" width="10.44140625" style="4" customWidth="1"/>
    <col min="105" max="105" width="9" style="4" bestFit="1" customWidth="1"/>
    <col min="106" max="106" width="10.4414062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44140625" style="4" bestFit="1" customWidth="1"/>
    <col min="117" max="117" width="14.33203125" style="4" customWidth="1"/>
    <col min="118" max="118" width="14" style="4" bestFit="1" customWidth="1"/>
    <col min="119" max="119" width="10.44140625" style="4" bestFit="1" customWidth="1"/>
    <col min="120" max="120" width="9.44140625" style="4" bestFit="1" customWidth="1"/>
    <col min="121" max="122" width="10.44140625" style="4" bestFit="1" customWidth="1"/>
    <col min="123" max="125" width="10.44140625" style="4" customWidth="1"/>
    <col min="126" max="126" width="9" style="4" bestFit="1" customWidth="1"/>
    <col min="127" max="127" width="10.4414062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44140625" style="4" bestFit="1" customWidth="1"/>
    <col min="138" max="139" width="14" style="4" customWidth="1"/>
    <col min="140" max="140" width="10.44140625" style="4" bestFit="1" customWidth="1"/>
    <col min="141" max="141" width="9.44140625" style="4" bestFit="1" customWidth="1"/>
    <col min="142" max="143" width="10.44140625" style="4" bestFit="1" customWidth="1"/>
    <col min="144" max="146" width="10.44140625" style="4" customWidth="1"/>
    <col min="147" max="147" width="9" style="4" bestFit="1" customWidth="1"/>
    <col min="148" max="148" width="10.4414062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44140625" style="4" bestFit="1" customWidth="1"/>
    <col min="162" max="162" width="9.44140625" style="4" bestFit="1" customWidth="1"/>
    <col min="163" max="164" width="10.44140625" style="4" bestFit="1" customWidth="1"/>
    <col min="165" max="167" width="10.44140625" style="4" customWidth="1"/>
    <col min="168" max="168" width="9" style="4" bestFit="1" customWidth="1"/>
    <col min="169" max="169" width="10.4414062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44140625" style="4" bestFit="1" customWidth="1"/>
    <col min="180" max="181" width="14" style="4" bestFit="1" customWidth="1"/>
    <col min="182" max="182" width="10.44140625" style="4" bestFit="1" customWidth="1"/>
    <col min="183" max="183" width="9.44140625" style="4" bestFit="1" customWidth="1"/>
    <col min="184" max="185" width="10.44140625" style="4" bestFit="1" customWidth="1"/>
    <col min="186" max="188" width="10.44140625" style="4" customWidth="1"/>
    <col min="189" max="189" width="9" style="4" bestFit="1" customWidth="1"/>
    <col min="190" max="190" width="10.4414062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44140625" style="4" bestFit="1" customWidth="1"/>
    <col min="201" max="201" width="14" style="4" customWidth="1"/>
    <col min="202" max="202" width="14.33203125" style="4" customWidth="1"/>
    <col min="203" max="203" width="10.44140625" style="4" bestFit="1" customWidth="1"/>
    <col min="204" max="204" width="9.44140625" style="4" bestFit="1" customWidth="1"/>
    <col min="205" max="206" width="10.44140625" style="4" bestFit="1" customWidth="1"/>
    <col min="207" max="209" width="10.44140625" style="4" customWidth="1"/>
    <col min="210" max="210" width="9" style="4" bestFit="1" customWidth="1"/>
    <col min="211" max="211" width="10.4414062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87" t="s">
        <v>176</v>
      </c>
      <c r="C1" s="288"/>
      <c r="D1" s="288"/>
      <c r="E1" s="288"/>
      <c r="F1" s="288"/>
      <c r="G1" s="288"/>
      <c r="H1" s="289"/>
      <c r="I1" s="284" t="str">
        <f>IF('Données projet'!$B$9="","",'Données projet'!$B$9)</f>
        <v>Pin maritime</v>
      </c>
      <c r="J1" s="285"/>
      <c r="K1" s="285"/>
      <c r="L1" s="285"/>
      <c r="M1" s="285"/>
      <c r="N1" s="285"/>
      <c r="O1" s="285"/>
      <c r="P1" s="285"/>
      <c r="Q1" s="285"/>
      <c r="R1" s="285"/>
      <c r="S1" s="285"/>
      <c r="T1" s="285"/>
      <c r="U1" s="285"/>
      <c r="V1" s="285"/>
      <c r="W1" s="285"/>
      <c r="X1" s="285"/>
      <c r="Y1" s="285"/>
      <c r="Z1" s="285"/>
      <c r="AA1" s="285"/>
      <c r="AB1" s="285"/>
      <c r="AC1" s="286"/>
      <c r="AD1" s="285" t="str">
        <f>IF('Données projet'!$B$10="","",'Données projet'!$B$10)</f>
        <v>Chêne tauzin</v>
      </c>
      <c r="AE1" s="285"/>
      <c r="AF1" s="285"/>
      <c r="AG1" s="285"/>
      <c r="AH1" s="285"/>
      <c r="AI1" s="285"/>
      <c r="AJ1" s="285"/>
      <c r="AK1" s="285"/>
      <c r="AL1" s="285"/>
      <c r="AM1" s="285"/>
      <c r="AN1" s="285"/>
      <c r="AO1" s="285"/>
      <c r="AP1" s="285"/>
      <c r="AQ1" s="285"/>
      <c r="AR1" s="285"/>
      <c r="AS1" s="285"/>
      <c r="AT1" s="285"/>
      <c r="AU1" s="285"/>
      <c r="AV1" s="285"/>
      <c r="AW1" s="285"/>
      <c r="AX1" s="286"/>
      <c r="AY1" s="284" t="str">
        <f>IF('Données projet'!$B$11="","",'Données projet'!$B$11)</f>
        <v/>
      </c>
      <c r="AZ1" s="285"/>
      <c r="BA1" s="285"/>
      <c r="BB1" s="285"/>
      <c r="BC1" s="285"/>
      <c r="BD1" s="285"/>
      <c r="BE1" s="285"/>
      <c r="BF1" s="285"/>
      <c r="BG1" s="285"/>
      <c r="BH1" s="285"/>
      <c r="BI1" s="285"/>
      <c r="BJ1" s="285"/>
      <c r="BK1" s="285"/>
      <c r="BL1" s="285"/>
      <c r="BM1" s="285"/>
      <c r="BN1" s="285"/>
      <c r="BO1" s="285"/>
      <c r="BP1" s="285"/>
      <c r="BQ1" s="285"/>
      <c r="BR1" s="285"/>
      <c r="BS1" s="286"/>
      <c r="BT1" s="284" t="str">
        <f>IF('Données projet'!$B$12="","",'Données projet'!$B$12)</f>
        <v/>
      </c>
      <c r="BU1" s="285"/>
      <c r="BV1" s="285"/>
      <c r="BW1" s="285"/>
      <c r="BX1" s="285"/>
      <c r="BY1" s="285"/>
      <c r="BZ1" s="285"/>
      <c r="CA1" s="285"/>
      <c r="CB1" s="285"/>
      <c r="CC1" s="285"/>
      <c r="CD1" s="285"/>
      <c r="CE1" s="285"/>
      <c r="CF1" s="285"/>
      <c r="CG1" s="285"/>
      <c r="CH1" s="285"/>
      <c r="CI1" s="285"/>
      <c r="CJ1" s="285"/>
      <c r="CK1" s="285"/>
      <c r="CL1" s="285"/>
      <c r="CM1" s="285"/>
      <c r="CN1" s="286"/>
      <c r="CO1" s="284" t="str">
        <f>IF('Données projet'!$B$13="","",'Données projet'!$B$13)</f>
        <v/>
      </c>
      <c r="CP1" s="285"/>
      <c r="CQ1" s="285"/>
      <c r="CR1" s="285"/>
      <c r="CS1" s="285"/>
      <c r="CT1" s="285"/>
      <c r="CU1" s="285"/>
      <c r="CV1" s="285"/>
      <c r="CW1" s="285"/>
      <c r="CX1" s="285"/>
      <c r="CY1" s="285"/>
      <c r="CZ1" s="285"/>
      <c r="DA1" s="285"/>
      <c r="DB1" s="285"/>
      <c r="DC1" s="285"/>
      <c r="DD1" s="285"/>
      <c r="DE1" s="285"/>
      <c r="DF1" s="285"/>
      <c r="DG1" s="285"/>
      <c r="DH1" s="285"/>
      <c r="DI1" s="286"/>
      <c r="DJ1" s="284" t="str">
        <f>IF('Données projet'!$B$14="","",'Données projet'!$B$14)</f>
        <v/>
      </c>
      <c r="DK1" s="285"/>
      <c r="DL1" s="285"/>
      <c r="DM1" s="285"/>
      <c r="DN1" s="285"/>
      <c r="DO1" s="285"/>
      <c r="DP1" s="285"/>
      <c r="DQ1" s="285"/>
      <c r="DR1" s="285"/>
      <c r="DS1" s="285"/>
      <c r="DT1" s="285"/>
      <c r="DU1" s="285"/>
      <c r="DV1" s="285"/>
      <c r="DW1" s="285"/>
      <c r="DX1" s="285"/>
      <c r="DY1" s="285"/>
      <c r="DZ1" s="285"/>
      <c r="EA1" s="285"/>
      <c r="EB1" s="285"/>
      <c r="EC1" s="285"/>
      <c r="ED1" s="286"/>
      <c r="EE1" s="284" t="str">
        <f>IF('Données projet'!$B$15="","",'Données projet'!$B$15)</f>
        <v/>
      </c>
      <c r="EF1" s="285"/>
      <c r="EG1" s="285"/>
      <c r="EH1" s="285"/>
      <c r="EI1" s="285"/>
      <c r="EJ1" s="285"/>
      <c r="EK1" s="285"/>
      <c r="EL1" s="285"/>
      <c r="EM1" s="285"/>
      <c r="EN1" s="285"/>
      <c r="EO1" s="285"/>
      <c r="EP1" s="285"/>
      <c r="EQ1" s="285"/>
      <c r="ER1" s="285"/>
      <c r="ES1" s="285"/>
      <c r="ET1" s="285"/>
      <c r="EU1" s="285"/>
      <c r="EV1" s="285"/>
      <c r="EW1" s="285"/>
      <c r="EX1" s="285"/>
      <c r="EY1" s="286"/>
      <c r="EZ1" s="284" t="str">
        <f>IF('Données projet'!$B$16="","",'Données projet'!$B$16)</f>
        <v/>
      </c>
      <c r="FA1" s="285"/>
      <c r="FB1" s="285"/>
      <c r="FC1" s="285"/>
      <c r="FD1" s="285"/>
      <c r="FE1" s="285"/>
      <c r="FF1" s="285"/>
      <c r="FG1" s="285"/>
      <c r="FH1" s="285"/>
      <c r="FI1" s="285"/>
      <c r="FJ1" s="285"/>
      <c r="FK1" s="285"/>
      <c r="FL1" s="285"/>
      <c r="FM1" s="285"/>
      <c r="FN1" s="285"/>
      <c r="FO1" s="285"/>
      <c r="FP1" s="285"/>
      <c r="FQ1" s="285"/>
      <c r="FR1" s="285"/>
      <c r="FS1" s="285"/>
      <c r="FT1" s="286"/>
      <c r="FU1" s="284" t="str">
        <f>IF('Données projet'!$B$17="","",'Données projet'!$B$17)</f>
        <v/>
      </c>
      <c r="FV1" s="285"/>
      <c r="FW1" s="285"/>
      <c r="FX1" s="285"/>
      <c r="FY1" s="285"/>
      <c r="FZ1" s="285"/>
      <c r="GA1" s="285"/>
      <c r="GB1" s="285"/>
      <c r="GC1" s="285"/>
      <c r="GD1" s="285"/>
      <c r="GE1" s="285"/>
      <c r="GF1" s="285"/>
      <c r="GG1" s="285"/>
      <c r="GH1" s="285"/>
      <c r="GI1" s="285"/>
      <c r="GJ1" s="285"/>
      <c r="GK1" s="285"/>
      <c r="GL1" s="285"/>
      <c r="GM1" s="285"/>
      <c r="GN1" s="285"/>
      <c r="GO1" s="286"/>
      <c r="GP1" s="284" t="str">
        <f>IF('Données projet'!$B$18="","",'Données projet'!$B$18)</f>
        <v/>
      </c>
      <c r="GQ1" s="285"/>
      <c r="GR1" s="285"/>
      <c r="GS1" s="285"/>
      <c r="GT1" s="285"/>
      <c r="GU1" s="285"/>
      <c r="GV1" s="285"/>
      <c r="GW1" s="285"/>
      <c r="GX1" s="285"/>
      <c r="GY1" s="285"/>
      <c r="GZ1" s="285"/>
      <c r="HA1" s="285"/>
      <c r="HB1" s="285"/>
      <c r="HC1" s="285"/>
      <c r="HD1" s="285"/>
      <c r="HE1" s="285"/>
      <c r="HF1" s="285"/>
      <c r="HG1" s="285"/>
      <c r="HH1" s="285"/>
      <c r="HI1" s="285"/>
      <c r="HJ1" s="286"/>
    </row>
    <row r="2" spans="1:218" ht="58.2" thickBot="1" x14ac:dyDescent="0.35">
      <c r="A2" s="70" t="s">
        <v>178</v>
      </c>
      <c r="B2" s="71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5" t="s">
        <v>299</v>
      </c>
      <c r="I2" s="67" t="s">
        <v>298</v>
      </c>
      <c r="J2" s="68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8" t="s">
        <v>298</v>
      </c>
      <c r="AE2" s="68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7" t="s">
        <v>298</v>
      </c>
      <c r="AZ2" s="68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7" t="s">
        <v>298</v>
      </c>
      <c r="BU2" s="68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7" t="s">
        <v>298</v>
      </c>
      <c r="CP2" s="68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7" t="s">
        <v>298</v>
      </c>
      <c r="DK2" s="68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7" t="s">
        <v>298</v>
      </c>
      <c r="EF2" s="68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7" t="s">
        <v>298</v>
      </c>
      <c r="FA2" s="68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7" t="s">
        <v>298</v>
      </c>
      <c r="FV2" s="68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7" t="s">
        <v>298</v>
      </c>
      <c r="GQ2" s="68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">
      <c r="A3" s="10">
        <v>0</v>
      </c>
      <c r="B3" s="72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6">
        <f>(B3+E3+F3)*44/12+(C3+D3)*0.475*44/12</f>
        <v>293.33333333333331</v>
      </c>
      <c r="I3" s="6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148.39628895278571</v>
      </c>
      <c r="T3" s="59">
        <f>IF('Données projet'!E9&gt;30,$R$33-$H$33,LOOKUP('Données projet'!$E$9,$A$3:$A$203,R3:R203)-LOOKUP('Données projet'!$E$9,$A$3:$A$203,$H$3:$H$203))</f>
        <v>361.07991692964788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525.29195699741149</v>
      </c>
      <c r="AO3" s="59">
        <f>IF('Données projet'!E10&gt;30,$AM$33-$H$33,LOOKUP('Données projet'!$E$10,$A$3:$A$203,AM3:AM203)-LOOKUP('Données projet'!$E$10,$A$3:$A$203,$H$3:$H$203))</f>
        <v>125.99812193007153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 t="e">
        <f>BD3*VLOOKUP('Données projet'!$B$11,Paramètres!$A$1:$I$89,3,0)*VLOOKUP('Données projet'!$B$11,Paramètres!$A$1:$I$89,5,0)</f>
        <v>#N/A</v>
      </c>
      <c r="BF3" s="12">
        <v>0</v>
      </c>
      <c r="BG3" s="14" t="e">
        <f>(BE3+BF3)*0.475*44/12</f>
        <v>#N/A</v>
      </c>
      <c r="BH3" s="59" t="e">
        <f>BG3+(AY3+AZ3)*44/12</f>
        <v>#N/A</v>
      </c>
      <c r="BI3" s="59" t="e">
        <f ca="1">AVERAGE(OFFSET($BH$3,0,0,'Données projet'!$E$11+1,1))-AVERAGE(OFFSET($H$3,0,0,'Données projet'!$E$11+1,1))</f>
        <v>#N/A</v>
      </c>
      <c r="BJ3" s="59" t="e">
        <f>IF('Données projet'!E11&gt;30,$BH$33-$H$33,LOOKUP('Données projet'!$E$11,$A$3:$A$203,BH3:BH203)-LOOKUP('Données projet'!$E$11,$A$3:$A$203,$H$3:$H$203))</f>
        <v>#N/A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2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0.59800000000000009</v>
      </c>
      <c r="D4" s="11">
        <f>IFERROR(EXP(-1.0587+0.8836*LN(C4)+0.284),0)</f>
        <v>0.29258040116091422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6.8746557282596896</v>
      </c>
      <c r="H4" s="66">
        <f t="shared" ref="H4:H67" si="1">(B4+E4+F4)*44/12+(C4+D4)*0.475*44/12</f>
        <v>294.8844275320219</v>
      </c>
      <c r="I4" s="6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7.5454545454545459</v>
      </c>
      <c r="N4" s="13">
        <f>IF('Données projet'!$A$36&gt;35,N3+M4-V3,IF(A4&lt;'Données projet'!$A$36,$K$205^A4,IF(A4='Données projet'!$A$36,'Données projet'!$B$36,N3+M4-V3)))</f>
        <v>1.4943820583928935</v>
      </c>
      <c r="O4" s="13">
        <f>N4*VLOOKUP('Données projet'!$B$9,Paramètres!$A$1:$I$89,3,0)*VLOOKUP('Données projet'!$B$9,Paramètres!$A$1:$I$89,5,0)</f>
        <v>0.89364047091895038</v>
      </c>
      <c r="P4" s="13">
        <f>EXP(-1.0587+0.8836*LN(O4)+0.284)</f>
        <v>0.41725306962072783</v>
      </c>
      <c r="Q4" s="20">
        <f t="shared" ref="Q4:Q34" si="2">(O4+P4)*0.475*44/12</f>
        <v>2.2831395831066059</v>
      </c>
      <c r="R4" s="59">
        <f t="shared" si="0"/>
        <v>295.61647291643993</v>
      </c>
      <c r="S4" s="59">
        <f ca="1">AVERAGE(OFFSET($R$3,0,0,'Données projet'!$E$9+1,1))-AVERAGE(OFFSET($H$3,0,0,'Données projet'!$E$9+1,1))</f>
        <v>148.39628895278571</v>
      </c>
      <c r="T4" s="59">
        <f>$T$3</f>
        <v>361.07991692964788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2.5115384616666665</v>
      </c>
      <c r="AI4" s="13">
        <f>IF('Données projet'!$A$62&gt;35,AI3+AH4-AQ3,IF(A4&lt;'Données projet'!$A$62,$AF$205^A4,IF(A4='Données projet'!$A$62,'Données projet'!$B$62,AI3+AH4-AQ3)))</f>
        <v>1.1549646791293957</v>
      </c>
      <c r="AJ4" s="13">
        <f>AI4*VLOOKUP('Données projet'!$B$10,Paramètres!$A$1:$I$89,3,0)*VLOOKUP('Données projet'!$B$10,Paramètres!$A$1:$I$89,5,0)</f>
        <v>1.1531167356427887</v>
      </c>
      <c r="AK4" s="13">
        <f>EXP(-1.0587+0.8836*LN(AJ4)+0.284)</f>
        <v>0.52266484612542585</v>
      </c>
      <c r="AL4" s="20">
        <f t="shared" ref="AL4:AL67" si="4">(AJ4+AK4)*0.475*44/12</f>
        <v>2.9186529215796404</v>
      </c>
      <c r="AM4" s="59">
        <f t="shared" ref="AM4:AM67" si="5">AL4+(AD4+AE4)*44/12</f>
        <v>296.25198625491294</v>
      </c>
      <c r="AN4" s="59">
        <f ca="1">AVERAGE(OFFSET($AM$3,0,0,'Données projet'!$E$10+1,1))-AVERAGE(OFFSET($H$3,0,0,'Données projet'!$E$10+1,1))</f>
        <v>525.29195699741149</v>
      </c>
      <c r="AO4" s="59">
        <f>$AO$3</f>
        <v>125.99812193007153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0</v>
      </c>
      <c r="BD4" s="12">
        <f>IF('Données projet'!$A$88&gt;35,BD3+BC4-BL3,IF(A4&lt;'Données projet'!$A$88,$BA$205^A4,IF(A4='Données projet'!$A$88,'Données projet'!$B$88,BD3+BC4-BL3)))</f>
        <v>0</v>
      </c>
      <c r="BE4" s="13" t="e">
        <f>BD4*VLOOKUP('Données projet'!$B$11,Paramètres!$A$1:$I$89,3,0)*VLOOKUP('Données projet'!$B$11,Paramètres!$A$1:$I$89,5,0)</f>
        <v>#N/A</v>
      </c>
      <c r="BF4" s="13" t="e">
        <f>EXP(-1.0587+0.8836*LN(BE4)+0.284)</f>
        <v>#N/A</v>
      </c>
      <c r="BG4" s="20" t="e">
        <f t="shared" ref="BG4:BG67" si="7">(BE4+BF4)*0.475*44/12</f>
        <v>#N/A</v>
      </c>
      <c r="BH4" s="59" t="e">
        <f t="shared" ref="BH4:BH67" si="8">BG4+(AY4+AZ4)*44/12</f>
        <v>#N/A</v>
      </c>
      <c r="BI4" s="59" t="e">
        <f ca="1">AVERAGE(OFFSET($BH$3,0,0,'Données projet'!$E$11+1,1))-AVERAGE(OFFSET($H$3,0,0,'Données projet'!$E$11+1,1))</f>
        <v>#N/A</v>
      </c>
      <c r="BJ4" s="59" t="e">
        <f>$BJ$3</f>
        <v>#N/A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 t="e">
        <f>EXP(-LN(2)/35)*BP3+(1-EXP(-LN(2)/35))/(LN(2)/35)*BL4*BM4*VLOOKUP('Données projet'!$B$11,Paramètres!$A$1:$I$89,3,0)*0.475*44/12</f>
        <v>#N/A</v>
      </c>
      <c r="BQ4" s="21" t="e">
        <f>EXP(-LN(2)/25)*BQ3+(1-EXP(-LN(2)/25))/(LN(2)/25)*Calculateur!BL4*Calculateur!BN4*VLOOKUP('Données projet'!$B$11,Paramètres!$A$1:$I$89,3,0)*0.475*44/12</f>
        <v>#N/A</v>
      </c>
      <c r="BR4" s="21" t="e">
        <f>EXP(-LN(2)/2)*BR3+(1-EXP(-LN(2)/2))/(LN(2)/2)*BL4*BO4*VLOOKUP('Données projet'!$B$11,Paramètres!$A$1:$I$89,3,0)*0.475*44/12</f>
        <v>#N/A</v>
      </c>
      <c r="BS4" s="22" t="e">
        <f t="shared" ref="BS4:BS67" si="9">SUM(BP4:BR4)</f>
        <v>#N/A</v>
      </c>
      <c r="BT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">
      <c r="A5" s="10">
        <f t="shared" ref="A5:A68" si="31">A4+1</f>
        <v>2</v>
      </c>
      <c r="B5" s="72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1.1960000000000002</v>
      </c>
      <c r="D5" s="11">
        <f t="shared" ref="D5:D68" si="32">IFERROR(EXP(-1.0587+0.8836*LN(C5)+0.284),0)</f>
        <v>0.53980305140256757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13.399181449423331</v>
      </c>
      <c r="H5" s="66">
        <f t="shared" si="1"/>
        <v>296.35652364785943</v>
      </c>
      <c r="I5" s="6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7.5454545454545459</v>
      </c>
      <c r="N5" s="13">
        <f>IF('Données projet'!$A$36&gt;35,N4+M5-V4,IF(A5&lt;'Données projet'!$A$36,$K$205^A5,IF(A5='Données projet'!$A$36,'Données projet'!$B$36,N4+M5-V4)))</f>
        <v>2.2331777364465815</v>
      </c>
      <c r="O5" s="13">
        <f>N5*VLOOKUP('Données projet'!$B$9,Paramètres!$A$1:$I$89,3,0)*VLOOKUP('Données projet'!$B$9,Paramètres!$A$1:$I$89,5,0)</f>
        <v>1.3354402863950559</v>
      </c>
      <c r="P5" s="13">
        <f t="shared" ref="P5:P68" si="33">EXP(-1.0587+0.8836*LN(O5)+0.284)</f>
        <v>0.59505053454406853</v>
      </c>
      <c r="Q5" s="20">
        <f t="shared" si="2"/>
        <v>3.3622715131356418</v>
      </c>
      <c r="R5" s="59">
        <f t="shared" si="0"/>
        <v>296.69560484646894</v>
      </c>
      <c r="S5" s="59">
        <f ca="1">AVERAGE(OFFSET($R$3,0,0,'Données projet'!$E$9+1,1))-AVERAGE(OFFSET($H$3,0,0,'Données projet'!$E$9+1,1))</f>
        <v>148.39628895278571</v>
      </c>
      <c r="T5" s="59">
        <f t="shared" ref="T5:T68" si="34">$T$3</f>
        <v>361.07991692964788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2.5115384616666665</v>
      </c>
      <c r="AI5" s="13">
        <f>IF('Données projet'!$A$62&gt;35,AI4+AH5-AQ4,IF(A5&lt;'Données projet'!$A$62,$AF$205^A5,IF(A5='Données projet'!$A$62,'Données projet'!$B$62,AI4+AH5-AQ4)))</f>
        <v>1.333943410036468</v>
      </c>
      <c r="AJ5" s="13">
        <f>AI5*VLOOKUP('Données projet'!$B$10,Paramètres!$A$1:$I$89,3,0)*VLOOKUP('Données projet'!$B$10,Paramètres!$A$1:$I$89,5,0)</f>
        <v>1.3318091005804098</v>
      </c>
      <c r="AK5" s="13">
        <f t="shared" ref="AK5:AK68" si="35">EXP(-1.0587+0.8836*LN(AJ5)+0.284)</f>
        <v>0.59362064546791193</v>
      </c>
      <c r="AL5" s="20">
        <f t="shared" si="4"/>
        <v>3.3534568077008267</v>
      </c>
      <c r="AM5" s="59">
        <f t="shared" si="5"/>
        <v>296.68679014103412</v>
      </c>
      <c r="AN5" s="59">
        <f ca="1">AVERAGE(OFFSET($AM$3,0,0,'Données projet'!$E$10+1,1))-AVERAGE(OFFSET($H$3,0,0,'Données projet'!$E$10+1,1))</f>
        <v>525.29195699741149</v>
      </c>
      <c r="AO5" s="59">
        <f t="shared" ref="AO5:AO68" si="36">$AO$3</f>
        <v>125.99812193007153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0</v>
      </c>
      <c r="BD5" s="12">
        <f>IF('Données projet'!$A$88&gt;35,BD4+BC5-BL4,IF(A5&lt;'Données projet'!$A$88,$BA$205^A5,IF(A5='Données projet'!$A$88,'Données projet'!$B$88,BD4+BC5-BL4)))</f>
        <v>0</v>
      </c>
      <c r="BE5" s="13" t="e">
        <f>BD5*VLOOKUP('Données projet'!$B$11,Paramètres!$A$1:$I$89,3,0)*VLOOKUP('Données projet'!$B$11,Paramètres!$A$1:$I$89,5,0)</f>
        <v>#N/A</v>
      </c>
      <c r="BF5" s="13" t="e">
        <f t="shared" ref="BF5:BF68" si="37">EXP(-1.0587+0.8836*LN(BE5)+0.284)</f>
        <v>#N/A</v>
      </c>
      <c r="BG5" s="20" t="e">
        <f t="shared" si="7"/>
        <v>#N/A</v>
      </c>
      <c r="BH5" s="59" t="e">
        <f t="shared" si="8"/>
        <v>#N/A</v>
      </c>
      <c r="BI5" s="59" t="e">
        <f ca="1">AVERAGE(OFFSET($BH$3,0,0,'Données projet'!$E$11+1,1))-AVERAGE(OFFSET($H$3,0,0,'Données projet'!$E$11+1,1))</f>
        <v>#N/A</v>
      </c>
      <c r="BJ5" s="59" t="e">
        <f t="shared" ref="BJ5:BJ68" si="38">$BJ$3</f>
        <v>#N/A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 t="e">
        <f>EXP(-LN(2)/35)*BP4+(1-EXP(-LN(2)/35))/(LN(2)/35)*BL5*BM5*VLOOKUP('Données projet'!$B$11,Paramètres!$A$1:$I$89,3,0)*0.475*44/12</f>
        <v>#N/A</v>
      </c>
      <c r="BQ5" s="21" t="e">
        <f>EXP(-LN(2)/25)*BQ4+(1-EXP(-LN(2)/25))/(LN(2)/25)*Calculateur!BL5*Calculateur!BN5*VLOOKUP('Données projet'!$B$11,Paramètres!$A$1:$I$89,3,0)*0.475*44/12</f>
        <v>#N/A</v>
      </c>
      <c r="BR5" s="21" t="e">
        <f>EXP(-LN(2)/2)*BR4+(1-EXP(-LN(2)/2))/(LN(2)/2)*BL5*BO5*VLOOKUP('Données projet'!$B$11,Paramètres!$A$1:$I$89,3,0)*0.475*44/12</f>
        <v>#N/A</v>
      </c>
      <c r="BS5" s="22" t="e">
        <f t="shared" si="9"/>
        <v>#N/A</v>
      </c>
      <c r="BT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">
      <c r="A6" s="10">
        <f t="shared" si="31"/>
        <v>3</v>
      </c>
      <c r="B6" s="72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1.7940000000000003</v>
      </c>
      <c r="D6" s="11">
        <f t="shared" si="32"/>
        <v>0.77237742491396744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19.810632753721858</v>
      </c>
      <c r="H6" s="66">
        <f t="shared" si="1"/>
        <v>297.80310734839179</v>
      </c>
      <c r="I6" s="6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7.5454545454545459</v>
      </c>
      <c r="N6" s="13">
        <f>IF('Données projet'!$A$36&gt;35,N5+M6-V5,IF(A6&lt;'Données projet'!$A$36,$K$205^A6,IF(A6='Données projet'!$A$36,'Données projet'!$B$36,N5+M6-V5)))</f>
        <v>3.337220742548225</v>
      </c>
      <c r="O6" s="13">
        <f>N6*VLOOKUP('Données projet'!$B$9,Paramètres!$A$1:$I$89,3,0)*VLOOKUP('Données projet'!$B$9,Paramètres!$A$1:$I$89,5,0)</f>
        <v>1.9956580040438385</v>
      </c>
      <c r="P6" s="13">
        <f t="shared" si="33"/>
        <v>0.84861002696285914</v>
      </c>
      <c r="Q6" s="20">
        <f t="shared" si="2"/>
        <v>4.9537668206699985</v>
      </c>
      <c r="R6" s="59">
        <f t="shared" si="0"/>
        <v>298.28710015400333</v>
      </c>
      <c r="S6" s="59">
        <f ca="1">AVERAGE(OFFSET($R$3,0,0,'Données projet'!$E$9+1,1))-AVERAGE(OFFSET($H$3,0,0,'Données projet'!$E$9+1,1))</f>
        <v>148.39628895278571</v>
      </c>
      <c r="T6" s="59">
        <f t="shared" si="34"/>
        <v>361.07991692964788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2.5115384616666665</v>
      </c>
      <c r="AI6" s="13">
        <f>IF('Données projet'!$A$62&gt;35,AI5+AH6-AQ5,IF(A6&lt;'Données projet'!$A$62,$AF$205^A6,IF(A6='Données projet'!$A$62,'Données projet'!$B$62,AI5+AH6-AQ5)))</f>
        <v>1.5406575225495411</v>
      </c>
      <c r="AJ6" s="13">
        <f>AI6*VLOOKUP('Données projet'!$B$10,Paramètres!$A$1:$I$89,3,0)*VLOOKUP('Données projet'!$B$10,Paramètres!$A$1:$I$89,5,0)</f>
        <v>1.538192470513462</v>
      </c>
      <c r="AK6" s="13">
        <f t="shared" si="35"/>
        <v>0.67420924391225856</v>
      </c>
      <c r="AL6" s="20">
        <f t="shared" si="4"/>
        <v>3.8532663192914636</v>
      </c>
      <c r="AM6" s="59">
        <f t="shared" si="5"/>
        <v>297.18659965262475</v>
      </c>
      <c r="AN6" s="59">
        <f ca="1">AVERAGE(OFFSET($AM$3,0,0,'Données projet'!$E$10+1,1))-AVERAGE(OFFSET($H$3,0,0,'Données projet'!$E$10+1,1))</f>
        <v>525.29195699741149</v>
      </c>
      <c r="AO6" s="59">
        <f t="shared" si="36"/>
        <v>125.99812193007153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0</v>
      </c>
      <c r="BD6" s="12">
        <f>IF('Données projet'!$A$88&gt;35,BD5+BC6-BL5,IF(A6&lt;'Données projet'!$A$88,$BA$205^A6,IF(A6='Données projet'!$A$88,'Données projet'!$B$88,BD5+BC6-BL5)))</f>
        <v>0</v>
      </c>
      <c r="BE6" s="13" t="e">
        <f>BD6*VLOOKUP('Données projet'!$B$11,Paramètres!$A$1:$I$89,3,0)*VLOOKUP('Données projet'!$B$11,Paramètres!$A$1:$I$89,5,0)</f>
        <v>#N/A</v>
      </c>
      <c r="BF6" s="13" t="e">
        <f t="shared" si="37"/>
        <v>#N/A</v>
      </c>
      <c r="BG6" s="20" t="e">
        <f t="shared" si="7"/>
        <v>#N/A</v>
      </c>
      <c r="BH6" s="59" t="e">
        <f t="shared" si="8"/>
        <v>#N/A</v>
      </c>
      <c r="BI6" s="59" t="e">
        <f ca="1">AVERAGE(OFFSET($BH$3,0,0,'Données projet'!$E$11+1,1))-AVERAGE(OFFSET($H$3,0,0,'Données projet'!$E$11+1,1))</f>
        <v>#N/A</v>
      </c>
      <c r="BJ6" s="59" t="e">
        <f t="shared" si="38"/>
        <v>#N/A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 t="e">
        <f>EXP(-LN(2)/35)*BP5+(1-EXP(-LN(2)/35))/(LN(2)/35)*BL6*BM6*VLOOKUP('Données projet'!$B$11,Paramètres!$A$1:$I$89,3,0)*0.475*44/12</f>
        <v>#N/A</v>
      </c>
      <c r="BQ6" s="21" t="e">
        <f>EXP(-LN(2)/25)*BQ5+(1-EXP(-LN(2)/25))/(LN(2)/25)*Calculateur!BL6*Calculateur!BN6*VLOOKUP('Données projet'!$B$11,Paramètres!$A$1:$I$89,3,0)*0.475*44/12</f>
        <v>#N/A</v>
      </c>
      <c r="BR6" s="21" t="e">
        <f>EXP(-LN(2)/2)*BR5+(1-EXP(-LN(2)/2))/(LN(2)/2)*BL6*BO6*VLOOKUP('Données projet'!$B$11,Paramètres!$A$1:$I$89,3,0)*0.475*44/12</f>
        <v>#N/A</v>
      </c>
      <c r="BS6" s="22" t="e">
        <f t="shared" si="9"/>
        <v>#N/A</v>
      </c>
      <c r="BT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">
      <c r="A7" s="10">
        <f t="shared" si="31"/>
        <v>4</v>
      </c>
      <c r="B7" s="72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2.3920000000000003</v>
      </c>
      <c r="D7" s="11">
        <f t="shared" si="32"/>
        <v>0.99592225982103644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26.152382356513268</v>
      </c>
      <c r="H7" s="66">
        <f t="shared" si="1"/>
        <v>299.23396460252161</v>
      </c>
      <c r="I7" s="6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7.5454545454545459</v>
      </c>
      <c r="N7" s="13">
        <f>IF('Données projet'!$A$36&gt;35,N6+M7-V6,IF(A7&lt;'Données projet'!$A$36,$K$205^A7,IF(A7='Données projet'!$A$36,'Données projet'!$B$36,N6+M7-V6)))</f>
        <v>4.9870828025606775</v>
      </c>
      <c r="O7" s="13">
        <f>N7*VLOOKUP('Données projet'!$B$9,Paramètres!$A$1:$I$89,3,0)*VLOOKUP('Données projet'!$B$9,Paramètres!$A$1:$I$89,5,0)</f>
        <v>2.9822755159312857</v>
      </c>
      <c r="P7" s="13">
        <f t="shared" si="33"/>
        <v>1.2102148238782438</v>
      </c>
      <c r="Q7" s="20">
        <f t="shared" si="2"/>
        <v>7.3019206751682626</v>
      </c>
      <c r="R7" s="59">
        <f t="shared" si="0"/>
        <v>300.63525400850159</v>
      </c>
      <c r="S7" s="59">
        <f ca="1">AVERAGE(OFFSET($R$3,0,0,'Données projet'!$E$9+1,1))-AVERAGE(OFFSET($H$3,0,0,'Données projet'!$E$9+1,1))</f>
        <v>148.39628895278571</v>
      </c>
      <c r="T7" s="59">
        <f t="shared" si="34"/>
        <v>361.07991692964788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2.5115384616666665</v>
      </c>
      <c r="AI7" s="13">
        <f>IF('Données projet'!$A$62&gt;35,AI6+AH7-AQ6,IF(A7&lt;'Données projet'!$A$62,$AF$205^A7,IF(A7='Données projet'!$A$62,'Données projet'!$B$62,AI6+AH7-AQ6)))</f>
        <v>1.7794050211797205</v>
      </c>
      <c r="AJ7" s="13">
        <f>AI7*VLOOKUP('Données projet'!$B$10,Paramètres!$A$1:$I$89,3,0)*VLOOKUP('Données projet'!$B$10,Paramètres!$A$1:$I$89,5,0)</f>
        <v>1.7765579731458332</v>
      </c>
      <c r="AK7" s="13">
        <f t="shared" si="35"/>
        <v>0.76573836851385324</v>
      </c>
      <c r="AL7" s="20">
        <f t="shared" si="4"/>
        <v>4.4278327950572871</v>
      </c>
      <c r="AM7" s="59">
        <f t="shared" si="5"/>
        <v>297.76116612839058</v>
      </c>
      <c r="AN7" s="59">
        <f ca="1">AVERAGE(OFFSET($AM$3,0,0,'Données projet'!$E$10+1,1))-AVERAGE(OFFSET($H$3,0,0,'Données projet'!$E$10+1,1))</f>
        <v>525.29195699741149</v>
      </c>
      <c r="AO7" s="59">
        <f t="shared" si="36"/>
        <v>125.99812193007153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0</v>
      </c>
      <c r="BD7" s="12">
        <f>IF('Données projet'!$A$88&gt;35,BD6+BC7-BL6,IF(A7&lt;'Données projet'!$A$88,$BA$205^A7,IF(A7='Données projet'!$A$88,'Données projet'!$B$88,BD6+BC7-BL6)))</f>
        <v>0</v>
      </c>
      <c r="BE7" s="13" t="e">
        <f>BD7*VLOOKUP('Données projet'!$B$11,Paramètres!$A$1:$I$89,3,0)*VLOOKUP('Données projet'!$B$11,Paramètres!$A$1:$I$89,5,0)</f>
        <v>#N/A</v>
      </c>
      <c r="BF7" s="13" t="e">
        <f t="shared" si="37"/>
        <v>#N/A</v>
      </c>
      <c r="BG7" s="20" t="e">
        <f t="shared" si="7"/>
        <v>#N/A</v>
      </c>
      <c r="BH7" s="59" t="e">
        <f t="shared" si="8"/>
        <v>#N/A</v>
      </c>
      <c r="BI7" s="59" t="e">
        <f ca="1">AVERAGE(OFFSET($BH$3,0,0,'Données projet'!$E$11+1,1))-AVERAGE(OFFSET($H$3,0,0,'Données projet'!$E$11+1,1))</f>
        <v>#N/A</v>
      </c>
      <c r="BJ7" s="59" t="e">
        <f t="shared" si="38"/>
        <v>#N/A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 t="e">
        <f>EXP(-LN(2)/35)*BP6+(1-EXP(-LN(2)/35))/(LN(2)/35)*BL7*BM7*VLOOKUP('Données projet'!$B$11,Paramètres!$A$1:$I$89,3,0)*0.475*44/12</f>
        <v>#N/A</v>
      </c>
      <c r="BQ7" s="21" t="e">
        <f>EXP(-LN(2)/25)*BQ6+(1-EXP(-LN(2)/25))/(LN(2)/25)*Calculateur!BL7*Calculateur!BN7*VLOOKUP('Données projet'!$B$11,Paramètres!$A$1:$I$89,3,0)*0.475*44/12</f>
        <v>#N/A</v>
      </c>
      <c r="BR7" s="21" t="e">
        <f>EXP(-LN(2)/2)*BR6+(1-EXP(-LN(2)/2))/(LN(2)/2)*BL7*BO7*VLOOKUP('Données projet'!$B$11,Paramètres!$A$1:$I$89,3,0)*0.475*44/12</f>
        <v>#N/A</v>
      </c>
      <c r="BS7" s="22" t="e">
        <f t="shared" si="9"/>
        <v>#N/A</v>
      </c>
      <c r="BT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">
      <c r="A8" s="10">
        <f t="shared" si="31"/>
        <v>5</v>
      </c>
      <c r="B8" s="72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2.99</v>
      </c>
      <c r="D8" s="11">
        <f t="shared" si="32"/>
        <v>1.2129841524368585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32.444088194249439</v>
      </c>
      <c r="H8" s="66">
        <f t="shared" si="1"/>
        <v>300.65353073216085</v>
      </c>
      <c r="I8" s="6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7.5454545454545459</v>
      </c>
      <c r="N8" s="13">
        <f>IF('Données projet'!$A$36&gt;35,N7+M8-V7,IF(A8&lt;'Données projet'!$A$36,$K$205^A8,IF(A8='Données projet'!$A$36,'Données projet'!$B$36,N7+M8-V7)))</f>
        <v>7.4526070638664255</v>
      </c>
      <c r="O8" s="13">
        <f>N8*VLOOKUP('Données projet'!$B$9,Paramètres!$A$1:$I$89,3,0)*VLOOKUP('Données projet'!$B$9,Paramètres!$A$1:$I$89,5,0)</f>
        <v>4.4566590241921231</v>
      </c>
      <c r="P8" s="13">
        <f t="shared" si="33"/>
        <v>1.7259045655829262</v>
      </c>
      <c r="Q8" s="20">
        <f t="shared" si="2"/>
        <v>10.76796491885821</v>
      </c>
      <c r="R8" s="59">
        <f t="shared" si="0"/>
        <v>304.1012982521915</v>
      </c>
      <c r="S8" s="59">
        <f ca="1">AVERAGE(OFFSET($R$3,0,0,'Données projet'!$E$9+1,1))-AVERAGE(OFFSET($H$3,0,0,'Données projet'!$E$9+1,1))</f>
        <v>148.39628895278571</v>
      </c>
      <c r="T8" s="59">
        <f t="shared" si="34"/>
        <v>361.07991692964788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2.5115384616666665</v>
      </c>
      <c r="AI8" s="13">
        <f>IF('Données projet'!$A$62&gt;35,AI7+AH8-AQ7,IF(A8&lt;'Données projet'!$A$62,$AF$205^A8,IF(A8='Données projet'!$A$62,'Données projet'!$B$62,AI7+AH8-AQ7)))</f>
        <v>2.0551499493280714</v>
      </c>
      <c r="AJ8" s="13">
        <f>AI8*VLOOKUP('Données projet'!$B$10,Paramètres!$A$1:$I$89,3,0)*VLOOKUP('Données projet'!$B$10,Paramètres!$A$1:$I$89,5,0)</f>
        <v>2.0518617094091467</v>
      </c>
      <c r="AK8" s="13">
        <f t="shared" si="35"/>
        <v>0.86969328040029936</v>
      </c>
      <c r="AL8" s="20">
        <f t="shared" si="4"/>
        <v>5.0883749405847851</v>
      </c>
      <c r="AM8" s="59">
        <f t="shared" si="5"/>
        <v>298.42170827391811</v>
      </c>
      <c r="AN8" s="59">
        <f ca="1">AVERAGE(OFFSET($AM$3,0,0,'Données projet'!$E$10+1,1))-AVERAGE(OFFSET($H$3,0,0,'Données projet'!$E$10+1,1))</f>
        <v>525.29195699741149</v>
      </c>
      <c r="AO8" s="59">
        <f t="shared" si="36"/>
        <v>125.99812193007153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0</v>
      </c>
      <c r="BD8" s="12">
        <f>IF('Données projet'!$A$88&gt;35,BD7+BC8-BL7,IF(A8&lt;'Données projet'!$A$88,$BA$205^A8,IF(A8='Données projet'!$A$88,'Données projet'!$B$88,BD7+BC8-BL7)))</f>
        <v>0</v>
      </c>
      <c r="BE8" s="13" t="e">
        <f>BD8*VLOOKUP('Données projet'!$B$11,Paramètres!$A$1:$I$89,3,0)*VLOOKUP('Données projet'!$B$11,Paramètres!$A$1:$I$89,5,0)</f>
        <v>#N/A</v>
      </c>
      <c r="BF8" s="13" t="e">
        <f t="shared" si="37"/>
        <v>#N/A</v>
      </c>
      <c r="BG8" s="20" t="e">
        <f t="shared" si="7"/>
        <v>#N/A</v>
      </c>
      <c r="BH8" s="59" t="e">
        <f t="shared" si="8"/>
        <v>#N/A</v>
      </c>
      <c r="BI8" s="59" t="e">
        <f ca="1">AVERAGE(OFFSET($BH$3,0,0,'Données projet'!$E$11+1,1))-AVERAGE(OFFSET($H$3,0,0,'Données projet'!$E$11+1,1))</f>
        <v>#N/A</v>
      </c>
      <c r="BJ8" s="59" t="e">
        <f t="shared" si="38"/>
        <v>#N/A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 t="e">
        <f>EXP(-LN(2)/35)*BP7+(1-EXP(-LN(2)/35))/(LN(2)/35)*BL8*BM8*VLOOKUP('Données projet'!$B$11,Paramètres!$A$1:$I$89,3,0)*0.475*44/12</f>
        <v>#N/A</v>
      </c>
      <c r="BQ8" s="21" t="e">
        <f>EXP(-LN(2)/25)*BQ7+(1-EXP(-LN(2)/25))/(LN(2)/25)*Calculateur!BL8*Calculateur!BN8*VLOOKUP('Données projet'!$B$11,Paramètres!$A$1:$I$89,3,0)*0.475*44/12</f>
        <v>#N/A</v>
      </c>
      <c r="BR8" s="21" t="e">
        <f>EXP(-LN(2)/2)*BR7+(1-EXP(-LN(2)/2))/(LN(2)/2)*BL8*BO8*VLOOKUP('Données projet'!$B$11,Paramètres!$A$1:$I$89,3,0)*0.475*44/12</f>
        <v>#N/A</v>
      </c>
      <c r="BS8" s="22" t="e">
        <f t="shared" si="9"/>
        <v>#N/A</v>
      </c>
      <c r="BT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">
      <c r="A9" s="10">
        <f t="shared" si="31"/>
        <v>6</v>
      </c>
      <c r="B9" s="72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3.5880000000000001</v>
      </c>
      <c r="D9" s="11">
        <f t="shared" si="32"/>
        <v>1.4250157876217819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38.696963974624289</v>
      </c>
      <c r="H9" s="66">
        <f t="shared" si="1"/>
        <v>302.06433583010789</v>
      </c>
      <c r="I9" s="6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7.5454545454545459</v>
      </c>
      <c r="N9" s="13">
        <f>IF('Données projet'!$A$36&gt;35,N8+M9-V8,IF(A9&lt;'Données projet'!$A$36,$K$205^A9,IF(A9='Données projet'!$A$36,'Données projet'!$B$36,N8+M9-V8)))</f>
        <v>11.137042284494127</v>
      </c>
      <c r="O9" s="13">
        <f>N9*VLOOKUP('Données projet'!$B$9,Paramètres!$A$1:$I$89,3,0)*VLOOKUP('Données projet'!$B$9,Paramètres!$A$1:$I$89,5,0)</f>
        <v>6.6599512861274883</v>
      </c>
      <c r="P9" s="13">
        <f t="shared" si="33"/>
        <v>2.461337037629669</v>
      </c>
      <c r="Q9" s="20">
        <f t="shared" si="2"/>
        <v>15.886243830543714</v>
      </c>
      <c r="R9" s="59">
        <f t="shared" si="0"/>
        <v>309.21957716387703</v>
      </c>
      <c r="S9" s="59">
        <f ca="1">AVERAGE(OFFSET($R$3,0,0,'Données projet'!$E$9+1,1))-AVERAGE(OFFSET($H$3,0,0,'Données projet'!$E$9+1,1))</f>
        <v>148.39628895278571</v>
      </c>
      <c r="T9" s="59">
        <f t="shared" si="34"/>
        <v>361.07991692964788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2.5115384616666665</v>
      </c>
      <c r="AI9" s="13">
        <f>IF('Données projet'!$A$62&gt;35,AI8+AH9-AQ8,IF(A9&lt;'Données projet'!$A$62,$AF$205^A9,IF(A9='Données projet'!$A$62,'Données projet'!$B$62,AI8+AH9-AQ8)))</f>
        <v>2.3736256017884898</v>
      </c>
      <c r="AJ9" s="13">
        <f>AI9*VLOOKUP('Données projet'!$B$10,Paramètres!$A$1:$I$89,3,0)*VLOOKUP('Données projet'!$B$10,Paramètres!$A$1:$I$89,5,0)</f>
        <v>2.3698278008256284</v>
      </c>
      <c r="AK9" s="13">
        <f t="shared" si="35"/>
        <v>0.9877608763961917</v>
      </c>
      <c r="AL9" s="20">
        <f t="shared" si="4"/>
        <v>5.8478002794946704</v>
      </c>
      <c r="AM9" s="59">
        <f t="shared" si="5"/>
        <v>299.18113361282798</v>
      </c>
      <c r="AN9" s="59">
        <f ca="1">AVERAGE(OFFSET($AM$3,0,0,'Données projet'!$E$10+1,1))-AVERAGE(OFFSET($H$3,0,0,'Données projet'!$E$10+1,1))</f>
        <v>525.29195699741149</v>
      </c>
      <c r="AO9" s="59">
        <f t="shared" si="36"/>
        <v>125.99812193007153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0</v>
      </c>
      <c r="BD9" s="12">
        <f>IF('Données projet'!$A$88&gt;35,BD8+BC9-BL8,IF(A9&lt;'Données projet'!$A$88,$BA$205^A9,IF(A9='Données projet'!$A$88,'Données projet'!$B$88,BD8+BC9-BL8)))</f>
        <v>0</v>
      </c>
      <c r="BE9" s="13" t="e">
        <f>BD9*VLOOKUP('Données projet'!$B$11,Paramètres!$A$1:$I$89,3,0)*VLOOKUP('Données projet'!$B$11,Paramètres!$A$1:$I$89,5,0)</f>
        <v>#N/A</v>
      </c>
      <c r="BF9" s="13" t="e">
        <f t="shared" si="37"/>
        <v>#N/A</v>
      </c>
      <c r="BG9" s="20" t="e">
        <f t="shared" si="7"/>
        <v>#N/A</v>
      </c>
      <c r="BH9" s="59" t="e">
        <f t="shared" si="8"/>
        <v>#N/A</v>
      </c>
      <c r="BI9" s="59" t="e">
        <f ca="1">AVERAGE(OFFSET($BH$3,0,0,'Données projet'!$E$11+1,1))-AVERAGE(OFFSET($H$3,0,0,'Données projet'!$E$11+1,1))</f>
        <v>#N/A</v>
      </c>
      <c r="BJ9" s="59" t="e">
        <f t="shared" si="38"/>
        <v>#N/A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 t="e">
        <f>EXP(-LN(2)/35)*BP8+(1-EXP(-LN(2)/35))/(LN(2)/35)*BL9*BM9*VLOOKUP('Données projet'!$B$11,Paramètres!$A$1:$I$89,3,0)*0.475*44/12</f>
        <v>#N/A</v>
      </c>
      <c r="BQ9" s="21" t="e">
        <f>EXP(-LN(2)/25)*BQ8+(1-EXP(-LN(2)/25))/(LN(2)/25)*Calculateur!BL9*Calculateur!BN9*VLOOKUP('Données projet'!$B$11,Paramètres!$A$1:$I$89,3,0)*0.475*44/12</f>
        <v>#N/A</v>
      </c>
      <c r="BR9" s="21" t="e">
        <f>EXP(-LN(2)/2)*BR8+(1-EXP(-LN(2)/2))/(LN(2)/2)*BL9*BO9*VLOOKUP('Données projet'!$B$11,Paramètres!$A$1:$I$89,3,0)*0.475*44/12</f>
        <v>#N/A</v>
      </c>
      <c r="BS9" s="22" t="e">
        <f t="shared" si="9"/>
        <v>#N/A</v>
      </c>
      <c r="BT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">
      <c r="A10" s="10">
        <f t="shared" si="31"/>
        <v>7</v>
      </c>
      <c r="B10" s="72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4.1859999999999999</v>
      </c>
      <c r="D10" s="11">
        <f t="shared" si="32"/>
        <v>1.6329536551363955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44.918238741403762</v>
      </c>
      <c r="H10" s="66">
        <f t="shared" si="1"/>
        <v>303.46801094936251</v>
      </c>
      <c r="I10" s="6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7.5454545454545459</v>
      </c>
      <c r="N10" s="13">
        <f>IF('Données projet'!$A$36&gt;35,N9+M10-V9,IF(A10&lt;'Données projet'!$A$36,$K$205^A10,IF(A10='Données projet'!$A$36,'Données projet'!$B$36,N9+M10-V9)))</f>
        <v>16.642996173511026</v>
      </c>
      <c r="O10" s="13">
        <f>N10*VLOOKUP('Données projet'!$B$9,Paramètres!$A$1:$I$89,3,0)*VLOOKUP('Données projet'!$B$9,Paramètres!$A$1:$I$89,5,0)</f>
        <v>9.9525117117595947</v>
      </c>
      <c r="P10" s="13">
        <f t="shared" si="33"/>
        <v>3.5101477414317164</v>
      </c>
      <c r="Q10" s="20">
        <f t="shared" si="2"/>
        <v>23.447465214308199</v>
      </c>
      <c r="R10" s="59">
        <f t="shared" si="0"/>
        <v>316.7807985476415</v>
      </c>
      <c r="S10" s="59">
        <f ca="1">AVERAGE(OFFSET($R$3,0,0,'Données projet'!$E$9+1,1))-AVERAGE(OFFSET($H$3,0,0,'Données projet'!$E$9+1,1))</f>
        <v>148.39628895278571</v>
      </c>
      <c r="T10" s="59">
        <f t="shared" si="34"/>
        <v>361.07991692964788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2.5115384616666665</v>
      </c>
      <c r="AI10" s="13">
        <f>IF('Données projet'!$A$62&gt;35,AI9+AH10-AQ9,IF(A10&lt;'Données projet'!$A$62,$AF$205^A10,IF(A10='Données projet'!$A$62,'Données projet'!$B$62,AI9+AH10-AQ9)))</f>
        <v>2.7414537315429621</v>
      </c>
      <c r="AJ10" s="13">
        <f>AI10*VLOOKUP('Données projet'!$B$10,Paramètres!$A$1:$I$89,3,0)*VLOOKUP('Données projet'!$B$10,Paramètres!$A$1:$I$89,5,0)</f>
        <v>2.7370674055724935</v>
      </c>
      <c r="AK10" s="13">
        <f t="shared" si="35"/>
        <v>1.1218570626300506</v>
      </c>
      <c r="AL10" s="20">
        <f t="shared" si="4"/>
        <v>6.7209601154527645</v>
      </c>
      <c r="AM10" s="59">
        <f t="shared" si="5"/>
        <v>300.0542934487861</v>
      </c>
      <c r="AN10" s="59">
        <f ca="1">AVERAGE(OFFSET($AM$3,0,0,'Données projet'!$E$10+1,1))-AVERAGE(OFFSET($H$3,0,0,'Données projet'!$E$10+1,1))</f>
        <v>525.29195699741149</v>
      </c>
      <c r="AO10" s="59">
        <f t="shared" si="36"/>
        <v>125.99812193007153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0</v>
      </c>
      <c r="BD10" s="12">
        <f>IF('Données projet'!$A$88&gt;35,BD9+BC10-BL9,IF(A10&lt;'Données projet'!$A$88,$BA$205^A10,IF(A10='Données projet'!$A$88,'Données projet'!$B$88,BD9+BC10-BL9)))</f>
        <v>0</v>
      </c>
      <c r="BE10" s="13" t="e">
        <f>BD10*VLOOKUP('Données projet'!$B$11,Paramètres!$A$1:$I$89,3,0)*VLOOKUP('Données projet'!$B$11,Paramètres!$A$1:$I$89,5,0)</f>
        <v>#N/A</v>
      </c>
      <c r="BF10" s="13" t="e">
        <f t="shared" si="37"/>
        <v>#N/A</v>
      </c>
      <c r="BG10" s="20" t="e">
        <f t="shared" si="7"/>
        <v>#N/A</v>
      </c>
      <c r="BH10" s="59" t="e">
        <f t="shared" si="8"/>
        <v>#N/A</v>
      </c>
      <c r="BI10" s="59" t="e">
        <f ca="1">AVERAGE(OFFSET($BH$3,0,0,'Données projet'!$E$11+1,1))-AVERAGE(OFFSET($H$3,0,0,'Données projet'!$E$11+1,1))</f>
        <v>#N/A</v>
      </c>
      <c r="BJ10" s="59" t="e">
        <f t="shared" si="38"/>
        <v>#N/A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 t="e">
        <f>EXP(-LN(2)/35)*BP9+(1-EXP(-LN(2)/35))/(LN(2)/35)*BL10*BM10*VLOOKUP('Données projet'!$B$11,Paramètres!$A$1:$I$89,3,0)*0.475*44/12</f>
        <v>#N/A</v>
      </c>
      <c r="BQ10" s="21" t="e">
        <f>EXP(-LN(2)/25)*BQ9+(1-EXP(-LN(2)/25))/(LN(2)/25)*Calculateur!BL10*Calculateur!BN10*VLOOKUP('Données projet'!$B$11,Paramètres!$A$1:$I$89,3,0)*0.475*44/12</f>
        <v>#N/A</v>
      </c>
      <c r="BR10" s="21" t="e">
        <f>EXP(-LN(2)/2)*BR9+(1-EXP(-LN(2)/2))/(LN(2)/2)*BL10*BO10*VLOOKUP('Données projet'!$B$11,Paramètres!$A$1:$I$89,3,0)*0.475*44/12</f>
        <v>#N/A</v>
      </c>
      <c r="BS10" s="22" t="e">
        <f t="shared" si="9"/>
        <v>#N/A</v>
      </c>
      <c r="BT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">
      <c r="A11" s="10">
        <f t="shared" si="31"/>
        <v>8</v>
      </c>
      <c r="B11" s="72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4.7839999999999998</v>
      </c>
      <c r="D11" s="11">
        <f t="shared" si="32"/>
        <v>1.8374500570715413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51.112947808973303</v>
      </c>
      <c r="H11" s="66">
        <f t="shared" si="1"/>
        <v>304.86569218273291</v>
      </c>
      <c r="I11" s="6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7.5454545454545459</v>
      </c>
      <c r="N11" s="13">
        <f>IF('Données projet'!$A$36&gt;35,N10+M11-V10,IF(A11&lt;'Données projet'!$A$36,$K$205^A11,IF(A11='Données projet'!$A$36,'Données projet'!$B$36,N10+M11-V10)))</f>
        <v>24.870994879596463</v>
      </c>
      <c r="O11" s="13">
        <f>N11*VLOOKUP('Données projet'!$B$9,Paramètres!$A$1:$I$89,3,0)*VLOOKUP('Données projet'!$B$9,Paramètres!$A$1:$I$89,5,0)</f>
        <v>14.872854937998687</v>
      </c>
      <c r="P11" s="13">
        <f t="shared" si="33"/>
        <v>5.0058715967414829</v>
      </c>
      <c r="Q11" s="20">
        <f t="shared" si="2"/>
        <v>34.622115381339128</v>
      </c>
      <c r="R11" s="59">
        <f t="shared" si="0"/>
        <v>327.95544871467246</v>
      </c>
      <c r="S11" s="59">
        <f ca="1">AVERAGE(OFFSET($R$3,0,0,'Données projet'!$E$9+1,1))-AVERAGE(OFFSET($H$3,0,0,'Données projet'!$E$9+1,1))</f>
        <v>148.39628895278571</v>
      </c>
      <c r="T11" s="59">
        <f t="shared" si="34"/>
        <v>361.07991692964788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2.5115384616666665</v>
      </c>
      <c r="AI11" s="13">
        <f>IF('Données projet'!$A$62&gt;35,AI10+AH11-AQ10,IF(A11&lt;'Données projet'!$A$62,$AF$205^A11,IF(A11='Données projet'!$A$62,'Données projet'!$B$62,AI10+AH11-AQ10)))</f>
        <v>3.1662822293996018</v>
      </c>
      <c r="AJ11" s="13">
        <f>AI11*VLOOKUP('Données projet'!$B$10,Paramètres!$A$1:$I$89,3,0)*VLOOKUP('Données projet'!$B$10,Paramètres!$A$1:$I$89,5,0)</f>
        <v>3.1612161778325625</v>
      </c>
      <c r="AK11" s="13">
        <f t="shared" si="35"/>
        <v>1.2741578443203234</v>
      </c>
      <c r="AL11" s="20">
        <f t="shared" si="4"/>
        <v>7.7249430885829424</v>
      </c>
      <c r="AM11" s="59">
        <f t="shared" si="5"/>
        <v>301.05827642191628</v>
      </c>
      <c r="AN11" s="59">
        <f ca="1">AVERAGE(OFFSET($AM$3,0,0,'Données projet'!$E$10+1,1))-AVERAGE(OFFSET($H$3,0,0,'Données projet'!$E$10+1,1))</f>
        <v>525.29195699741149</v>
      </c>
      <c r="AO11" s="59">
        <f t="shared" si="36"/>
        <v>125.99812193007153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0</v>
      </c>
      <c r="BD11" s="12">
        <f>IF('Données projet'!$A$88&gt;35,BD10+BC11-BL10,IF(A11&lt;'Données projet'!$A$88,$BA$205^A11,IF(A11='Données projet'!$A$88,'Données projet'!$B$88,BD10+BC11-BL10)))</f>
        <v>0</v>
      </c>
      <c r="BE11" s="13" t="e">
        <f>BD11*VLOOKUP('Données projet'!$B$11,Paramètres!$A$1:$I$89,3,0)*VLOOKUP('Données projet'!$B$11,Paramètres!$A$1:$I$89,5,0)</f>
        <v>#N/A</v>
      </c>
      <c r="BF11" s="13" t="e">
        <f t="shared" si="37"/>
        <v>#N/A</v>
      </c>
      <c r="BG11" s="20" t="e">
        <f t="shared" si="7"/>
        <v>#N/A</v>
      </c>
      <c r="BH11" s="59" t="e">
        <f t="shared" si="8"/>
        <v>#N/A</v>
      </c>
      <c r="BI11" s="59" t="e">
        <f ca="1">AVERAGE(OFFSET($BH$3,0,0,'Données projet'!$E$11+1,1))-AVERAGE(OFFSET($H$3,0,0,'Données projet'!$E$11+1,1))</f>
        <v>#N/A</v>
      </c>
      <c r="BJ11" s="59" t="e">
        <f t="shared" si="38"/>
        <v>#N/A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 t="e">
        <f>EXP(-LN(2)/35)*BP10+(1-EXP(-LN(2)/35))/(LN(2)/35)*BL11*BM11*VLOOKUP('Données projet'!$B$11,Paramètres!$A$1:$I$89,3,0)*0.475*44/12</f>
        <v>#N/A</v>
      </c>
      <c r="BQ11" s="21" t="e">
        <f>EXP(-LN(2)/25)*BQ10+(1-EXP(-LN(2)/25))/(LN(2)/25)*Calculateur!BL11*Calculateur!BN11*VLOOKUP('Données projet'!$B$11,Paramètres!$A$1:$I$89,3,0)*0.475*44/12</f>
        <v>#N/A</v>
      </c>
      <c r="BR11" s="21" t="e">
        <f>EXP(-LN(2)/2)*BR10+(1-EXP(-LN(2)/2))/(LN(2)/2)*BL11*BO11*VLOOKUP('Données projet'!$B$11,Paramètres!$A$1:$I$89,3,0)*0.475*44/12</f>
        <v>#N/A</v>
      </c>
      <c r="BS11" s="22" t="e">
        <f t="shared" si="9"/>
        <v>#N/A</v>
      </c>
      <c r="BT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">
      <c r="A12" s="10">
        <f t="shared" si="31"/>
        <v>9</v>
      </c>
      <c r="B12" s="72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5.3819999999999997</v>
      </c>
      <c r="D12" s="11">
        <f t="shared" si="32"/>
        <v>2.038984443761938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57.284792197460582</v>
      </c>
      <c r="H12" s="66">
        <f t="shared" si="1"/>
        <v>306.25821457288538</v>
      </c>
      <c r="I12" s="6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7.5454545454545459</v>
      </c>
      <c r="N12" s="13">
        <f>IF('Données projet'!$A$36&gt;35,N11+M12-V11,IF(A12&lt;'Données projet'!$A$36,$K$205^A12,IF(A12='Données projet'!$A$36,'Données projet'!$B$36,N11+M12-V11)))</f>
        <v>37.166768522450475</v>
      </c>
      <c r="O12" s="13">
        <f>N12*VLOOKUP('Données projet'!$B$9,Paramètres!$A$1:$I$89,3,0)*VLOOKUP('Données projet'!$B$9,Paramètres!$A$1:$I$89,5,0)</f>
        <v>22.225727576425388</v>
      </c>
      <c r="P12" s="13">
        <f t="shared" si="33"/>
        <v>7.1389446510425687</v>
      </c>
      <c r="Q12" s="20">
        <f t="shared" si="2"/>
        <v>51.143470796173354</v>
      </c>
      <c r="R12" s="59">
        <f t="shared" si="0"/>
        <v>344.47680412950666</v>
      </c>
      <c r="S12" s="59">
        <f ca="1">AVERAGE(OFFSET($R$3,0,0,'Données projet'!$E$9+1,1))-AVERAGE(OFFSET($H$3,0,0,'Données projet'!$E$9+1,1))</f>
        <v>148.39628895278571</v>
      </c>
      <c r="T12" s="59">
        <f t="shared" si="34"/>
        <v>361.07991692964788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2.5115384616666665</v>
      </c>
      <c r="AI12" s="13">
        <f>IF('Données projet'!$A$62&gt;35,AI11+AH12-AQ11,IF(A12&lt;'Données projet'!$A$62,$AF$205^A12,IF(A12='Données projet'!$A$62,'Données projet'!$B$62,AI11+AH12-AQ11)))</f>
        <v>3.6569441391116189</v>
      </c>
      <c r="AJ12" s="13">
        <f>AI12*VLOOKUP('Données projet'!$B$10,Paramètres!$A$1:$I$89,3,0)*VLOOKUP('Données projet'!$B$10,Paramètres!$A$1:$I$89,5,0)</f>
        <v>3.6510930284890404</v>
      </c>
      <c r="AK12" s="13">
        <f t="shared" si="35"/>
        <v>1.4471346362405355</v>
      </c>
      <c r="AL12" s="20">
        <f t="shared" si="4"/>
        <v>8.8794131827373448</v>
      </c>
      <c r="AM12" s="59">
        <f t="shared" si="5"/>
        <v>302.21274651607064</v>
      </c>
      <c r="AN12" s="59">
        <f ca="1">AVERAGE(OFFSET($AM$3,0,0,'Données projet'!$E$10+1,1))-AVERAGE(OFFSET($H$3,0,0,'Données projet'!$E$10+1,1))</f>
        <v>525.29195699741149</v>
      </c>
      <c r="AO12" s="59">
        <f t="shared" si="36"/>
        <v>125.99812193007153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0</v>
      </c>
      <c r="BD12" s="12">
        <f>IF('Données projet'!$A$88&gt;35,BD11+BC12-BL11,IF(A12&lt;'Données projet'!$A$88,$BA$205^A12,IF(A12='Données projet'!$A$88,'Données projet'!$B$88,BD11+BC12-BL11)))</f>
        <v>0</v>
      </c>
      <c r="BE12" s="13" t="e">
        <f>BD12*VLOOKUP('Données projet'!$B$11,Paramètres!$A$1:$I$89,3,0)*VLOOKUP('Données projet'!$B$11,Paramètres!$A$1:$I$89,5,0)</f>
        <v>#N/A</v>
      </c>
      <c r="BF12" s="13" t="e">
        <f t="shared" si="37"/>
        <v>#N/A</v>
      </c>
      <c r="BG12" s="20" t="e">
        <f t="shared" si="7"/>
        <v>#N/A</v>
      </c>
      <c r="BH12" s="59" t="e">
        <f t="shared" si="8"/>
        <v>#N/A</v>
      </c>
      <c r="BI12" s="59" t="e">
        <f ca="1">AVERAGE(OFFSET($BH$3,0,0,'Données projet'!$E$11+1,1))-AVERAGE(OFFSET($H$3,0,0,'Données projet'!$E$11+1,1))</f>
        <v>#N/A</v>
      </c>
      <c r="BJ12" s="59" t="e">
        <f t="shared" si="38"/>
        <v>#N/A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 t="e">
        <f>EXP(-LN(2)/35)*BP11+(1-EXP(-LN(2)/35))/(LN(2)/35)*BL12*BM12*VLOOKUP('Données projet'!$B$11,Paramètres!$A$1:$I$89,3,0)*0.475*44/12</f>
        <v>#N/A</v>
      </c>
      <c r="BQ12" s="21" t="e">
        <f>EXP(-LN(2)/25)*BQ11+(1-EXP(-LN(2)/25))/(LN(2)/25)*Calculateur!BL12*Calculateur!BN12*VLOOKUP('Données projet'!$B$11,Paramètres!$A$1:$I$89,3,0)*0.475*44/12</f>
        <v>#N/A</v>
      </c>
      <c r="BR12" s="21" t="e">
        <f>EXP(-LN(2)/2)*BR11+(1-EXP(-LN(2)/2))/(LN(2)/2)*BL12*BO12*VLOOKUP('Données projet'!$B$11,Paramètres!$A$1:$I$89,3,0)*0.475*44/12</f>
        <v>#N/A</v>
      </c>
      <c r="BS12" s="22" t="e">
        <f t="shared" si="9"/>
        <v>#N/A</v>
      </c>
      <c r="BT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">
      <c r="A13" s="10">
        <f t="shared" si="31"/>
        <v>10</v>
      </c>
      <c r="B13" s="72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5.9799999999999995</v>
      </c>
      <c r="D13" s="11">
        <f t="shared" si="32"/>
        <v>2.2379234705753914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63.436602229003022</v>
      </c>
      <c r="H13" s="66">
        <f t="shared" si="1"/>
        <v>307.64621671125212</v>
      </c>
      <c r="I13" s="6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7.5454545454545459</v>
      </c>
      <c r="N13" s="13">
        <f>IF('Données projet'!$A$36&gt;35,N12+M13-V12,IF(A13&lt;'Données projet'!$A$36,$K$205^A13,IF(A13='Données projet'!$A$36,'Données projet'!$B$36,N12+M13-V12)))</f>
        <v>55.541352048391744</v>
      </c>
      <c r="O13" s="13">
        <f>N13*VLOOKUP('Données projet'!$B$9,Paramètres!$A$1:$I$89,3,0)*VLOOKUP('Données projet'!$B$9,Paramètres!$A$1:$I$89,5,0)</f>
        <v>33.213728524938269</v>
      </c>
      <c r="P13" s="13">
        <f t="shared" si="33"/>
        <v>10.180950459021789</v>
      </c>
      <c r="Q13" s="20">
        <f t="shared" si="2"/>
        <v>75.579065897063757</v>
      </c>
      <c r="R13" s="59">
        <f t="shared" si="0"/>
        <v>368.91239923039706</v>
      </c>
      <c r="S13" s="59">
        <f ca="1">AVERAGE(OFFSET($R$3,0,0,'Données projet'!$E$9+1,1))-AVERAGE(OFFSET($H$3,0,0,'Données projet'!$E$9+1,1))</f>
        <v>148.39628895278571</v>
      </c>
      <c r="T13" s="59">
        <f t="shared" si="34"/>
        <v>361.07991692964788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2.5115384616666665</v>
      </c>
      <c r="AI13" s="13">
        <f>IF('Données projet'!$A$62&gt;35,AI12+AH13-AQ12,IF(A13&lt;'Données projet'!$A$62,$AF$205^A13,IF(A13='Données projet'!$A$62,'Données projet'!$B$62,AI12+AH13-AQ12)))</f>
        <v>4.2236413142231752</v>
      </c>
      <c r="AJ13" s="13">
        <f>AI13*VLOOKUP('Données projet'!$B$10,Paramètres!$A$1:$I$89,3,0)*VLOOKUP('Données projet'!$B$10,Paramètres!$A$1:$I$89,5,0)</f>
        <v>4.2168834881204189</v>
      </c>
      <c r="AK13" s="13">
        <f t="shared" si="35"/>
        <v>1.6435943668534567</v>
      </c>
      <c r="AL13" s="20">
        <f t="shared" si="4"/>
        <v>10.206998930746167</v>
      </c>
      <c r="AM13" s="59">
        <f t="shared" si="5"/>
        <v>303.5403322640795</v>
      </c>
      <c r="AN13" s="59">
        <f ca="1">AVERAGE(OFFSET($AM$3,0,0,'Données projet'!$E$10+1,1))-AVERAGE(OFFSET($H$3,0,0,'Données projet'!$E$10+1,1))</f>
        <v>525.29195699741149</v>
      </c>
      <c r="AO13" s="59">
        <f t="shared" si="36"/>
        <v>125.99812193007153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0</v>
      </c>
      <c r="BD13" s="12">
        <f>IF('Données projet'!$A$88&gt;35,BD12+BC13-BL12,IF(A13&lt;'Données projet'!$A$88,$BA$205^A13,IF(A13='Données projet'!$A$88,'Données projet'!$B$88,BD12+BC13-BL12)))</f>
        <v>0</v>
      </c>
      <c r="BE13" s="13" t="e">
        <f>BD13*VLOOKUP('Données projet'!$B$11,Paramètres!$A$1:$I$89,3,0)*VLOOKUP('Données projet'!$B$11,Paramètres!$A$1:$I$89,5,0)</f>
        <v>#N/A</v>
      </c>
      <c r="BF13" s="13" t="e">
        <f t="shared" si="37"/>
        <v>#N/A</v>
      </c>
      <c r="BG13" s="20" t="e">
        <f t="shared" si="7"/>
        <v>#N/A</v>
      </c>
      <c r="BH13" s="59" t="e">
        <f t="shared" si="8"/>
        <v>#N/A</v>
      </c>
      <c r="BI13" s="59" t="e">
        <f ca="1">AVERAGE(OFFSET($BH$3,0,0,'Données projet'!$E$11+1,1))-AVERAGE(OFFSET($H$3,0,0,'Données projet'!$E$11+1,1))</f>
        <v>#N/A</v>
      </c>
      <c r="BJ13" s="59" t="e">
        <f t="shared" si="38"/>
        <v>#N/A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 t="e">
        <f>EXP(-LN(2)/35)*BP12+(1-EXP(-LN(2)/35))/(LN(2)/35)*BL13*BM13*VLOOKUP('Données projet'!$B$11,Paramètres!$A$1:$I$89,3,0)*0.475*44/12</f>
        <v>#N/A</v>
      </c>
      <c r="BQ13" s="21" t="e">
        <f>EXP(-LN(2)/25)*BQ12+(1-EXP(-LN(2)/25))/(LN(2)/25)*Calculateur!BL13*Calculateur!BN13*VLOOKUP('Données projet'!$B$11,Paramètres!$A$1:$I$89,3,0)*0.475*44/12</f>
        <v>#N/A</v>
      </c>
      <c r="BR13" s="21" t="e">
        <f>EXP(-LN(2)/2)*BR12+(1-EXP(-LN(2)/2))/(LN(2)/2)*BL13*BO13*VLOOKUP('Données projet'!$B$11,Paramètres!$A$1:$I$89,3,0)*0.475*44/12</f>
        <v>#N/A</v>
      </c>
      <c r="BS13" s="22" t="e">
        <f t="shared" si="9"/>
        <v>#N/A</v>
      </c>
      <c r="BT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">
      <c r="A14" s="10">
        <f t="shared" si="31"/>
        <v>11</v>
      </c>
      <c r="B14" s="72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6.5779999999999994</v>
      </c>
      <c r="D14" s="11">
        <f t="shared" si="32"/>
        <v>2.4345562183329115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69.570609404675096</v>
      </c>
      <c r="H14" s="66">
        <f t="shared" si="1"/>
        <v>309.03020208026311</v>
      </c>
      <c r="I14" s="6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>
        <f>VLOOKUP(A14,'Données projet'!$A$35:$I$55,2,0)</f>
        <v>83</v>
      </c>
      <c r="L14" s="12">
        <f>VLOOKUP(A14,'Données projet'!$A$35:$I$55,9,0)</f>
        <v>7.5454545454545459</v>
      </c>
      <c r="M14" s="12">
        <f t="array" ref="M14">INDEX(L:L,MIN(IF(ISNUMBER(L14:L210),ROW(L14:L210),"")))</f>
        <v>7.5454545454545459</v>
      </c>
      <c r="N14" s="13">
        <f>IF('Données projet'!$A$36&gt;35,N13+M14-V13,IF(A14&lt;'Données projet'!$A$36,$K$205^A14,IF(A14='Données projet'!$A$36,'Données projet'!$B$36,N13+M14-V13)))</f>
        <v>83</v>
      </c>
      <c r="O14" s="13">
        <f>N14*VLOOKUP('Données projet'!$B$9,Paramètres!$A$1:$I$89,3,0)*VLOOKUP('Données projet'!$B$9,Paramètres!$A$1:$I$89,5,0)</f>
        <v>49.634</v>
      </c>
      <c r="P14" s="13">
        <f t="shared" si="33"/>
        <v>14.519198189037462</v>
      </c>
      <c r="Q14" s="20">
        <f t="shared" si="2"/>
        <v>111.73348684590691</v>
      </c>
      <c r="R14" s="59">
        <f t="shared" si="0"/>
        <v>405.06682017924021</v>
      </c>
      <c r="S14" s="59">
        <f ca="1">AVERAGE(OFFSET($R$3,0,0,'Données projet'!$E$9+1,1))-AVERAGE(OFFSET($H$3,0,0,'Données projet'!$E$9+1,1))</f>
        <v>148.39628895278571</v>
      </c>
      <c r="T14" s="59">
        <f t="shared" si="34"/>
        <v>361.07991692964788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2.5115384616666665</v>
      </c>
      <c r="AI14" s="13">
        <f>IF('Données projet'!$A$62&gt;35,AI13+AH14-AQ13,IF(A14&lt;'Données projet'!$A$62,$AF$205^A14,IF(A14='Données projet'!$A$62,'Données projet'!$B$62,AI13+AH14-AQ13)))</f>
        <v>4.8781565352394285</v>
      </c>
      <c r="AJ14" s="13">
        <f>AI14*VLOOKUP('Données projet'!$B$10,Paramètres!$A$1:$I$89,3,0)*VLOOKUP('Données projet'!$B$10,Paramètres!$A$1:$I$89,5,0)</f>
        <v>4.870351484783046</v>
      </c>
      <c r="AK14" s="13">
        <f t="shared" si="35"/>
        <v>1.8667250268919697</v>
      </c>
      <c r="AL14" s="20">
        <f t="shared" si="4"/>
        <v>11.733741591167318</v>
      </c>
      <c r="AM14" s="59">
        <f t="shared" si="5"/>
        <v>305.06707492450062</v>
      </c>
      <c r="AN14" s="59">
        <f ca="1">AVERAGE(OFFSET($AM$3,0,0,'Données projet'!$E$10+1,1))-AVERAGE(OFFSET($H$3,0,0,'Données projet'!$E$10+1,1))</f>
        <v>525.29195699741149</v>
      </c>
      <c r="AO14" s="59">
        <f t="shared" si="36"/>
        <v>125.99812193007153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0</v>
      </c>
      <c r="BD14" s="12">
        <f>IF('Données projet'!$A$88&gt;35,BD13+BC14-BL13,IF(A14&lt;'Données projet'!$A$88,$BA$205^A14,IF(A14='Données projet'!$A$88,'Données projet'!$B$88,BD13+BC14-BL13)))</f>
        <v>0</v>
      </c>
      <c r="BE14" s="13" t="e">
        <f>BD14*VLOOKUP('Données projet'!$B$11,Paramètres!$A$1:$I$89,3,0)*VLOOKUP('Données projet'!$B$11,Paramètres!$A$1:$I$89,5,0)</f>
        <v>#N/A</v>
      </c>
      <c r="BF14" s="13" t="e">
        <f t="shared" si="37"/>
        <v>#N/A</v>
      </c>
      <c r="BG14" s="20" t="e">
        <f t="shared" si="7"/>
        <v>#N/A</v>
      </c>
      <c r="BH14" s="59" t="e">
        <f t="shared" si="8"/>
        <v>#N/A</v>
      </c>
      <c r="BI14" s="59" t="e">
        <f ca="1">AVERAGE(OFFSET($BH$3,0,0,'Données projet'!$E$11+1,1))-AVERAGE(OFFSET($H$3,0,0,'Données projet'!$E$11+1,1))</f>
        <v>#N/A</v>
      </c>
      <c r="BJ14" s="59" t="e">
        <f t="shared" si="38"/>
        <v>#N/A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 t="e">
        <f>EXP(-LN(2)/35)*BP13+(1-EXP(-LN(2)/35))/(LN(2)/35)*BL14*BM14*VLOOKUP('Données projet'!$B$11,Paramètres!$A$1:$I$89,3,0)*0.475*44/12</f>
        <v>#N/A</v>
      </c>
      <c r="BQ14" s="21" t="e">
        <f>EXP(-LN(2)/25)*BQ13+(1-EXP(-LN(2)/25))/(LN(2)/25)*Calculateur!BL14*Calculateur!BN14*VLOOKUP('Données projet'!$B$11,Paramètres!$A$1:$I$89,3,0)*0.475*44/12</f>
        <v>#N/A</v>
      </c>
      <c r="BR14" s="21" t="e">
        <f>EXP(-LN(2)/2)*BR13+(1-EXP(-LN(2)/2))/(LN(2)/2)*BL14*BO14*VLOOKUP('Données projet'!$B$11,Paramètres!$A$1:$I$89,3,0)*0.475*44/12</f>
        <v>#N/A</v>
      </c>
      <c r="BS14" s="22" t="e">
        <f t="shared" si="9"/>
        <v>#N/A</v>
      </c>
      <c r="BT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">
      <c r="A15" s="10">
        <f t="shared" si="31"/>
        <v>12</v>
      </c>
      <c r="B15" s="72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7.1759999999999993</v>
      </c>
      <c r="D15" s="11">
        <f t="shared" si="32"/>
        <v>2.629116193028969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75.688616226890289</v>
      </c>
      <c r="H15" s="66">
        <f t="shared" si="1"/>
        <v>310.41057736952541</v>
      </c>
      <c r="I15" s="6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>
        <f>VLOOKUP(A15,'Données projet'!$A$35:$I$55,2,0)</f>
        <v>106</v>
      </c>
      <c r="L15" s="12">
        <f>VLOOKUP(A15,'Données projet'!$A$35:$I$55,9,0)</f>
        <v>23</v>
      </c>
      <c r="M15" s="12">
        <f t="array" ref="M15">INDEX(L:L,MIN(IF(ISNUMBER(L15:L211),ROW(L15:L211),"")))</f>
        <v>23</v>
      </c>
      <c r="N15" s="13">
        <f>IF('Données projet'!$A$36&gt;35,N14+M15-V14,IF(A15&lt;'Données projet'!$A$36,$K$205^A15,IF(A15='Données projet'!$A$36,'Données projet'!$B$36,N14+M15-V14)))</f>
        <v>106</v>
      </c>
      <c r="O15" s="13">
        <f>N15*VLOOKUP('Données projet'!$B$9,Paramètres!$A$1:$I$89,3,0)*VLOOKUP('Données projet'!$B$9,Paramètres!$A$1:$I$89,5,0)</f>
        <v>63.388000000000012</v>
      </c>
      <c r="P15" s="13">
        <f t="shared" si="33"/>
        <v>18.022104085041263</v>
      </c>
      <c r="Q15" s="20">
        <f t="shared" si="2"/>
        <v>141.78926461478019</v>
      </c>
      <c r="R15" s="59">
        <f t="shared" si="0"/>
        <v>435.12259794811348</v>
      </c>
      <c r="S15" s="59">
        <f ca="1">AVERAGE(OFFSET($R$3,0,0,'Données projet'!$E$9+1,1))-AVERAGE(OFFSET($H$3,0,0,'Données projet'!$E$9+1,1))</f>
        <v>148.39628895278571</v>
      </c>
      <c r="T15" s="59">
        <f t="shared" si="34"/>
        <v>361.07991692964788</v>
      </c>
      <c r="U15" s="15">
        <f>IF(ISNA(VLOOKUP(A15,'Données projet'!$A$35:$I$55,3,0)),0,VLOOKUP(A15,'Données projet'!$A$35:$I$55,3,0))</f>
        <v>1</v>
      </c>
      <c r="V15" s="15">
        <f>IF(ISNA(VLOOKUP(A15,'Données projet'!$A$35:$I$55,4,0)),0,VLOOKUP(A15,'Données projet'!$A$35:$I$55,4,0))</f>
        <v>34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1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23.020547073308105</v>
      </c>
      <c r="AC15" s="22">
        <f t="shared" si="3"/>
        <v>23.020547073308105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2.5115384616666665</v>
      </c>
      <c r="AI15" s="13">
        <f>IF('Données projet'!$A$62&gt;35,AI14+AH15-AQ14,IF(A15&lt;'Données projet'!$A$62,$AF$205^A15,IF(A15='Données projet'!$A$62,'Données projet'!$B$62,AI14+AH15-AQ14)))</f>
        <v>5.6340984974657715</v>
      </c>
      <c r="AJ15" s="13">
        <f>AI15*VLOOKUP('Données projet'!$B$10,Paramètres!$A$1:$I$89,3,0)*VLOOKUP('Données projet'!$B$10,Paramètres!$A$1:$I$89,5,0)</f>
        <v>5.6250839398698265</v>
      </c>
      <c r="AK15" s="13">
        <f t="shared" si="35"/>
        <v>2.1201474015124306</v>
      </c>
      <c r="AL15" s="20">
        <f t="shared" si="4"/>
        <v>13.48961125290743</v>
      </c>
      <c r="AM15" s="59">
        <f t="shared" si="5"/>
        <v>306.82294458624074</v>
      </c>
      <c r="AN15" s="59">
        <f ca="1">AVERAGE(OFFSET($AM$3,0,0,'Données projet'!$E$10+1,1))-AVERAGE(OFFSET($H$3,0,0,'Données projet'!$E$10+1,1))</f>
        <v>525.29195699741149</v>
      </c>
      <c r="AO15" s="59">
        <f t="shared" si="36"/>
        <v>125.99812193007153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0</v>
      </c>
      <c r="BD15" s="12">
        <f>IF('Données projet'!$A$88&gt;35,BD14+BC15-BL14,IF(A15&lt;'Données projet'!$A$88,$BA$205^A15,IF(A15='Données projet'!$A$88,'Données projet'!$B$88,BD14+BC15-BL14)))</f>
        <v>0</v>
      </c>
      <c r="BE15" s="13" t="e">
        <f>BD15*VLOOKUP('Données projet'!$B$11,Paramètres!$A$1:$I$89,3,0)*VLOOKUP('Données projet'!$B$11,Paramètres!$A$1:$I$89,5,0)</f>
        <v>#N/A</v>
      </c>
      <c r="BF15" s="13" t="e">
        <f t="shared" si="37"/>
        <v>#N/A</v>
      </c>
      <c r="BG15" s="20" t="e">
        <f t="shared" si="7"/>
        <v>#N/A</v>
      </c>
      <c r="BH15" s="59" t="e">
        <f t="shared" si="8"/>
        <v>#N/A</v>
      </c>
      <c r="BI15" s="59" t="e">
        <f ca="1">AVERAGE(OFFSET($BH$3,0,0,'Données projet'!$E$11+1,1))-AVERAGE(OFFSET($H$3,0,0,'Données projet'!$E$11+1,1))</f>
        <v>#N/A</v>
      </c>
      <c r="BJ15" s="59" t="e">
        <f t="shared" si="38"/>
        <v>#N/A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 t="e">
        <f>EXP(-LN(2)/35)*BP14+(1-EXP(-LN(2)/35))/(LN(2)/35)*BL15*BM15*VLOOKUP('Données projet'!$B$11,Paramètres!$A$1:$I$89,3,0)*0.475*44/12</f>
        <v>#N/A</v>
      </c>
      <c r="BQ15" s="21" t="e">
        <f>EXP(-LN(2)/25)*BQ14+(1-EXP(-LN(2)/25))/(LN(2)/25)*Calculateur!BL15*Calculateur!BN15*VLOOKUP('Données projet'!$B$11,Paramètres!$A$1:$I$89,3,0)*0.475*44/12</f>
        <v>#N/A</v>
      </c>
      <c r="BR15" s="21" t="e">
        <f>EXP(-LN(2)/2)*BR14+(1-EXP(-LN(2)/2))/(LN(2)/2)*BL15*BO15*VLOOKUP('Données projet'!$B$11,Paramètres!$A$1:$I$89,3,0)*0.475*44/12</f>
        <v>#N/A</v>
      </c>
      <c r="BS15" s="22" t="e">
        <f t="shared" si="9"/>
        <v>#N/A</v>
      </c>
      <c r="BT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">
      <c r="A16" s="10">
        <f t="shared" si="31"/>
        <v>13</v>
      </c>
      <c r="B16" s="72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7.7739999999999991</v>
      </c>
      <c r="D16" s="11">
        <f t="shared" si="32"/>
        <v>2.8217957637427893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81.792107649944342</v>
      </c>
      <c r="H16" s="66">
        <f t="shared" si="1"/>
        <v>311.78767762185203</v>
      </c>
      <c r="I16" s="6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>
        <f>VLOOKUP(A16,'Données projet'!$A$35:$I$55,2,0)</f>
        <v>89</v>
      </c>
      <c r="L16" s="12">
        <f>VLOOKUP(A16,'Données projet'!$A$35:$I$55,9,0)</f>
        <v>17</v>
      </c>
      <c r="M16" s="12">
        <f t="array" ref="M16">INDEX(L:L,MIN(IF(ISNUMBER(L16:L212),ROW(L16:L212),"")))</f>
        <v>17</v>
      </c>
      <c r="N16" s="13">
        <f>IF('Données projet'!$A$36&gt;35,N15+M16-V15,IF(A16&lt;'Données projet'!$A$36,$K$205^A16,IF(A16='Données projet'!$A$36,'Données projet'!$B$36,N15+M16-V15)))</f>
        <v>89</v>
      </c>
      <c r="O16" s="13">
        <f>N16*VLOOKUP('Données projet'!$B$9,Paramètres!$A$1:$I$89,3,0)*VLOOKUP('Données projet'!$B$9,Paramètres!$A$1:$I$89,5,0)</f>
        <v>53.222000000000008</v>
      </c>
      <c r="P16" s="13">
        <f t="shared" si="33"/>
        <v>15.442806897867877</v>
      </c>
      <c r="Q16" s="20">
        <f t="shared" si="2"/>
        <v>119.59120534711991</v>
      </c>
      <c r="R16" s="59">
        <f t="shared" si="0"/>
        <v>412.92453868045322</v>
      </c>
      <c r="S16" s="59">
        <f ca="1">AVERAGE(OFFSET($R$3,0,0,'Données projet'!$E$9+1,1))-AVERAGE(OFFSET($H$3,0,0,'Données projet'!$E$9+1,1))</f>
        <v>148.39628895278571</v>
      </c>
      <c r="T16" s="59">
        <f t="shared" si="34"/>
        <v>361.07991692964788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16.277984942160291</v>
      </c>
      <c r="AC16" s="22">
        <f t="shared" si="3"/>
        <v>16.277984942160291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2.5115384616666665</v>
      </c>
      <c r="AI16" s="13">
        <f>IF('Données projet'!$A$62&gt;35,AI15+AH16-AQ15,IF(A16&lt;'Données projet'!$A$62,$AF$205^A16,IF(A16='Données projet'!$A$62,'Données projet'!$B$62,AI15+AH16-AQ15)))</f>
        <v>6.5071847633089641</v>
      </c>
      <c r="AJ16" s="13">
        <f>AI16*VLOOKUP('Données projet'!$B$10,Paramètres!$A$1:$I$89,3,0)*VLOOKUP('Données projet'!$B$10,Paramètres!$A$1:$I$89,5,0)</f>
        <v>6.4967732676876695</v>
      </c>
      <c r="AK16" s="13">
        <f t="shared" si="35"/>
        <v>2.4079738254883565</v>
      </c>
      <c r="AL16" s="20">
        <f t="shared" si="4"/>
        <v>15.509101187281574</v>
      </c>
      <c r="AM16" s="59">
        <f t="shared" si="5"/>
        <v>308.84243452061492</v>
      </c>
      <c r="AN16" s="59">
        <f ca="1">AVERAGE(OFFSET($AM$3,0,0,'Données projet'!$E$10+1,1))-AVERAGE(OFFSET($H$3,0,0,'Données projet'!$E$10+1,1))</f>
        <v>525.29195699741149</v>
      </c>
      <c r="AO16" s="59">
        <f t="shared" si="36"/>
        <v>125.99812193007153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0</v>
      </c>
      <c r="BD16" s="12">
        <f>IF('Données projet'!$A$88&gt;35,BD15+BC16-BL15,IF(A16&lt;'Données projet'!$A$88,$BA$205^A16,IF(A16='Données projet'!$A$88,'Données projet'!$B$88,BD15+BC16-BL15)))</f>
        <v>0</v>
      </c>
      <c r="BE16" s="13" t="e">
        <f>BD16*VLOOKUP('Données projet'!$B$11,Paramètres!$A$1:$I$89,3,0)*VLOOKUP('Données projet'!$B$11,Paramètres!$A$1:$I$89,5,0)</f>
        <v>#N/A</v>
      </c>
      <c r="BF16" s="13" t="e">
        <f t="shared" si="37"/>
        <v>#N/A</v>
      </c>
      <c r="BG16" s="20" t="e">
        <f t="shared" si="7"/>
        <v>#N/A</v>
      </c>
      <c r="BH16" s="59" t="e">
        <f t="shared" si="8"/>
        <v>#N/A</v>
      </c>
      <c r="BI16" s="59" t="e">
        <f ca="1">AVERAGE(OFFSET($BH$3,0,0,'Données projet'!$E$11+1,1))-AVERAGE(OFFSET($H$3,0,0,'Données projet'!$E$11+1,1))</f>
        <v>#N/A</v>
      </c>
      <c r="BJ16" s="59" t="e">
        <f t="shared" si="38"/>
        <v>#N/A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 t="e">
        <f>EXP(-LN(2)/35)*BP15+(1-EXP(-LN(2)/35))/(LN(2)/35)*BL16*BM16*VLOOKUP('Données projet'!$B$11,Paramètres!$A$1:$I$89,3,0)*0.475*44/12</f>
        <v>#N/A</v>
      </c>
      <c r="BQ16" s="21" t="e">
        <f>EXP(-LN(2)/25)*BQ15+(1-EXP(-LN(2)/25))/(LN(2)/25)*Calculateur!BL16*Calculateur!BN16*VLOOKUP('Données projet'!$B$11,Paramètres!$A$1:$I$89,3,0)*0.475*44/12</f>
        <v>#N/A</v>
      </c>
      <c r="BR16" s="21" t="e">
        <f>EXP(-LN(2)/2)*BR15+(1-EXP(-LN(2)/2))/(LN(2)/2)*BL16*BO16*VLOOKUP('Données projet'!$B$11,Paramètres!$A$1:$I$89,3,0)*0.475*44/12</f>
        <v>#N/A</v>
      </c>
      <c r="BS16" s="22" t="e">
        <f t="shared" si="9"/>
        <v>#N/A</v>
      </c>
      <c r="BT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">
      <c r="A17" s="10">
        <f t="shared" si="31"/>
        <v>14</v>
      </c>
      <c r="B17" s="72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8.3719999999999999</v>
      </c>
      <c r="D17" s="11">
        <f t="shared" si="32"/>
        <v>3.0127560231104038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87.882327195939965</v>
      </c>
      <c r="H17" s="66">
        <f t="shared" si="1"/>
        <v>313.16178340691727</v>
      </c>
      <c r="I17" s="6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>
        <f>VLOOKUP(A17,'Données projet'!$A$35:$I$55,2,0)</f>
        <v>110</v>
      </c>
      <c r="L17" s="12">
        <f>VLOOKUP(A17,'Données projet'!$A$35:$I$55,9,0)</f>
        <v>21</v>
      </c>
      <c r="M17" s="12">
        <f t="array" ref="M17">INDEX(L:L,MIN(IF(ISNUMBER(L17:L213),ROW(L17:L213),"")))</f>
        <v>21</v>
      </c>
      <c r="N17" s="13">
        <f>IF('Données projet'!$A$36&gt;35,N16+M17-V16,IF(A17&lt;'Données projet'!$A$36,$K$205^A17,IF(A17='Données projet'!$A$36,'Données projet'!$B$36,N16+M17-V16)))</f>
        <v>110</v>
      </c>
      <c r="O17" s="13">
        <f>N17*VLOOKUP('Données projet'!$B$9,Paramètres!$A$1:$I$89,3,0)*VLOOKUP('Données projet'!$B$9,Paramètres!$A$1:$I$89,5,0)</f>
        <v>65.78</v>
      </c>
      <c r="P17" s="13">
        <f t="shared" si="33"/>
        <v>18.621720661480644</v>
      </c>
      <c r="Q17" s="20">
        <f t="shared" si="2"/>
        <v>146.99966348541213</v>
      </c>
      <c r="R17" s="59">
        <f t="shared" si="0"/>
        <v>440.33299681874541</v>
      </c>
      <c r="S17" s="59">
        <f ca="1">AVERAGE(OFFSET($R$3,0,0,'Données projet'!$E$9+1,1))-AVERAGE(OFFSET($H$3,0,0,'Données projet'!$E$9+1,1))</f>
        <v>148.39628895278571</v>
      </c>
      <c r="T17" s="59">
        <f t="shared" si="34"/>
        <v>361.07991692964788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11.510273536654053</v>
      </c>
      <c r="AC17" s="22">
        <f t="shared" si="3"/>
        <v>11.510273536654053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2.5115384616666665</v>
      </c>
      <c r="AI17" s="13">
        <f>IF('Données projet'!$A$62&gt;35,AI16+AH17-AQ16,IF(A17&lt;'Données projet'!$A$62,$AF$205^A17,IF(A17='Données projet'!$A$62,'Données projet'!$B$62,AI16+AH17-AQ16)))</f>
        <v>7.5155685621908308</v>
      </c>
      <c r="AJ17" s="13">
        <f>AI17*VLOOKUP('Données projet'!$B$10,Paramètres!$A$1:$I$89,3,0)*VLOOKUP('Données projet'!$B$10,Paramètres!$A$1:$I$89,5,0)</f>
        <v>7.5035436524913264</v>
      </c>
      <c r="AK17" s="13">
        <f t="shared" si="35"/>
        <v>2.7348749148765434</v>
      </c>
      <c r="AL17" s="20">
        <f t="shared" si="4"/>
        <v>17.831912338165704</v>
      </c>
      <c r="AM17" s="59">
        <f t="shared" si="5"/>
        <v>311.16524567149901</v>
      </c>
      <c r="AN17" s="59">
        <f ca="1">AVERAGE(OFFSET($AM$3,0,0,'Données projet'!$E$10+1,1))-AVERAGE(OFFSET($H$3,0,0,'Données projet'!$E$10+1,1))</f>
        <v>525.29195699741149</v>
      </c>
      <c r="AO17" s="59">
        <f t="shared" si="36"/>
        <v>125.99812193007153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0</v>
      </c>
      <c r="BD17" s="12">
        <f>IF('Données projet'!$A$88&gt;35,BD16+BC17-BL16,IF(A17&lt;'Données projet'!$A$88,$BA$205^A17,IF(A17='Données projet'!$A$88,'Données projet'!$B$88,BD16+BC17-BL16)))</f>
        <v>0</v>
      </c>
      <c r="BE17" s="13" t="e">
        <f>BD17*VLOOKUP('Données projet'!$B$11,Paramètres!$A$1:$I$89,3,0)*VLOOKUP('Données projet'!$B$11,Paramètres!$A$1:$I$89,5,0)</f>
        <v>#N/A</v>
      </c>
      <c r="BF17" s="13" t="e">
        <f t="shared" si="37"/>
        <v>#N/A</v>
      </c>
      <c r="BG17" s="20" t="e">
        <f t="shared" si="7"/>
        <v>#N/A</v>
      </c>
      <c r="BH17" s="59" t="e">
        <f t="shared" si="8"/>
        <v>#N/A</v>
      </c>
      <c r="BI17" s="59" t="e">
        <f ca="1">AVERAGE(OFFSET($BH$3,0,0,'Données projet'!$E$11+1,1))-AVERAGE(OFFSET($H$3,0,0,'Données projet'!$E$11+1,1))</f>
        <v>#N/A</v>
      </c>
      <c r="BJ17" s="59" t="e">
        <f t="shared" si="38"/>
        <v>#N/A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 t="e">
        <f>EXP(-LN(2)/35)*BP16+(1-EXP(-LN(2)/35))/(LN(2)/35)*BL17*BM17*VLOOKUP('Données projet'!$B$11,Paramètres!$A$1:$I$89,3,0)*0.475*44/12</f>
        <v>#N/A</v>
      </c>
      <c r="BQ17" s="21" t="e">
        <f>EXP(-LN(2)/25)*BQ16+(1-EXP(-LN(2)/25))/(LN(2)/25)*Calculateur!BL17*Calculateur!BN17*VLOOKUP('Données projet'!$B$11,Paramètres!$A$1:$I$89,3,0)*0.475*44/12</f>
        <v>#N/A</v>
      </c>
      <c r="BR17" s="21" t="e">
        <f>EXP(-LN(2)/2)*BR16+(1-EXP(-LN(2)/2))/(LN(2)/2)*BL17*BO17*VLOOKUP('Données projet'!$B$11,Paramètres!$A$1:$I$89,3,0)*0.475*44/12</f>
        <v>#N/A</v>
      </c>
      <c r="BS17" s="22" t="e">
        <f t="shared" si="9"/>
        <v>#N/A</v>
      </c>
      <c r="BT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">
      <c r="A18" s="10">
        <f t="shared" si="31"/>
        <v>15</v>
      </c>
      <c r="B18" s="72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8.9700000000000006</v>
      </c>
      <c r="D18" s="11">
        <f t="shared" si="32"/>
        <v>3.2021337464957651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93.960330674704153</v>
      </c>
      <c r="H18" s="66">
        <f t="shared" si="1"/>
        <v>314.53313294181345</v>
      </c>
      <c r="I18" s="6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>
        <f>VLOOKUP(A18,'Données projet'!$A$35:$I$55,2,0)</f>
        <v>131</v>
      </c>
      <c r="L18" s="12">
        <f>VLOOKUP(A18,'Données projet'!$A$35:$I$55,9,0)</f>
        <v>21</v>
      </c>
      <c r="M18" s="12">
        <f t="array" ref="M18">INDEX(L:L,MIN(IF(ISNUMBER(L18:L214),ROW(L18:L214),"")))</f>
        <v>21</v>
      </c>
      <c r="N18" s="13">
        <f>IF('Données projet'!$A$36&gt;35,N17+M18-V17,IF(A18&lt;'Données projet'!$A$36,$K$205^A18,IF(A18='Données projet'!$A$36,'Données projet'!$B$36,N17+M18-V17)))</f>
        <v>131</v>
      </c>
      <c r="O18" s="13">
        <f>N18*VLOOKUP('Données projet'!$B$9,Paramètres!$A$1:$I$89,3,0)*VLOOKUP('Données projet'!$B$9,Paramètres!$A$1:$I$89,5,0)</f>
        <v>78.338000000000008</v>
      </c>
      <c r="P18" s="13">
        <f t="shared" si="33"/>
        <v>21.730321306378922</v>
      </c>
      <c r="Q18" s="20">
        <f t="shared" si="2"/>
        <v>174.28565960860999</v>
      </c>
      <c r="R18" s="59">
        <f t="shared" si="0"/>
        <v>467.6189929419433</v>
      </c>
      <c r="S18" s="59">
        <f ca="1">AVERAGE(OFFSET($R$3,0,0,'Données projet'!$E$9+1,1))-AVERAGE(OFFSET($H$3,0,0,'Données projet'!$E$9+1,1))</f>
        <v>148.39628895278571</v>
      </c>
      <c r="T18" s="59">
        <f t="shared" si="34"/>
        <v>361.07991692964788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8.1389924710801456</v>
      </c>
      <c r="AC18" s="22">
        <f t="shared" si="3"/>
        <v>8.1389924710801456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2.5115384616666665</v>
      </c>
      <c r="AI18" s="13">
        <f>IF('Données projet'!$A$62&gt;35,AI17+AH18-AQ17,IF(A18&lt;'Données projet'!$A$62,$AF$205^A18,IF(A18='Données projet'!$A$62,'Données projet'!$B$62,AI17+AH18-AQ17)))</f>
        <v>8.6802162329057069</v>
      </c>
      <c r="AJ18" s="13">
        <f>AI18*VLOOKUP('Données projet'!$B$10,Paramètres!$A$1:$I$89,3,0)*VLOOKUP('Données projet'!$B$10,Paramètres!$A$1:$I$89,5,0)</f>
        <v>8.6663278869330593</v>
      </c>
      <c r="AK18" s="13">
        <f t="shared" si="35"/>
        <v>3.1061553580234897</v>
      </c>
      <c r="AL18" s="20">
        <f t="shared" si="4"/>
        <v>20.503741651632655</v>
      </c>
      <c r="AM18" s="59">
        <f t="shared" si="5"/>
        <v>313.83707498496597</v>
      </c>
      <c r="AN18" s="59">
        <f ca="1">AVERAGE(OFFSET($AM$3,0,0,'Données projet'!$E$10+1,1))-AVERAGE(OFFSET($H$3,0,0,'Données projet'!$E$10+1,1))</f>
        <v>525.29195699741149</v>
      </c>
      <c r="AO18" s="59">
        <f t="shared" si="36"/>
        <v>125.99812193007153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0</v>
      </c>
      <c r="BD18" s="12">
        <f>IF('Données projet'!$A$88&gt;35,BD17+BC18-BL17,IF(A18&lt;'Données projet'!$A$88,$BA$205^A18,IF(A18='Données projet'!$A$88,'Données projet'!$B$88,BD17+BC18-BL17)))</f>
        <v>0</v>
      </c>
      <c r="BE18" s="13" t="e">
        <f>BD18*VLOOKUP('Données projet'!$B$11,Paramètres!$A$1:$I$89,3,0)*VLOOKUP('Données projet'!$B$11,Paramètres!$A$1:$I$89,5,0)</f>
        <v>#N/A</v>
      </c>
      <c r="BF18" s="13" t="e">
        <f t="shared" si="37"/>
        <v>#N/A</v>
      </c>
      <c r="BG18" s="20" t="e">
        <f t="shared" si="7"/>
        <v>#N/A</v>
      </c>
      <c r="BH18" s="59" t="e">
        <f t="shared" si="8"/>
        <v>#N/A</v>
      </c>
      <c r="BI18" s="59" t="e">
        <f ca="1">AVERAGE(OFFSET($BH$3,0,0,'Données projet'!$E$11+1,1))-AVERAGE(OFFSET($H$3,0,0,'Données projet'!$E$11+1,1))</f>
        <v>#N/A</v>
      </c>
      <c r="BJ18" s="59" t="e">
        <f t="shared" si="38"/>
        <v>#N/A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 t="e">
        <f>EXP(-LN(2)/35)*BP17+(1-EXP(-LN(2)/35))/(LN(2)/35)*BL18*BM18*VLOOKUP('Données projet'!$B$11,Paramètres!$A$1:$I$89,3,0)*0.475*44/12</f>
        <v>#N/A</v>
      </c>
      <c r="BQ18" s="21" t="e">
        <f>EXP(-LN(2)/25)*BQ17+(1-EXP(-LN(2)/25))/(LN(2)/25)*Calculateur!BL18*Calculateur!BN18*VLOOKUP('Données projet'!$B$11,Paramètres!$A$1:$I$89,3,0)*0.475*44/12</f>
        <v>#N/A</v>
      </c>
      <c r="BR18" s="21" t="e">
        <f>EXP(-LN(2)/2)*BR17+(1-EXP(-LN(2)/2))/(LN(2)/2)*BL18*BO18*VLOOKUP('Données projet'!$B$11,Paramètres!$A$1:$I$89,3,0)*0.475*44/12</f>
        <v>#N/A</v>
      </c>
      <c r="BS18" s="22" t="e">
        <f t="shared" si="9"/>
        <v>#N/A</v>
      </c>
      <c r="BT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">
      <c r="A19" s="10">
        <f t="shared" si="31"/>
        <v>16</v>
      </c>
      <c r="B19" s="72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9.5680000000000014</v>
      </c>
      <c r="D19" s="11">
        <f t="shared" si="32"/>
        <v>3.3900464408124646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100.02702515714888</v>
      </c>
      <c r="H19" s="66">
        <f t="shared" si="1"/>
        <v>315.90193088441504</v>
      </c>
      <c r="I19" s="6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>
        <f>VLOOKUP(A19,'Données projet'!$A$35:$I$55,2,0)</f>
        <v>153</v>
      </c>
      <c r="L19" s="12">
        <f>VLOOKUP(A19,'Données projet'!$A$35:$I$55,9,0)</f>
        <v>22</v>
      </c>
      <c r="M19" s="12">
        <f t="array" ref="M19">INDEX(L:L,MIN(IF(ISNUMBER(L19:L215),ROW(L19:L215),"")))</f>
        <v>22</v>
      </c>
      <c r="N19" s="13">
        <f>IF('Données projet'!$A$36&gt;35,N18+M19-V18,IF(A19&lt;'Données projet'!$A$36,$K$205^A19,IF(A19='Données projet'!$A$36,'Données projet'!$B$36,N18+M19-V18)))</f>
        <v>153</v>
      </c>
      <c r="O19" s="13">
        <f>N19*VLOOKUP('Données projet'!$B$9,Paramètres!$A$1:$I$89,3,0)*VLOOKUP('Données projet'!$B$9,Paramètres!$A$1:$I$89,5,0)</f>
        <v>91.494000000000014</v>
      </c>
      <c r="P19" s="13">
        <f t="shared" si="33"/>
        <v>24.925195840896542</v>
      </c>
      <c r="Q19" s="20">
        <f t="shared" si="2"/>
        <v>202.76343275622813</v>
      </c>
      <c r="R19" s="59">
        <f t="shared" si="0"/>
        <v>496.09676608956147</v>
      </c>
      <c r="S19" s="59">
        <f ca="1">AVERAGE(OFFSET($R$3,0,0,'Données projet'!$E$9+1,1))-AVERAGE(OFFSET($H$3,0,0,'Données projet'!$E$9+1,1))</f>
        <v>148.39628895278571</v>
      </c>
      <c r="T19" s="59">
        <f t="shared" si="34"/>
        <v>361.07991692964788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5.7551367683270263</v>
      </c>
      <c r="AC19" s="22">
        <f t="shared" si="3"/>
        <v>5.7551367683270263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2.5115384616666665</v>
      </c>
      <c r="AI19" s="13">
        <f>IF('Données projet'!$A$62&gt;35,AI18+AH19-AQ18,IF(A19&lt;'Données projet'!$A$62,$AF$205^A19,IF(A19='Données projet'!$A$62,'Données projet'!$B$62,AI18+AH19-AQ18)))</f>
        <v>10.025343156211713</v>
      </c>
      <c r="AJ19" s="13">
        <f>AI19*VLOOKUP('Données projet'!$B$10,Paramètres!$A$1:$I$89,3,0)*VLOOKUP('Données projet'!$B$10,Paramètres!$A$1:$I$89,5,0)</f>
        <v>10.009302607161775</v>
      </c>
      <c r="AK19" s="13">
        <f t="shared" si="35"/>
        <v>3.5278399957877298</v>
      </c>
      <c r="AL19" s="20">
        <f t="shared" si="4"/>
        <v>23.577190033470387</v>
      </c>
      <c r="AM19" s="59">
        <f t="shared" si="5"/>
        <v>316.91052336680372</v>
      </c>
      <c r="AN19" s="59">
        <f ca="1">AVERAGE(OFFSET($AM$3,0,0,'Données projet'!$E$10+1,1))-AVERAGE(OFFSET($H$3,0,0,'Données projet'!$E$10+1,1))</f>
        <v>525.29195699741149</v>
      </c>
      <c r="AO19" s="59">
        <f t="shared" si="36"/>
        <v>125.99812193007153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0</v>
      </c>
      <c r="BD19" s="12">
        <f>IF('Données projet'!$A$88&gt;35,BD18+BC19-BL18,IF(A19&lt;'Données projet'!$A$88,$BA$205^A19,IF(A19='Données projet'!$A$88,'Données projet'!$B$88,BD18+BC19-BL18)))</f>
        <v>0</v>
      </c>
      <c r="BE19" s="13" t="e">
        <f>BD19*VLOOKUP('Données projet'!$B$11,Paramètres!$A$1:$I$89,3,0)*VLOOKUP('Données projet'!$B$11,Paramètres!$A$1:$I$89,5,0)</f>
        <v>#N/A</v>
      </c>
      <c r="BF19" s="13" t="e">
        <f t="shared" si="37"/>
        <v>#N/A</v>
      </c>
      <c r="BG19" s="20" t="e">
        <f t="shared" si="7"/>
        <v>#N/A</v>
      </c>
      <c r="BH19" s="59" t="e">
        <f t="shared" si="8"/>
        <v>#N/A</v>
      </c>
      <c r="BI19" s="59" t="e">
        <f ca="1">AVERAGE(OFFSET($BH$3,0,0,'Données projet'!$E$11+1,1))-AVERAGE(OFFSET($H$3,0,0,'Données projet'!$E$11+1,1))</f>
        <v>#N/A</v>
      </c>
      <c r="BJ19" s="59" t="e">
        <f t="shared" si="38"/>
        <v>#N/A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 t="e">
        <f>EXP(-LN(2)/35)*BP18+(1-EXP(-LN(2)/35))/(LN(2)/35)*BL19*BM19*VLOOKUP('Données projet'!$B$11,Paramètres!$A$1:$I$89,3,0)*0.475*44/12</f>
        <v>#N/A</v>
      </c>
      <c r="BQ19" s="21" t="e">
        <f>EXP(-LN(2)/25)*BQ18+(1-EXP(-LN(2)/25))/(LN(2)/25)*Calculateur!BL19*Calculateur!BN19*VLOOKUP('Données projet'!$B$11,Paramètres!$A$1:$I$89,3,0)*0.475*44/12</f>
        <v>#N/A</v>
      </c>
      <c r="BR19" s="21" t="e">
        <f>EXP(-LN(2)/2)*BR18+(1-EXP(-LN(2)/2))/(LN(2)/2)*BL19*BO19*VLOOKUP('Données projet'!$B$11,Paramètres!$A$1:$I$89,3,0)*0.475*44/12</f>
        <v>#N/A</v>
      </c>
      <c r="BS19" s="22" t="e">
        <f t="shared" si="9"/>
        <v>#N/A</v>
      </c>
      <c r="BT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">
      <c r="A20" s="10">
        <f t="shared" si="31"/>
        <v>17</v>
      </c>
      <c r="B20" s="72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10.166000000000002</v>
      </c>
      <c r="D20" s="11">
        <f t="shared" si="32"/>
        <v>3.576596094420871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106.08319792184534</v>
      </c>
      <c r="H20" s="66">
        <f t="shared" si="1"/>
        <v>317.26835486444969</v>
      </c>
      <c r="I20" s="6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>
        <f>VLOOKUP(A20,'Données projet'!$A$35:$I$55,2,0)</f>
        <v>176</v>
      </c>
      <c r="L20" s="12">
        <f>VLOOKUP(A20,'Données projet'!$A$35:$I$55,9,0)</f>
        <v>23</v>
      </c>
      <c r="M20" s="12">
        <f t="array" ref="M20">INDEX(L:L,MIN(IF(ISNUMBER(L20:L216),ROW(L20:L216),"")))</f>
        <v>23</v>
      </c>
      <c r="N20" s="13">
        <f>IF('Données projet'!$A$36&gt;35,N19+M20-V19,IF(A20&lt;'Données projet'!$A$36,$K$205^A20,IF(A20='Données projet'!$A$36,'Données projet'!$B$36,N19+M20-V19)))</f>
        <v>176</v>
      </c>
      <c r="O20" s="13">
        <f>N20*VLOOKUP('Données projet'!$B$9,Paramètres!$A$1:$I$89,3,0)*VLOOKUP('Données projet'!$B$9,Paramètres!$A$1:$I$89,5,0)</f>
        <v>105.24800000000002</v>
      </c>
      <c r="P20" s="13">
        <f t="shared" si="33"/>
        <v>28.208515027560551</v>
      </c>
      <c r="Q20" s="20">
        <f t="shared" si="2"/>
        <v>232.43676367300131</v>
      </c>
      <c r="R20" s="59">
        <f t="shared" si="0"/>
        <v>525.77009700633459</v>
      </c>
      <c r="S20" s="59">
        <f ca="1">AVERAGE(OFFSET($R$3,0,0,'Données projet'!$E$9+1,1))-AVERAGE(OFFSET($H$3,0,0,'Données projet'!$E$9+1,1))</f>
        <v>148.39628895278571</v>
      </c>
      <c r="T20" s="59">
        <f t="shared" si="34"/>
        <v>361.07991692964788</v>
      </c>
      <c r="U20" s="15">
        <f>IF(ISNA(VLOOKUP(A20,'Données projet'!$A$35:$I$55,3,0)),0,VLOOKUP(A20,'Données projet'!$A$35:$I$55,3,0))</f>
        <v>2</v>
      </c>
      <c r="V20" s="15">
        <f>IF(ISNA(VLOOKUP(A20,'Données projet'!$A$35:$I$55,4,0)),0,VLOOKUP(A20,'Données projet'!$A$35:$I$55,4,0))</f>
        <v>43</v>
      </c>
      <c r="W20" s="16">
        <f>IF(ISNA(VLOOKUP(A20,'Données projet'!$A$35:$I$55,5,0)),0%,VLOOKUP(A20,'Données projet'!$A$35:$I$55,5,0)*VLOOKUP('Données projet'!$B$9,Paramètres!$A$1:$I$89,7,0))</f>
        <v>0.1125</v>
      </c>
      <c r="X20" s="16">
        <f>IF(ISNA(VLOOKUP(A20,'Données projet'!$A$35:$I$55,6,0)),0%,VLOOKUP(A20,'Données projet'!$A$35:$I$55,6,0)*VLOOKUP('Données projet'!$B$9,Paramètres!$A$1:$I$89,7,0))</f>
        <v>0.33750000000000002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3.837518820806888</v>
      </c>
      <c r="AA20" s="21">
        <f>EXP(-LN(2)/25)*AA19+(1-EXP(-LN(2)/25))/(LN(2)/25)*Calculateur!V20*Calculateur!X20*VLOOKUP('Données projet'!$B$9,Paramètres!$A$1:$I$89,3,0)*0.475*44/12</f>
        <v>11.467227141000196</v>
      </c>
      <c r="AB20" s="21">
        <f>EXP(-LN(2)/2)*AB19+(1-EXP(-LN(2)/2))/(LN(2)/2)*V20*Y20*VLOOKUP('Données projet'!$B$9,Paramètres!$A$1:$I$89,3,0)*0.475*44/12</f>
        <v>4.0694962355400728</v>
      </c>
      <c r="AC20" s="22">
        <f t="shared" si="3"/>
        <v>19.374242197347158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2.5115384616666665</v>
      </c>
      <c r="AI20" s="13">
        <f>IF('Données projet'!$A$62&gt;35,AI19+AH20-AQ19,IF(A20&lt;'Données projet'!$A$62,$AF$205^A20,IF(A20='Données projet'!$A$62,'Données projet'!$B$62,AI19+AH20-AQ19)))</f>
        <v>11.578917241576145</v>
      </c>
      <c r="AJ20" s="13">
        <f>AI20*VLOOKUP('Données projet'!$B$10,Paramètres!$A$1:$I$89,3,0)*VLOOKUP('Données projet'!$B$10,Paramètres!$A$1:$I$89,5,0)</f>
        <v>11.560390973989623</v>
      </c>
      <c r="AK20" s="13">
        <f t="shared" si="35"/>
        <v>4.0067715878187737</v>
      </c>
      <c r="AL20" s="20">
        <f t="shared" si="4"/>
        <v>27.112808128482957</v>
      </c>
      <c r="AM20" s="59">
        <f t="shared" si="5"/>
        <v>320.4461414618163</v>
      </c>
      <c r="AN20" s="59">
        <f ca="1">AVERAGE(OFFSET($AM$3,0,0,'Données projet'!$E$10+1,1))-AVERAGE(OFFSET($H$3,0,0,'Données projet'!$E$10+1,1))</f>
        <v>525.29195699741149</v>
      </c>
      <c r="AO20" s="59">
        <f t="shared" si="36"/>
        <v>125.99812193007153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0</v>
      </c>
      <c r="BD20" s="12">
        <f>IF('Données projet'!$A$88&gt;35,BD19+BC20-BL19,IF(A20&lt;'Données projet'!$A$88,$BA$205^A20,IF(A20='Données projet'!$A$88,'Données projet'!$B$88,BD19+BC20-BL19)))</f>
        <v>0</v>
      </c>
      <c r="BE20" s="13" t="e">
        <f>BD20*VLOOKUP('Données projet'!$B$11,Paramètres!$A$1:$I$89,3,0)*VLOOKUP('Données projet'!$B$11,Paramètres!$A$1:$I$89,5,0)</f>
        <v>#N/A</v>
      </c>
      <c r="BF20" s="13" t="e">
        <f t="shared" si="37"/>
        <v>#N/A</v>
      </c>
      <c r="BG20" s="20" t="e">
        <f t="shared" si="7"/>
        <v>#N/A</v>
      </c>
      <c r="BH20" s="59" t="e">
        <f t="shared" si="8"/>
        <v>#N/A</v>
      </c>
      <c r="BI20" s="59" t="e">
        <f ca="1">AVERAGE(OFFSET($BH$3,0,0,'Données projet'!$E$11+1,1))-AVERAGE(OFFSET($H$3,0,0,'Données projet'!$E$11+1,1))</f>
        <v>#N/A</v>
      </c>
      <c r="BJ20" s="59" t="e">
        <f t="shared" si="38"/>
        <v>#N/A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 t="e">
        <f>EXP(-LN(2)/35)*BP19+(1-EXP(-LN(2)/35))/(LN(2)/35)*BL20*BM20*VLOOKUP('Données projet'!$B$11,Paramètres!$A$1:$I$89,3,0)*0.475*44/12</f>
        <v>#N/A</v>
      </c>
      <c r="BQ20" s="21" t="e">
        <f>EXP(-LN(2)/25)*BQ19+(1-EXP(-LN(2)/25))/(LN(2)/25)*Calculateur!BL20*Calculateur!BN20*VLOOKUP('Données projet'!$B$11,Paramètres!$A$1:$I$89,3,0)*0.475*44/12</f>
        <v>#N/A</v>
      </c>
      <c r="BR20" s="21" t="e">
        <f>EXP(-LN(2)/2)*BR19+(1-EXP(-LN(2)/2))/(LN(2)/2)*BL20*BO20*VLOOKUP('Données projet'!$B$11,Paramètres!$A$1:$I$89,3,0)*0.475*44/12</f>
        <v>#N/A</v>
      </c>
      <c r="BS20" s="22" t="e">
        <f t="shared" si="9"/>
        <v>#N/A</v>
      </c>
      <c r="BT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">
      <c r="A21" s="10">
        <f t="shared" si="31"/>
        <v>18</v>
      </c>
      <c r="B21" s="72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10.764000000000003</v>
      </c>
      <c r="D21" s="11">
        <f t="shared" si="32"/>
        <v>3.76187201923933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112.12953839412819</v>
      </c>
      <c r="H21" s="66">
        <f t="shared" si="1"/>
        <v>318.6325604335085</v>
      </c>
      <c r="I21" s="6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>
        <f>VLOOKUP(A21,'Données projet'!$A$35:$I$55,2,0)</f>
        <v>151</v>
      </c>
      <c r="L21" s="12">
        <f>VLOOKUP(A21,'Données projet'!$A$35:$I$55,9,0)</f>
        <v>18</v>
      </c>
      <c r="M21" s="12">
        <f t="array" ref="M21">INDEX(L:L,MIN(IF(ISNUMBER(L21:L217),ROW(L21:L217),"")))</f>
        <v>18</v>
      </c>
      <c r="N21" s="13">
        <f>IF('Données projet'!$A$36&gt;35,N20+M21-V20,IF(A21&lt;'Données projet'!$A$36,$K$205^A21,IF(A21='Données projet'!$A$36,'Données projet'!$B$36,N20+M21-V20)))</f>
        <v>151</v>
      </c>
      <c r="O21" s="13">
        <f>N21*VLOOKUP('Données projet'!$B$9,Paramètres!$A$1:$I$89,3,0)*VLOOKUP('Données projet'!$B$9,Paramètres!$A$1:$I$89,5,0)</f>
        <v>90.298000000000016</v>
      </c>
      <c r="P21" s="13">
        <f t="shared" si="33"/>
        <v>24.637081585210524</v>
      </c>
      <c r="Q21" s="20">
        <f t="shared" si="2"/>
        <v>200.17860042757502</v>
      </c>
      <c r="R21" s="59">
        <f t="shared" si="0"/>
        <v>493.51193376090833</v>
      </c>
      <c r="S21" s="59">
        <f ca="1">AVERAGE(OFFSET($R$3,0,0,'Données projet'!$E$9+1,1))-AVERAGE(OFFSET($H$3,0,0,'Données projet'!$E$9+1,1))</f>
        <v>148.39628895278571</v>
      </c>
      <c r="T21" s="59">
        <f t="shared" si="34"/>
        <v>361.07991692964788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3.7622674173862252</v>
      </c>
      <c r="AA21" s="21">
        <f>EXP(-LN(2)/25)*AA20+(1-EXP(-LN(2)/25))/(LN(2)/25)*Calculateur!V21*Calculateur!X21*VLOOKUP('Données projet'!$B$9,Paramètres!$A$1:$I$89,3,0)*0.475*44/12</f>
        <v>11.153655211794279</v>
      </c>
      <c r="AB21" s="21">
        <f>EXP(-LN(2)/2)*AB20+(1-EXP(-LN(2)/2))/(LN(2)/2)*V21*Y21*VLOOKUP('Données projet'!$B$9,Paramètres!$A$1:$I$89,3,0)*0.475*44/12</f>
        <v>2.8775683841635131</v>
      </c>
      <c r="AC21" s="22">
        <f t="shared" si="3"/>
        <v>17.793491013344017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2.5115384616666665</v>
      </c>
      <c r="AI21" s="13">
        <f>IF('Données projet'!$A$62&gt;35,AI20+AH21-AQ20,IF(A21&lt;'Données projet'!$A$62,$AF$205^A21,IF(A21='Données projet'!$A$62,'Données projet'!$B$62,AI20+AH21-AQ20)))</f>
        <v>13.373240436582819</v>
      </c>
      <c r="AJ21" s="13">
        <f>AI21*VLOOKUP('Données projet'!$B$10,Paramètres!$A$1:$I$89,3,0)*VLOOKUP('Données projet'!$B$10,Paramètres!$A$1:$I$89,5,0)</f>
        <v>13.351843251884288</v>
      </c>
      <c r="AK21" s="13">
        <f t="shared" si="35"/>
        <v>4.5507218513653243</v>
      </c>
      <c r="AL21" s="20">
        <f t="shared" si="4"/>
        <v>31.180300888159739</v>
      </c>
      <c r="AM21" s="59">
        <f t="shared" si="5"/>
        <v>324.51363422149308</v>
      </c>
      <c r="AN21" s="59">
        <f ca="1">AVERAGE(OFFSET($AM$3,0,0,'Données projet'!$E$10+1,1))-AVERAGE(OFFSET($H$3,0,0,'Données projet'!$E$10+1,1))</f>
        <v>525.29195699741149</v>
      </c>
      <c r="AO21" s="59">
        <f t="shared" si="36"/>
        <v>125.99812193007153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0</v>
      </c>
      <c r="BD21" s="12">
        <f>IF('Données projet'!$A$88&gt;35,BD20+BC21-BL20,IF(A21&lt;'Données projet'!$A$88,$BA$205^A21,IF(A21='Données projet'!$A$88,'Données projet'!$B$88,BD20+BC21-BL20)))</f>
        <v>0</v>
      </c>
      <c r="BE21" s="13" t="e">
        <f>BD21*VLOOKUP('Données projet'!$B$11,Paramètres!$A$1:$I$89,3,0)*VLOOKUP('Données projet'!$B$11,Paramètres!$A$1:$I$89,5,0)</f>
        <v>#N/A</v>
      </c>
      <c r="BF21" s="13" t="e">
        <f t="shared" si="37"/>
        <v>#N/A</v>
      </c>
      <c r="BG21" s="20" t="e">
        <f t="shared" si="7"/>
        <v>#N/A</v>
      </c>
      <c r="BH21" s="59" t="e">
        <f t="shared" si="8"/>
        <v>#N/A</v>
      </c>
      <c r="BI21" s="59" t="e">
        <f ca="1">AVERAGE(OFFSET($BH$3,0,0,'Données projet'!$E$11+1,1))-AVERAGE(OFFSET($H$3,0,0,'Données projet'!$E$11+1,1))</f>
        <v>#N/A</v>
      </c>
      <c r="BJ21" s="59" t="e">
        <f t="shared" si="38"/>
        <v>#N/A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 t="e">
        <f>EXP(-LN(2)/35)*BP20+(1-EXP(-LN(2)/35))/(LN(2)/35)*BL21*BM21*VLOOKUP('Données projet'!$B$11,Paramètres!$A$1:$I$89,3,0)*0.475*44/12</f>
        <v>#N/A</v>
      </c>
      <c r="BQ21" s="21" t="e">
        <f>EXP(-LN(2)/25)*BQ20+(1-EXP(-LN(2)/25))/(LN(2)/25)*Calculateur!BL21*Calculateur!BN21*VLOOKUP('Données projet'!$B$11,Paramètres!$A$1:$I$89,3,0)*0.475*44/12</f>
        <v>#N/A</v>
      </c>
      <c r="BR21" s="21" t="e">
        <f>EXP(-LN(2)/2)*BR20+(1-EXP(-LN(2)/2))/(LN(2)/2)*BL21*BO21*VLOOKUP('Données projet'!$B$11,Paramètres!$A$1:$I$89,3,0)*0.475*44/12</f>
        <v>#N/A</v>
      </c>
      <c r="BS21" s="22" t="e">
        <f t="shared" si="9"/>
        <v>#N/A</v>
      </c>
      <c r="BT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">
      <c r="A22" s="10">
        <f t="shared" si="31"/>
        <v>19</v>
      </c>
      <c r="B22" s="72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11.362000000000004</v>
      </c>
      <c r="D22" s="11">
        <f t="shared" si="32"/>
        <v>3.9459530431682608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118.16665507007083</v>
      </c>
      <c r="H22" s="66">
        <f t="shared" si="1"/>
        <v>319.99468488351806</v>
      </c>
      <c r="I22" s="6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>
        <f>VLOOKUP(A22,'Données projet'!$A$35:$I$55,2,0)</f>
        <v>171</v>
      </c>
      <c r="L22" s="12">
        <f>VLOOKUP(A22,'Données projet'!$A$35:$I$55,9,0)</f>
        <v>20</v>
      </c>
      <c r="M22" s="12">
        <f t="array" ref="M22">INDEX(L:L,MIN(IF(ISNUMBER(L22:L218),ROW(L22:L218),"")))</f>
        <v>20</v>
      </c>
      <c r="N22" s="13">
        <f>IF('Données projet'!$A$36&gt;35,N21+M22-V21,IF(A22&lt;'Données projet'!$A$36,$K$205^A22,IF(A22='Données projet'!$A$36,'Données projet'!$B$36,N21+M22-V21)))</f>
        <v>171</v>
      </c>
      <c r="O22" s="13">
        <f>N22*VLOOKUP('Données projet'!$B$9,Paramètres!$A$1:$I$89,3,0)*VLOOKUP('Données projet'!$B$9,Paramètres!$A$1:$I$89,5,0)</f>
        <v>102.258</v>
      </c>
      <c r="P22" s="13">
        <f t="shared" si="33"/>
        <v>27.499233847895859</v>
      </c>
      <c r="Q22" s="20">
        <f t="shared" si="2"/>
        <v>225.99384895175194</v>
      </c>
      <c r="R22" s="59">
        <f t="shared" si="0"/>
        <v>519.3271822850852</v>
      </c>
      <c r="S22" s="59">
        <f ca="1">AVERAGE(OFFSET($R$3,0,0,'Données projet'!$E$9+1,1))-AVERAGE(OFFSET($H$3,0,0,'Données projet'!$E$9+1,1))</f>
        <v>148.39628895278571</v>
      </c>
      <c r="T22" s="59">
        <f t="shared" si="34"/>
        <v>361.07991692964788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3.6884916480878176</v>
      </c>
      <c r="AA22" s="21">
        <f>EXP(-LN(2)/25)*AA21+(1-EXP(-LN(2)/25))/(LN(2)/25)*Calculateur!V22*Calculateur!X22*VLOOKUP('Données projet'!$B$9,Paramètres!$A$1:$I$89,3,0)*0.475*44/12</f>
        <v>10.848657923482529</v>
      </c>
      <c r="AB22" s="21">
        <f>EXP(-LN(2)/2)*AB21+(1-EXP(-LN(2)/2))/(LN(2)/2)*V22*Y22*VLOOKUP('Données projet'!$B$9,Paramètres!$A$1:$I$89,3,0)*0.475*44/12</f>
        <v>2.0347481177700364</v>
      </c>
      <c r="AC22" s="22">
        <f t="shared" si="3"/>
        <v>16.571897689340382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2.5115384616666665</v>
      </c>
      <c r="AI22" s="13">
        <f>IF('Données projet'!$A$62&gt;35,AI21+AH22-AQ21,IF(A22&lt;'Données projet'!$A$62,$AF$205^A22,IF(A22='Données projet'!$A$62,'Données projet'!$B$62,AI21+AH22-AQ21)))</f>
        <v>15.445620349758135</v>
      </c>
      <c r="AJ22" s="13">
        <f>AI22*VLOOKUP('Données projet'!$B$10,Paramètres!$A$1:$I$89,3,0)*VLOOKUP('Données projet'!$B$10,Paramètres!$A$1:$I$89,5,0)</f>
        <v>15.420907357198523</v>
      </c>
      <c r="AK22" s="13">
        <f t="shared" si="35"/>
        <v>5.1685175744613767</v>
      </c>
      <c r="AL22" s="20">
        <f t="shared" si="4"/>
        <v>35.859915089307655</v>
      </c>
      <c r="AM22" s="59">
        <f t="shared" si="5"/>
        <v>329.19324842264098</v>
      </c>
      <c r="AN22" s="59">
        <f ca="1">AVERAGE(OFFSET($AM$3,0,0,'Données projet'!$E$10+1,1))-AVERAGE(OFFSET($H$3,0,0,'Données projet'!$E$10+1,1))</f>
        <v>525.29195699741149</v>
      </c>
      <c r="AO22" s="59">
        <f t="shared" si="36"/>
        <v>125.99812193007153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0</v>
      </c>
      <c r="BD22" s="12">
        <f>IF('Données projet'!$A$88&gt;35,BD21+BC22-BL21,IF(A22&lt;'Données projet'!$A$88,$BA$205^A22,IF(A22='Données projet'!$A$88,'Données projet'!$B$88,BD21+BC22-BL21)))</f>
        <v>0</v>
      </c>
      <c r="BE22" s="13" t="e">
        <f>BD22*VLOOKUP('Données projet'!$B$11,Paramètres!$A$1:$I$89,3,0)*VLOOKUP('Données projet'!$B$11,Paramètres!$A$1:$I$89,5,0)</f>
        <v>#N/A</v>
      </c>
      <c r="BF22" s="13" t="e">
        <f t="shared" si="37"/>
        <v>#N/A</v>
      </c>
      <c r="BG22" s="20" t="e">
        <f t="shared" si="7"/>
        <v>#N/A</v>
      </c>
      <c r="BH22" s="59" t="e">
        <f t="shared" si="8"/>
        <v>#N/A</v>
      </c>
      <c r="BI22" s="59" t="e">
        <f ca="1">AVERAGE(OFFSET($BH$3,0,0,'Données projet'!$E$11+1,1))-AVERAGE(OFFSET($H$3,0,0,'Données projet'!$E$11+1,1))</f>
        <v>#N/A</v>
      </c>
      <c r="BJ22" s="59" t="e">
        <f t="shared" si="38"/>
        <v>#N/A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 t="e">
        <f>EXP(-LN(2)/35)*BP21+(1-EXP(-LN(2)/35))/(LN(2)/35)*BL22*BM22*VLOOKUP('Données projet'!$B$11,Paramètres!$A$1:$I$89,3,0)*0.475*44/12</f>
        <v>#N/A</v>
      </c>
      <c r="BQ22" s="21" t="e">
        <f>EXP(-LN(2)/25)*BQ21+(1-EXP(-LN(2)/25))/(LN(2)/25)*Calculateur!BL22*Calculateur!BN22*VLOOKUP('Données projet'!$B$11,Paramètres!$A$1:$I$89,3,0)*0.475*44/12</f>
        <v>#N/A</v>
      </c>
      <c r="BR22" s="21" t="e">
        <f>EXP(-LN(2)/2)*BR21+(1-EXP(-LN(2)/2))/(LN(2)/2)*BL22*BO22*VLOOKUP('Données projet'!$B$11,Paramètres!$A$1:$I$89,3,0)*0.475*44/12</f>
        <v>#N/A</v>
      </c>
      <c r="BS22" s="22" t="e">
        <f t="shared" si="9"/>
        <v>#N/A</v>
      </c>
      <c r="BT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">
      <c r="A23" s="10">
        <f t="shared" si="31"/>
        <v>20</v>
      </c>
      <c r="B23" s="72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11.960000000000004</v>
      </c>
      <c r="D23" s="11">
        <f t="shared" si="32"/>
        <v>4.1289092277839252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124.19508877587594</v>
      </c>
      <c r="H23" s="66">
        <f t="shared" si="1"/>
        <v>321.35485023839033</v>
      </c>
      <c r="I23" s="6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>
        <f>VLOOKUP(A23,'Données projet'!$A$35:$I$55,2,0)</f>
        <v>192</v>
      </c>
      <c r="L23" s="12">
        <f>VLOOKUP(A23,'Données projet'!$A$35:$I$55,9,0)</f>
        <v>21</v>
      </c>
      <c r="M23" s="12">
        <f t="array" ref="M23">INDEX(L:L,MIN(IF(ISNUMBER(L23:L219),ROW(L23:L219),"")))</f>
        <v>21</v>
      </c>
      <c r="N23" s="13">
        <f>IF('Données projet'!$A$36&gt;35,N22+M23-V22,IF(A23&lt;'Données projet'!$A$36,$K$205^A23,IF(A23='Données projet'!$A$36,'Données projet'!$B$36,N22+M23-V22)))</f>
        <v>192</v>
      </c>
      <c r="O23" s="13">
        <f>N23*VLOOKUP('Données projet'!$B$9,Paramètres!$A$1:$I$89,3,0)*VLOOKUP('Données projet'!$B$9,Paramètres!$A$1:$I$89,5,0)</f>
        <v>114.81600000000002</v>
      </c>
      <c r="P23" s="13">
        <f t="shared" si="33"/>
        <v>30.462826482209831</v>
      </c>
      <c r="Q23" s="20">
        <f t="shared" si="2"/>
        <v>253.02728945651543</v>
      </c>
      <c r="R23" s="59">
        <f t="shared" si="0"/>
        <v>546.36062278984878</v>
      </c>
      <c r="S23" s="59">
        <f ca="1">AVERAGE(OFFSET($R$3,0,0,'Données projet'!$E$9+1,1))-AVERAGE(OFFSET($H$3,0,0,'Données projet'!$E$9+1,1))</f>
        <v>148.39628895278571</v>
      </c>
      <c r="T23" s="59">
        <f t="shared" si="34"/>
        <v>361.07991692964788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3.6161625766265759</v>
      </c>
      <c r="AA23" s="21">
        <f>EXP(-LN(2)/25)*AA22+(1-EXP(-LN(2)/25))/(LN(2)/25)*Calculateur!V23*Calculateur!X23*VLOOKUP('Données projet'!$B$9,Paramètres!$A$1:$I$89,3,0)*0.475*44/12</f>
        <v>10.552000802058775</v>
      </c>
      <c r="AB23" s="21">
        <f>EXP(-LN(2)/2)*AB22+(1-EXP(-LN(2)/2))/(LN(2)/2)*V23*Y23*VLOOKUP('Données projet'!$B$9,Paramètres!$A$1:$I$89,3,0)*0.475*44/12</f>
        <v>1.4387841920817566</v>
      </c>
      <c r="AC23" s="22">
        <f t="shared" si="3"/>
        <v>15.606947570767106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2.5115384616666665</v>
      </c>
      <c r="AI23" s="13">
        <f>IF('Données projet'!$A$62&gt;35,AI22+AH23-AQ22,IF(A23&lt;'Données projet'!$A$62,$AF$205^A23,IF(A23='Données projet'!$A$62,'Données projet'!$B$62,AI22+AH23-AQ22)))</f>
        <v>17.839145951212871</v>
      </c>
      <c r="AJ23" s="13">
        <f>AI23*VLOOKUP('Données projet'!$B$10,Paramètres!$A$1:$I$89,3,0)*VLOOKUP('Données projet'!$B$10,Paramètres!$A$1:$I$89,5,0)</f>
        <v>17.81060331769093</v>
      </c>
      <c r="AK23" s="13">
        <f t="shared" si="35"/>
        <v>5.8701838499536976</v>
      </c>
      <c r="AL23" s="20">
        <f t="shared" si="4"/>
        <v>41.24403765031439</v>
      </c>
      <c r="AM23" s="59">
        <f t="shared" si="5"/>
        <v>334.57737098364771</v>
      </c>
      <c r="AN23" s="59">
        <f ca="1">AVERAGE(OFFSET($AM$3,0,0,'Données projet'!$E$10+1,1))-AVERAGE(OFFSET($H$3,0,0,'Données projet'!$E$10+1,1))</f>
        <v>525.29195699741149</v>
      </c>
      <c r="AO23" s="59">
        <f t="shared" si="36"/>
        <v>125.99812193007153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0</v>
      </c>
      <c r="BD23" s="12">
        <f>IF('Données projet'!$A$88&gt;35,BD22+BC23-BL22,IF(A23&lt;'Données projet'!$A$88,$BA$205^A23,IF(A23='Données projet'!$A$88,'Données projet'!$B$88,BD22+BC23-BL22)))</f>
        <v>0</v>
      </c>
      <c r="BE23" s="13" t="e">
        <f>BD23*VLOOKUP('Données projet'!$B$11,Paramètres!$A$1:$I$89,3,0)*VLOOKUP('Données projet'!$B$11,Paramètres!$A$1:$I$89,5,0)</f>
        <v>#N/A</v>
      </c>
      <c r="BF23" s="13" t="e">
        <f t="shared" si="37"/>
        <v>#N/A</v>
      </c>
      <c r="BG23" s="20" t="e">
        <f t="shared" si="7"/>
        <v>#N/A</v>
      </c>
      <c r="BH23" s="59" t="e">
        <f t="shared" si="8"/>
        <v>#N/A</v>
      </c>
      <c r="BI23" s="59" t="e">
        <f ca="1">AVERAGE(OFFSET($BH$3,0,0,'Données projet'!$E$11+1,1))-AVERAGE(OFFSET($H$3,0,0,'Données projet'!$E$11+1,1))</f>
        <v>#N/A</v>
      </c>
      <c r="BJ23" s="59" t="e">
        <f t="shared" si="38"/>
        <v>#N/A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 t="e">
        <f>EXP(-LN(2)/35)*BP22+(1-EXP(-LN(2)/35))/(LN(2)/35)*BL23*BM23*VLOOKUP('Données projet'!$B$11,Paramètres!$A$1:$I$89,3,0)*0.475*44/12</f>
        <v>#N/A</v>
      </c>
      <c r="BQ23" s="21" t="e">
        <f>EXP(-LN(2)/25)*BQ22+(1-EXP(-LN(2)/25))/(LN(2)/25)*Calculateur!BL23*Calculateur!BN23*VLOOKUP('Données projet'!$B$11,Paramètres!$A$1:$I$89,3,0)*0.475*44/12</f>
        <v>#N/A</v>
      </c>
      <c r="BR23" s="21" t="e">
        <f>EXP(-LN(2)/2)*BR22+(1-EXP(-LN(2)/2))/(LN(2)/2)*BL23*BO23*VLOOKUP('Données projet'!$B$11,Paramètres!$A$1:$I$89,3,0)*0.475*44/12</f>
        <v>#N/A</v>
      </c>
      <c r="BS23" s="22" t="e">
        <f t="shared" si="9"/>
        <v>#N/A</v>
      </c>
      <c r="BT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">
      <c r="A24" s="10">
        <f t="shared" si="31"/>
        <v>21</v>
      </c>
      <c r="B24" s="72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12.558000000000005</v>
      </c>
      <c r="D24" s="11">
        <f t="shared" si="32"/>
        <v>4.3108032327306534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130.21532320002615</v>
      </c>
      <c r="H24" s="66">
        <f t="shared" si="1"/>
        <v>322.71316563033923</v>
      </c>
      <c r="I24" s="6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>
        <f>VLOOKUP(A24,'Données projet'!$A$35:$I$55,2,0)</f>
        <v>212</v>
      </c>
      <c r="L24" s="12">
        <f>VLOOKUP(A24,'Données projet'!$A$35:$I$55,9,0)</f>
        <v>20</v>
      </c>
      <c r="M24" s="12">
        <f t="array" ref="M24">INDEX(L:L,MIN(IF(ISNUMBER(L24:L220),ROW(L24:L220),"")))</f>
        <v>20</v>
      </c>
      <c r="N24" s="13">
        <f>IF('Données projet'!$A$36&gt;35,N23+M24-V23,IF(A24&lt;'Données projet'!$A$36,$K$205^A24,IF(A24='Données projet'!$A$36,'Données projet'!$B$36,N23+M24-V23)))</f>
        <v>212</v>
      </c>
      <c r="O24" s="13">
        <f>N24*VLOOKUP('Données projet'!$B$9,Paramètres!$A$1:$I$89,3,0)*VLOOKUP('Données projet'!$B$9,Paramètres!$A$1:$I$89,5,0)</f>
        <v>126.77600000000002</v>
      </c>
      <c r="P24" s="13">
        <f t="shared" si="33"/>
        <v>33.250302273150254</v>
      </c>
      <c r="Q24" s="20">
        <f t="shared" si="2"/>
        <v>278.7124764590701</v>
      </c>
      <c r="R24" s="59">
        <f t="shared" si="0"/>
        <v>572.04580979240336</v>
      </c>
      <c r="S24" s="59">
        <f ca="1">AVERAGE(OFFSET($R$3,0,0,'Données projet'!$E$9+1,1))-AVERAGE(OFFSET($H$3,0,0,'Données projet'!$E$9+1,1))</f>
        <v>148.39628895278571</v>
      </c>
      <c r="T24" s="59">
        <f t="shared" si="34"/>
        <v>361.07991692964788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3.5452518341403114</v>
      </c>
      <c r="AA24" s="21">
        <f>EXP(-LN(2)/25)*AA23+(1-EXP(-LN(2)/25))/(LN(2)/25)*Calculateur!V24*Calculateur!X24*VLOOKUP('Données projet'!$B$9,Paramètres!$A$1:$I$89,3,0)*0.475*44/12</f>
        <v>10.263455785220872</v>
      </c>
      <c r="AB24" s="21">
        <f>EXP(-LN(2)/2)*AB23+(1-EXP(-LN(2)/2))/(LN(2)/2)*V24*Y24*VLOOKUP('Données projet'!$B$9,Paramètres!$A$1:$I$89,3,0)*0.475*44/12</f>
        <v>1.0173740588850182</v>
      </c>
      <c r="AC24" s="22">
        <f t="shared" si="3"/>
        <v>14.826081678246201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2.5115384616666665</v>
      </c>
      <c r="AI24" s="13">
        <f>IF('Données projet'!$A$62&gt;35,AI23+AH24-AQ23,IF(A24&lt;'Données projet'!$A$62,$AF$205^A24,IF(A24='Données projet'!$A$62,'Données projet'!$B$62,AI23+AH24-AQ23)))</f>
        <v>20.603583479485028</v>
      </c>
      <c r="AJ24" s="13">
        <f>AI24*VLOOKUP('Données projet'!$B$10,Paramètres!$A$1:$I$89,3,0)*VLOOKUP('Données projet'!$B$10,Paramètres!$A$1:$I$89,5,0)</f>
        <v>20.570617745917854</v>
      </c>
      <c r="AK24" s="13">
        <f t="shared" si="35"/>
        <v>6.667106754657449</v>
      </c>
      <c r="AL24" s="20">
        <f t="shared" si="4"/>
        <v>47.439036838501984</v>
      </c>
      <c r="AM24" s="59">
        <f t="shared" si="5"/>
        <v>340.77237017183529</v>
      </c>
      <c r="AN24" s="59">
        <f ca="1">AVERAGE(OFFSET($AM$3,0,0,'Données projet'!$E$10+1,1))-AVERAGE(OFFSET($H$3,0,0,'Données projet'!$E$10+1,1))</f>
        <v>525.29195699741149</v>
      </c>
      <c r="AO24" s="59">
        <f t="shared" si="36"/>
        <v>125.99812193007153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0</v>
      </c>
      <c r="BD24" s="12">
        <f>IF('Données projet'!$A$88&gt;35,BD23+BC24-BL23,IF(A24&lt;'Données projet'!$A$88,$BA$205^A24,IF(A24='Données projet'!$A$88,'Données projet'!$B$88,BD23+BC24-BL23)))</f>
        <v>0</v>
      </c>
      <c r="BE24" s="13" t="e">
        <f>BD24*VLOOKUP('Données projet'!$B$11,Paramètres!$A$1:$I$89,3,0)*VLOOKUP('Données projet'!$B$11,Paramètres!$A$1:$I$89,5,0)</f>
        <v>#N/A</v>
      </c>
      <c r="BF24" s="13" t="e">
        <f t="shared" si="37"/>
        <v>#N/A</v>
      </c>
      <c r="BG24" s="20" t="e">
        <f t="shared" si="7"/>
        <v>#N/A</v>
      </c>
      <c r="BH24" s="59" t="e">
        <f t="shared" si="8"/>
        <v>#N/A</v>
      </c>
      <c r="BI24" s="59" t="e">
        <f ca="1">AVERAGE(OFFSET($BH$3,0,0,'Données projet'!$E$11+1,1))-AVERAGE(OFFSET($H$3,0,0,'Données projet'!$E$11+1,1))</f>
        <v>#N/A</v>
      </c>
      <c r="BJ24" s="59" t="e">
        <f t="shared" si="38"/>
        <v>#N/A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 t="e">
        <f>EXP(-LN(2)/35)*BP23+(1-EXP(-LN(2)/35))/(LN(2)/35)*BL24*BM24*VLOOKUP('Données projet'!$B$11,Paramètres!$A$1:$I$89,3,0)*0.475*44/12</f>
        <v>#N/A</v>
      </c>
      <c r="BQ24" s="21" t="e">
        <f>EXP(-LN(2)/25)*BQ23+(1-EXP(-LN(2)/25))/(LN(2)/25)*Calculateur!BL24*Calculateur!BN24*VLOOKUP('Données projet'!$B$11,Paramètres!$A$1:$I$89,3,0)*0.475*44/12</f>
        <v>#N/A</v>
      </c>
      <c r="BR24" s="21" t="e">
        <f>EXP(-LN(2)/2)*BR23+(1-EXP(-LN(2)/2))/(LN(2)/2)*BL24*BO24*VLOOKUP('Données projet'!$B$11,Paramètres!$A$1:$I$89,3,0)*0.475*44/12</f>
        <v>#N/A</v>
      </c>
      <c r="BS24" s="22" t="e">
        <f t="shared" si="9"/>
        <v>#N/A</v>
      </c>
      <c r="BT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">
      <c r="A25" s="10">
        <f t="shared" si="31"/>
        <v>22</v>
      </c>
      <c r="B25" s="72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13.156000000000006</v>
      </c>
      <c r="D25" s="11">
        <f t="shared" si="32"/>
        <v>4.4916914128654328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136.22779336247004</v>
      </c>
      <c r="H25" s="66">
        <f t="shared" si="1"/>
        <v>324.0697292107406</v>
      </c>
      <c r="I25" s="6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>
        <f>VLOOKUP(A25,'Données projet'!$A$35:$I$55,2,0)</f>
        <v>232</v>
      </c>
      <c r="L25" s="12">
        <f>VLOOKUP(A25,'Données projet'!$A$35:$I$55,9,0)</f>
        <v>20</v>
      </c>
      <c r="M25" s="12">
        <f t="array" ref="M25">INDEX(L:L,MIN(IF(ISNUMBER(L25:L221),ROW(L25:L221),"")))</f>
        <v>20</v>
      </c>
      <c r="N25" s="13">
        <f>IF('Données projet'!$A$36&gt;35,N24+M25-V24,IF(A25&lt;'Données projet'!$A$36,$K$205^A25,IF(A25='Données projet'!$A$36,'Données projet'!$B$36,N24+M25-V24)))</f>
        <v>232</v>
      </c>
      <c r="O25" s="13">
        <f>N25*VLOOKUP('Données projet'!$B$9,Paramètres!$A$1:$I$89,3,0)*VLOOKUP('Données projet'!$B$9,Paramètres!$A$1:$I$89,5,0)</f>
        <v>138.73599999999999</v>
      </c>
      <c r="P25" s="13">
        <f t="shared" si="33"/>
        <v>36.007288175538044</v>
      </c>
      <c r="Q25" s="20">
        <f t="shared" si="2"/>
        <v>304.34456023906205</v>
      </c>
      <c r="R25" s="59">
        <f t="shared" si="0"/>
        <v>597.67789357239531</v>
      </c>
      <c r="S25" s="59">
        <f ca="1">AVERAGE(OFFSET($R$3,0,0,'Données projet'!$E$9+1,1))-AVERAGE(OFFSET($H$3,0,0,'Données projet'!$E$9+1,1))</f>
        <v>148.39628895278571</v>
      </c>
      <c r="T25" s="59">
        <f t="shared" si="34"/>
        <v>361.07991692964788</v>
      </c>
      <c r="U25" s="15">
        <f>IF(ISNA(VLOOKUP(A25,'Données projet'!$A$35:$I$55,3,0)),0,VLOOKUP(A25,'Données projet'!$A$35:$I$55,3,0))</f>
        <v>3</v>
      </c>
      <c r="V25" s="15">
        <f>IF(ISNA(VLOOKUP(A25,'Données projet'!$A$35:$I$55,4,0)),0,VLOOKUP(A25,'Données projet'!$A$35:$I$55,4,0))</f>
        <v>56</v>
      </c>
      <c r="W25" s="16">
        <f>IF(ISNA(VLOOKUP(A25,'Données projet'!$A$35:$I$55,5,0)),0%,VLOOKUP(A25,'Données projet'!$A$35:$I$55,5,0)*VLOOKUP('Données projet'!$B$9,Paramètres!$A$1:$I$89,7,0))</f>
        <v>0.27</v>
      </c>
      <c r="X25" s="16">
        <f>IF(ISNA(VLOOKUP(A25,'Données projet'!$A$35:$I$55,6,0)),0%,VLOOKUP(A25,'Données projet'!$A$35:$I$55,6,0)*VLOOKUP('Données projet'!$B$9,Paramètres!$A$1:$I$89,7,0))</f>
        <v>0.18000000000000002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15.47020903867794</v>
      </c>
      <c r="AA25" s="21">
        <f>EXP(-LN(2)/25)*AA24+(1-EXP(-LN(2)/25))/(LN(2)/25)*Calculateur!V25*Calculateur!X25*VLOOKUP('Données projet'!$B$9,Paramètres!$A$1:$I$89,3,0)*0.475*44/12</f>
        <v>17.947634782186647</v>
      </c>
      <c r="AB25" s="21">
        <f>EXP(-LN(2)/2)*AB24+(1-EXP(-LN(2)/2))/(LN(2)/2)*V25*Y25*VLOOKUP('Données projet'!$B$9,Paramètres!$A$1:$I$89,3,0)*0.475*44/12</f>
        <v>0.71939209604087828</v>
      </c>
      <c r="AC25" s="22">
        <f t="shared" si="3"/>
        <v>34.137235916905468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2.5115384616666665</v>
      </c>
      <c r="AI25" s="13">
        <f>IF('Données projet'!$A$62&gt;35,AI24+AH25-AQ24,IF(A25&lt;'Données projet'!$A$62,$AF$205^A25,IF(A25='Données projet'!$A$62,'Données projet'!$B$62,AI24+AH25-AQ24)))</f>
        <v>23.796411182299146</v>
      </c>
      <c r="AJ25" s="13">
        <f>AI25*VLOOKUP('Données projet'!$B$10,Paramètres!$A$1:$I$89,3,0)*VLOOKUP('Données projet'!$B$10,Paramètres!$A$1:$I$89,5,0)</f>
        <v>23.75833692440747</v>
      </c>
      <c r="AK25" s="13">
        <f t="shared" si="35"/>
        <v>7.5722181134666924</v>
      </c>
      <c r="AL25" s="20">
        <f t="shared" si="4"/>
        <v>54.567383357630831</v>
      </c>
      <c r="AM25" s="59">
        <f t="shared" si="5"/>
        <v>347.90071669096415</v>
      </c>
      <c r="AN25" s="59">
        <f ca="1">AVERAGE(OFFSET($AM$3,0,0,'Données projet'!$E$10+1,1))-AVERAGE(OFFSET($H$3,0,0,'Données projet'!$E$10+1,1))</f>
        <v>525.29195699741149</v>
      </c>
      <c r="AO25" s="59">
        <f t="shared" si="36"/>
        <v>125.99812193007153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0</v>
      </c>
      <c r="BD25" s="12">
        <f>IF('Données projet'!$A$88&gt;35,BD24+BC25-BL24,IF(A25&lt;'Données projet'!$A$88,$BA$205^A25,IF(A25='Données projet'!$A$88,'Données projet'!$B$88,BD24+BC25-BL24)))</f>
        <v>0</v>
      </c>
      <c r="BE25" s="13" t="e">
        <f>BD25*VLOOKUP('Données projet'!$B$11,Paramètres!$A$1:$I$89,3,0)*VLOOKUP('Données projet'!$B$11,Paramètres!$A$1:$I$89,5,0)</f>
        <v>#N/A</v>
      </c>
      <c r="BF25" s="13" t="e">
        <f t="shared" si="37"/>
        <v>#N/A</v>
      </c>
      <c r="BG25" s="20" t="e">
        <f t="shared" si="7"/>
        <v>#N/A</v>
      </c>
      <c r="BH25" s="59" t="e">
        <f t="shared" si="8"/>
        <v>#N/A</v>
      </c>
      <c r="BI25" s="59" t="e">
        <f ca="1">AVERAGE(OFFSET($BH$3,0,0,'Données projet'!$E$11+1,1))-AVERAGE(OFFSET($H$3,0,0,'Données projet'!$E$11+1,1))</f>
        <v>#N/A</v>
      </c>
      <c r="BJ25" s="59" t="e">
        <f t="shared" si="38"/>
        <v>#N/A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 t="e">
        <f>EXP(-LN(2)/35)*BP24+(1-EXP(-LN(2)/35))/(LN(2)/35)*BL25*BM25*VLOOKUP('Données projet'!$B$11,Paramètres!$A$1:$I$89,3,0)*0.475*44/12</f>
        <v>#N/A</v>
      </c>
      <c r="BQ25" s="21" t="e">
        <f>EXP(-LN(2)/25)*BQ24+(1-EXP(-LN(2)/25))/(LN(2)/25)*Calculateur!BL25*Calculateur!BN25*VLOOKUP('Données projet'!$B$11,Paramètres!$A$1:$I$89,3,0)*0.475*44/12</f>
        <v>#N/A</v>
      </c>
      <c r="BR25" s="21" t="e">
        <f>EXP(-LN(2)/2)*BR24+(1-EXP(-LN(2)/2))/(LN(2)/2)*BL25*BO25*VLOOKUP('Données projet'!$B$11,Paramètres!$A$1:$I$89,3,0)*0.475*44/12</f>
        <v>#N/A</v>
      </c>
      <c r="BS25" s="22" t="e">
        <f t="shared" si="9"/>
        <v>#N/A</v>
      </c>
      <c r="BT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">
      <c r="A26" s="10">
        <f t="shared" si="31"/>
        <v>23</v>
      </c>
      <c r="B26" s="72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13.754000000000007</v>
      </c>
      <c r="D26" s="11">
        <f t="shared" si="32"/>
        <v>4.6716247102827966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142.23289250042868</v>
      </c>
      <c r="H26" s="66">
        <f t="shared" si="1"/>
        <v>325.42462970374254</v>
      </c>
      <c r="I26" s="6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>
        <f>VLOOKUP(A26,'Données projet'!$A$35:$I$55,2,0)</f>
        <v>192</v>
      </c>
      <c r="L26" s="12">
        <f>VLOOKUP(A26,'Données projet'!$A$35:$I$55,9,0)</f>
        <v>16</v>
      </c>
      <c r="M26" s="12">
        <f t="array" ref="M26">INDEX(L:L,MIN(IF(ISNUMBER(L26:L222),ROW(L26:L222),"")))</f>
        <v>16</v>
      </c>
      <c r="N26" s="13">
        <f>IF('Données projet'!$A$36&gt;35,N25+M26-V25,IF(A26&lt;'Données projet'!$A$36,$K$205^A26,IF(A26='Données projet'!$A$36,'Données projet'!$B$36,N25+M26-V25)))</f>
        <v>192</v>
      </c>
      <c r="O26" s="13">
        <f>N26*VLOOKUP('Données projet'!$B$9,Paramètres!$A$1:$I$89,3,0)*VLOOKUP('Données projet'!$B$9,Paramètres!$A$1:$I$89,5,0)</f>
        <v>114.81600000000002</v>
      </c>
      <c r="P26" s="13">
        <f t="shared" si="33"/>
        <v>30.462826482209831</v>
      </c>
      <c r="Q26" s="20">
        <f t="shared" si="2"/>
        <v>253.02728945651543</v>
      </c>
      <c r="R26" s="59">
        <f t="shared" si="0"/>
        <v>546.36062278984878</v>
      </c>
      <c r="S26" s="59">
        <f ca="1">AVERAGE(OFFSET($R$3,0,0,'Données projet'!$E$9+1,1))-AVERAGE(OFFSET($H$3,0,0,'Données projet'!$E$9+1,1))</f>
        <v>148.39628895278571</v>
      </c>
      <c r="T26" s="59">
        <f t="shared" si="34"/>
        <v>361.07991692964788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15.166847675325261</v>
      </c>
      <c r="AA26" s="21">
        <f>EXP(-LN(2)/25)*AA25+(1-EXP(-LN(2)/25))/(LN(2)/25)*Calculateur!V26*Calculateur!X26*VLOOKUP('Données projet'!$B$9,Paramètres!$A$1:$I$89,3,0)*0.475*44/12</f>
        <v>17.456855765242661</v>
      </c>
      <c r="AB26" s="21">
        <f>EXP(-LN(2)/2)*AB25+(1-EXP(-LN(2)/2))/(LN(2)/2)*V26*Y26*VLOOKUP('Données projet'!$B$9,Paramètres!$A$1:$I$89,3,0)*0.475*44/12</f>
        <v>0.5086870294425091</v>
      </c>
      <c r="AC26" s="22">
        <f t="shared" si="3"/>
        <v>33.132390470010435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2.5115384616666665</v>
      </c>
      <c r="AI26" s="13">
        <f>IF('Données projet'!$A$62&gt;35,AI25+AH26-AQ25,IF(A26&lt;'Données projet'!$A$62,$AF$205^A26,IF(A26='Données projet'!$A$62,'Données projet'!$B$62,AI25+AH26-AQ25)))</f>
        <v>27.4840144055953</v>
      </c>
      <c r="AJ26" s="13">
        <f>AI26*VLOOKUP('Données projet'!$B$10,Paramètres!$A$1:$I$89,3,0)*VLOOKUP('Données projet'!$B$10,Paramètres!$A$1:$I$89,5,0)</f>
        <v>27.440039982546352</v>
      </c>
      <c r="AK26" s="13">
        <f t="shared" si="35"/>
        <v>8.6002053466232624</v>
      </c>
      <c r="AL26" s="20">
        <f t="shared" si="4"/>
        <v>62.770093948303746</v>
      </c>
      <c r="AM26" s="59">
        <f t="shared" si="5"/>
        <v>356.10342728163704</v>
      </c>
      <c r="AN26" s="59">
        <f ca="1">AVERAGE(OFFSET($AM$3,0,0,'Données projet'!$E$10+1,1))-AVERAGE(OFFSET($H$3,0,0,'Données projet'!$E$10+1,1))</f>
        <v>525.29195699741149</v>
      </c>
      <c r="AO26" s="59">
        <f t="shared" si="36"/>
        <v>125.99812193007153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0</v>
      </c>
      <c r="BD26" s="12">
        <f>IF('Données projet'!$A$88&gt;35,BD25+BC26-BL25,IF(A26&lt;'Données projet'!$A$88,$BA$205^A26,IF(A26='Données projet'!$A$88,'Données projet'!$B$88,BD25+BC26-BL25)))</f>
        <v>0</v>
      </c>
      <c r="BE26" s="13" t="e">
        <f>BD26*VLOOKUP('Données projet'!$B$11,Paramètres!$A$1:$I$89,3,0)*VLOOKUP('Données projet'!$B$11,Paramètres!$A$1:$I$89,5,0)</f>
        <v>#N/A</v>
      </c>
      <c r="BF26" s="13" t="e">
        <f t="shared" si="37"/>
        <v>#N/A</v>
      </c>
      <c r="BG26" s="20" t="e">
        <f t="shared" si="7"/>
        <v>#N/A</v>
      </c>
      <c r="BH26" s="59" t="e">
        <f t="shared" si="8"/>
        <v>#N/A</v>
      </c>
      <c r="BI26" s="59" t="e">
        <f ca="1">AVERAGE(OFFSET($BH$3,0,0,'Données projet'!$E$11+1,1))-AVERAGE(OFFSET($H$3,0,0,'Données projet'!$E$11+1,1))</f>
        <v>#N/A</v>
      </c>
      <c r="BJ26" s="59" t="e">
        <f t="shared" si="38"/>
        <v>#N/A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 t="e">
        <f>EXP(-LN(2)/35)*BP25+(1-EXP(-LN(2)/35))/(LN(2)/35)*BL26*BM26*VLOOKUP('Données projet'!$B$11,Paramètres!$A$1:$I$89,3,0)*0.475*44/12</f>
        <v>#N/A</v>
      </c>
      <c r="BQ26" s="21" t="e">
        <f>EXP(-LN(2)/25)*BQ25+(1-EXP(-LN(2)/25))/(LN(2)/25)*Calculateur!BL26*Calculateur!BN26*VLOOKUP('Données projet'!$B$11,Paramètres!$A$1:$I$89,3,0)*0.475*44/12</f>
        <v>#N/A</v>
      </c>
      <c r="BR26" s="21" t="e">
        <f>EXP(-LN(2)/2)*BR25+(1-EXP(-LN(2)/2))/(LN(2)/2)*BL26*BO26*VLOOKUP('Données projet'!$B$11,Paramètres!$A$1:$I$89,3,0)*0.475*44/12</f>
        <v>#N/A</v>
      </c>
      <c r="BS26" s="22" t="e">
        <f t="shared" si="9"/>
        <v>#N/A</v>
      </c>
      <c r="BT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">
      <c r="A27" s="10">
        <f t="shared" si="31"/>
        <v>24</v>
      </c>
      <c r="B27" s="72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14.352000000000007</v>
      </c>
      <c r="D27" s="11">
        <f t="shared" si="32"/>
        <v>4.8506493868275271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148.23097772287923</v>
      </c>
      <c r="H27" s="66">
        <f t="shared" si="1"/>
        <v>326.77794768205791</v>
      </c>
      <c r="I27" s="6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>
        <f>VLOOKUP(A27,'Données projet'!$A$35:$I$55,2,0)</f>
        <v>209</v>
      </c>
      <c r="L27" s="12">
        <f>VLOOKUP(A27,'Données projet'!$A$35:$I$55,9,0)</f>
        <v>17</v>
      </c>
      <c r="M27" s="12">
        <f t="array" ref="M27">INDEX(L:L,MIN(IF(ISNUMBER(L27:L223),ROW(L27:L223),"")))</f>
        <v>17</v>
      </c>
      <c r="N27" s="13">
        <f>IF('Données projet'!$A$36&gt;35,N26+M27-V26,IF(A27&lt;'Données projet'!$A$36,$K$205^A27,IF(A27='Données projet'!$A$36,'Données projet'!$B$36,N26+M27-V26)))</f>
        <v>209</v>
      </c>
      <c r="O27" s="13">
        <f>N27*VLOOKUP('Données projet'!$B$9,Paramètres!$A$1:$I$89,3,0)*VLOOKUP('Données projet'!$B$9,Paramètres!$A$1:$I$89,5,0)</f>
        <v>124.982</v>
      </c>
      <c r="P27" s="13">
        <f t="shared" si="33"/>
        <v>32.834203796212122</v>
      </c>
      <c r="Q27" s="20">
        <f t="shared" si="2"/>
        <v>274.86322161173604</v>
      </c>
      <c r="R27" s="59">
        <f t="shared" si="0"/>
        <v>568.19655494506935</v>
      </c>
      <c r="S27" s="59">
        <f ca="1">AVERAGE(OFFSET($R$3,0,0,'Données projet'!$E$9+1,1))-AVERAGE(OFFSET($H$3,0,0,'Données projet'!$E$9+1,1))</f>
        <v>148.39628895278571</v>
      </c>
      <c r="T27" s="59">
        <f t="shared" si="34"/>
        <v>361.07991692964788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14.869435043275768</v>
      </c>
      <c r="AA27" s="21">
        <f>EXP(-LN(2)/25)*AA26+(1-EXP(-LN(2)/25))/(LN(2)/25)*Calculateur!V27*Calculateur!X27*VLOOKUP('Données projet'!$B$9,Paramètres!$A$1:$I$89,3,0)*0.475*44/12</f>
        <v>16.979497126325953</v>
      </c>
      <c r="AB27" s="21">
        <f>EXP(-LN(2)/2)*AB26+(1-EXP(-LN(2)/2))/(LN(2)/2)*V27*Y27*VLOOKUP('Données projet'!$B$9,Paramètres!$A$1:$I$89,3,0)*0.475*44/12</f>
        <v>0.35969604802043914</v>
      </c>
      <c r="AC27" s="22">
        <f t="shared" si="3"/>
        <v>32.208628217622163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2.5115384616666665</v>
      </c>
      <c r="AI27" s="13">
        <f>IF('Données projet'!$A$62&gt;35,AI26+AH27-AQ26,IF(A27&lt;'Données projet'!$A$62,$AF$205^A27,IF(A27='Données projet'!$A$62,'Données projet'!$B$62,AI26+AH27-AQ26)))</f>
        <v>31.743065879146062</v>
      </c>
      <c r="AJ27" s="13">
        <f>AI27*VLOOKUP('Données projet'!$B$10,Paramètres!$A$1:$I$89,3,0)*VLOOKUP('Données projet'!$B$10,Paramètres!$A$1:$I$89,5,0)</f>
        <v>31.692276973739432</v>
      </c>
      <c r="AK27" s="13">
        <f t="shared" si="35"/>
        <v>9.767749805377111</v>
      </c>
      <c r="AL27" s="20">
        <f t="shared" si="4"/>
        <v>72.209546640294647</v>
      </c>
      <c r="AM27" s="59">
        <f t="shared" si="5"/>
        <v>365.54287997362798</v>
      </c>
      <c r="AN27" s="59">
        <f ca="1">AVERAGE(OFFSET($AM$3,0,0,'Données projet'!$E$10+1,1))-AVERAGE(OFFSET($H$3,0,0,'Données projet'!$E$10+1,1))</f>
        <v>525.29195699741149</v>
      </c>
      <c r="AO27" s="59">
        <f t="shared" si="36"/>
        <v>125.99812193007153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0</v>
      </c>
      <c r="BD27" s="12">
        <f>IF('Données projet'!$A$88&gt;35,BD26+BC27-BL26,IF(A27&lt;'Données projet'!$A$88,$BA$205^A27,IF(A27='Données projet'!$A$88,'Données projet'!$B$88,BD26+BC27-BL26)))</f>
        <v>0</v>
      </c>
      <c r="BE27" s="13" t="e">
        <f>BD27*VLOOKUP('Données projet'!$B$11,Paramètres!$A$1:$I$89,3,0)*VLOOKUP('Données projet'!$B$11,Paramètres!$A$1:$I$89,5,0)</f>
        <v>#N/A</v>
      </c>
      <c r="BF27" s="13" t="e">
        <f t="shared" si="37"/>
        <v>#N/A</v>
      </c>
      <c r="BG27" s="20" t="e">
        <f t="shared" si="7"/>
        <v>#N/A</v>
      </c>
      <c r="BH27" s="59" t="e">
        <f t="shared" si="8"/>
        <v>#N/A</v>
      </c>
      <c r="BI27" s="59" t="e">
        <f ca="1">AVERAGE(OFFSET($BH$3,0,0,'Données projet'!$E$11+1,1))-AVERAGE(OFFSET($H$3,0,0,'Données projet'!$E$11+1,1))</f>
        <v>#N/A</v>
      </c>
      <c r="BJ27" s="59" t="e">
        <f t="shared" si="38"/>
        <v>#N/A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 t="e">
        <f>EXP(-LN(2)/35)*BP26+(1-EXP(-LN(2)/35))/(LN(2)/35)*BL27*BM27*VLOOKUP('Données projet'!$B$11,Paramètres!$A$1:$I$89,3,0)*0.475*44/12</f>
        <v>#N/A</v>
      </c>
      <c r="BQ27" s="21" t="e">
        <f>EXP(-LN(2)/25)*BQ26+(1-EXP(-LN(2)/25))/(LN(2)/25)*Calculateur!BL27*Calculateur!BN27*VLOOKUP('Données projet'!$B$11,Paramètres!$A$1:$I$89,3,0)*0.475*44/12</f>
        <v>#N/A</v>
      </c>
      <c r="BR27" s="21" t="e">
        <f>EXP(-LN(2)/2)*BR26+(1-EXP(-LN(2)/2))/(LN(2)/2)*BL27*BO27*VLOOKUP('Données projet'!$B$11,Paramètres!$A$1:$I$89,3,0)*0.475*44/12</f>
        <v>#N/A</v>
      </c>
      <c r="BS27" s="22" t="e">
        <f t="shared" si="9"/>
        <v>#N/A</v>
      </c>
      <c r="BT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">
      <c r="A28" s="10">
        <f t="shared" si="31"/>
        <v>25</v>
      </c>
      <c r="B28" s="72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14.950000000000008</v>
      </c>
      <c r="D28" s="11">
        <f t="shared" si="32"/>
        <v>5.02880763108175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154.22237469606969</v>
      </c>
      <c r="H28" s="66">
        <f t="shared" si="1"/>
        <v>328.12975662413402</v>
      </c>
      <c r="I28" s="6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>
        <f>VLOOKUP(A28,'Données projet'!$A$35:$I$55,2,0)</f>
        <v>226</v>
      </c>
      <c r="L28" s="12">
        <f>VLOOKUP(A28,'Données projet'!$A$35:$I$55,9,0)</f>
        <v>17</v>
      </c>
      <c r="M28" s="12">
        <f t="array" ref="M28">INDEX(L:L,MIN(IF(ISNUMBER(L28:L224),ROW(L28:L224),"")))</f>
        <v>17</v>
      </c>
      <c r="N28" s="13">
        <f>IF('Données projet'!$A$36&gt;35,N27+M28-V27,IF(A28&lt;'Données projet'!$A$36,$K$205^A28,IF(A28='Données projet'!$A$36,'Données projet'!$B$36,N27+M28-V27)))</f>
        <v>226</v>
      </c>
      <c r="O28" s="13">
        <f>N28*VLOOKUP('Données projet'!$B$9,Paramètres!$A$1:$I$89,3,0)*VLOOKUP('Données projet'!$B$9,Paramètres!$A$1:$I$89,5,0)</f>
        <v>135.14800000000002</v>
      </c>
      <c r="P28" s="13">
        <f t="shared" si="33"/>
        <v>35.183208974998173</v>
      </c>
      <c r="Q28" s="20">
        <f t="shared" si="2"/>
        <v>296.66018896478852</v>
      </c>
      <c r="R28" s="59">
        <f t="shared" si="0"/>
        <v>589.99352229812189</v>
      </c>
      <c r="S28" s="59">
        <f ca="1">AVERAGE(OFFSET($R$3,0,0,'Données projet'!$E$9+1,1))-AVERAGE(OFFSET($H$3,0,0,'Données projet'!$E$9+1,1))</f>
        <v>148.39628895278571</v>
      </c>
      <c r="T28" s="59">
        <f t="shared" si="34"/>
        <v>361.07991692964788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14.577854491536971</v>
      </c>
      <c r="AA28" s="21">
        <f>EXP(-LN(2)/25)*AA27+(1-EXP(-LN(2)/25))/(LN(2)/25)*Calculateur!V28*Calculateur!X28*VLOOKUP('Données projet'!$B$9,Paramètres!$A$1:$I$89,3,0)*0.475*44/12</f>
        <v>16.515191884493621</v>
      </c>
      <c r="AB28" s="21">
        <f>EXP(-LN(2)/2)*AB27+(1-EXP(-LN(2)/2))/(LN(2)/2)*V28*Y28*VLOOKUP('Données projet'!$B$9,Paramètres!$A$1:$I$89,3,0)*0.475*44/12</f>
        <v>0.25434351472125455</v>
      </c>
      <c r="AC28" s="22">
        <f t="shared" si="3"/>
        <v>31.347389890751849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2.5115384616666665</v>
      </c>
      <c r="AI28" s="13">
        <f>IF('Données projet'!$A$62&gt;35,AI27+AH28-AQ27,IF(A28&lt;'Données projet'!$A$62,$AF$205^A28,IF(A28='Données projet'!$A$62,'Données projet'!$B$62,AI27+AH28-AQ27)))</f>
        <v>36.662119897691205</v>
      </c>
      <c r="AJ28" s="13">
        <f>AI28*VLOOKUP('Données projet'!$B$10,Paramètres!$A$1:$I$89,3,0)*VLOOKUP('Données projet'!$B$10,Paramètres!$A$1:$I$89,5,0)</f>
        <v>36.603460505854905</v>
      </c>
      <c r="AK28" s="13">
        <f t="shared" si="35"/>
        <v>11.093797463557713</v>
      </c>
      <c r="AL28" s="20">
        <f t="shared" si="4"/>
        <v>83.072724296726975</v>
      </c>
      <c r="AM28" s="59">
        <f t="shared" si="5"/>
        <v>376.40605763006027</v>
      </c>
      <c r="AN28" s="59">
        <f ca="1">AVERAGE(OFFSET($AM$3,0,0,'Données projet'!$E$10+1,1))-AVERAGE(OFFSET($H$3,0,0,'Données projet'!$E$10+1,1))</f>
        <v>525.29195699741149</v>
      </c>
      <c r="AO28" s="59">
        <f t="shared" si="36"/>
        <v>125.99812193007153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0</v>
      </c>
      <c r="BD28" s="12">
        <f>IF('Données projet'!$A$88&gt;35,BD27+BC28-BL27,IF(A28&lt;'Données projet'!$A$88,$BA$205^A28,IF(A28='Données projet'!$A$88,'Données projet'!$B$88,BD27+BC28-BL27)))</f>
        <v>0</v>
      </c>
      <c r="BE28" s="13" t="e">
        <f>BD28*VLOOKUP('Données projet'!$B$11,Paramètres!$A$1:$I$89,3,0)*VLOOKUP('Données projet'!$B$11,Paramètres!$A$1:$I$89,5,0)</f>
        <v>#N/A</v>
      </c>
      <c r="BF28" s="13" t="e">
        <f t="shared" si="37"/>
        <v>#N/A</v>
      </c>
      <c r="BG28" s="20" t="e">
        <f t="shared" si="7"/>
        <v>#N/A</v>
      </c>
      <c r="BH28" s="59" t="e">
        <f t="shared" si="8"/>
        <v>#N/A</v>
      </c>
      <c r="BI28" s="59" t="e">
        <f ca="1">AVERAGE(OFFSET($BH$3,0,0,'Données projet'!$E$11+1,1))-AVERAGE(OFFSET($H$3,0,0,'Données projet'!$E$11+1,1))</f>
        <v>#N/A</v>
      </c>
      <c r="BJ28" s="59" t="e">
        <f t="shared" si="38"/>
        <v>#N/A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 t="e">
        <f>EXP(-LN(2)/35)*BP27+(1-EXP(-LN(2)/35))/(LN(2)/35)*BL28*BM28*VLOOKUP('Données projet'!$B$11,Paramètres!$A$1:$I$89,3,0)*0.475*44/12</f>
        <v>#N/A</v>
      </c>
      <c r="BQ28" s="21" t="e">
        <f>EXP(-LN(2)/25)*BQ27+(1-EXP(-LN(2)/25))/(LN(2)/25)*Calculateur!BL28*Calculateur!BN28*VLOOKUP('Données projet'!$B$11,Paramètres!$A$1:$I$89,3,0)*0.475*44/12</f>
        <v>#N/A</v>
      </c>
      <c r="BR28" s="21" t="e">
        <f>EXP(-LN(2)/2)*BR27+(1-EXP(-LN(2)/2))/(LN(2)/2)*BL28*BO28*VLOOKUP('Données projet'!$B$11,Paramètres!$A$1:$I$89,3,0)*0.475*44/12</f>
        <v>#N/A</v>
      </c>
      <c r="BS28" s="22" t="e">
        <f t="shared" si="9"/>
        <v>#N/A</v>
      </c>
      <c r="BT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">
      <c r="A29" s="10">
        <f t="shared" si="31"/>
        <v>26</v>
      </c>
      <c r="B29" s="72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15.548000000000009</v>
      </c>
      <c r="D29" s="11">
        <f t="shared" si="32"/>
        <v>5.2061380655003466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160.20738155824839</v>
      </c>
      <c r="H29" s="66">
        <f t="shared" si="1"/>
        <v>329.48012379741311</v>
      </c>
      <c r="I29" s="6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>
        <f>VLOOKUP(A29,'Données projet'!$A$35:$I$55,2,0)</f>
        <v>244</v>
      </c>
      <c r="L29" s="12">
        <f>VLOOKUP(A29,'Données projet'!$A$35:$I$55,9,0)</f>
        <v>18</v>
      </c>
      <c r="M29" s="12">
        <f t="array" ref="M29">INDEX(L:L,MIN(IF(ISNUMBER(L29:L225),ROW(L29:L225),"")))</f>
        <v>18</v>
      </c>
      <c r="N29" s="13">
        <f>IF('Données projet'!$A$36&gt;35,N28+M29-V28,IF(A29&lt;'Données projet'!$A$36,$K$205^A29,IF(A29='Données projet'!$A$36,'Données projet'!$B$36,N28+M29-V28)))</f>
        <v>244</v>
      </c>
      <c r="O29" s="13">
        <f>N29*VLOOKUP('Données projet'!$B$9,Paramètres!$A$1:$I$89,3,0)*VLOOKUP('Données projet'!$B$9,Paramètres!$A$1:$I$89,5,0)</f>
        <v>145.91200000000001</v>
      </c>
      <c r="P29" s="13">
        <f t="shared" si="33"/>
        <v>37.648084239987625</v>
      </c>
      <c r="Q29" s="20">
        <f t="shared" si="2"/>
        <v>319.70048005131179</v>
      </c>
      <c r="R29" s="59">
        <f t="shared" si="0"/>
        <v>613.0338133846451</v>
      </c>
      <c r="S29" s="59">
        <f ca="1">AVERAGE(OFFSET($R$3,0,0,'Données projet'!$E$9+1,1))-AVERAGE(OFFSET($H$3,0,0,'Données projet'!$E$9+1,1))</f>
        <v>148.39628895278571</v>
      </c>
      <c r="T29" s="59">
        <f t="shared" si="34"/>
        <v>361.07991692964788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14.291991656571197</v>
      </c>
      <c r="AA29" s="21">
        <f>EXP(-LN(2)/25)*AA28+(1-EXP(-LN(2)/25))/(LN(2)/25)*Calculateur!V29*Calculateur!X29*VLOOKUP('Données projet'!$B$9,Paramètres!$A$1:$I$89,3,0)*0.475*44/12</f>
        <v>16.063583093915948</v>
      </c>
      <c r="AB29" s="21">
        <f>EXP(-LN(2)/2)*AB28+(1-EXP(-LN(2)/2))/(LN(2)/2)*V29*Y29*VLOOKUP('Données projet'!$B$9,Paramètres!$A$1:$I$89,3,0)*0.475*44/12</f>
        <v>0.17984802401021957</v>
      </c>
      <c r="AC29" s="22">
        <f t="shared" si="3"/>
        <v>30.535422774497363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2.5115384616666665</v>
      </c>
      <c r="AI29" s="13">
        <f>IF('Données projet'!$A$62&gt;35,AI28+AH29-AQ28,IF(A29&lt;'Données projet'!$A$62,$AF$205^A29,IF(A29='Données projet'!$A$62,'Données projet'!$B$62,AI28+AH29-AQ28)))</f>
        <v>42.343453543840354</v>
      </c>
      <c r="AJ29" s="13">
        <f>AI29*VLOOKUP('Données projet'!$B$10,Paramètres!$A$1:$I$89,3,0)*VLOOKUP('Données projet'!$B$10,Paramètres!$A$1:$I$89,5,0)</f>
        <v>42.27570401817021</v>
      </c>
      <c r="AK29" s="13">
        <f t="shared" si="35"/>
        <v>12.599866357621959</v>
      </c>
      <c r="AL29" s="20">
        <f t="shared" si="4"/>
        <v>95.57495173783802</v>
      </c>
      <c r="AM29" s="59">
        <f t="shared" si="5"/>
        <v>388.90828507117135</v>
      </c>
      <c r="AN29" s="59">
        <f ca="1">AVERAGE(OFFSET($AM$3,0,0,'Données projet'!$E$10+1,1))-AVERAGE(OFFSET($H$3,0,0,'Données projet'!$E$10+1,1))</f>
        <v>525.29195699741149</v>
      </c>
      <c r="AO29" s="59">
        <f t="shared" si="36"/>
        <v>125.99812193007153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0</v>
      </c>
      <c r="BD29" s="12">
        <f>IF('Données projet'!$A$88&gt;35,BD28+BC29-BL28,IF(A29&lt;'Données projet'!$A$88,$BA$205^A29,IF(A29='Données projet'!$A$88,'Données projet'!$B$88,BD28+BC29-BL28)))</f>
        <v>0</v>
      </c>
      <c r="BE29" s="13" t="e">
        <f>BD29*VLOOKUP('Données projet'!$B$11,Paramètres!$A$1:$I$89,3,0)*VLOOKUP('Données projet'!$B$11,Paramètres!$A$1:$I$89,5,0)</f>
        <v>#N/A</v>
      </c>
      <c r="BF29" s="13" t="e">
        <f t="shared" si="37"/>
        <v>#N/A</v>
      </c>
      <c r="BG29" s="20" t="e">
        <f t="shared" si="7"/>
        <v>#N/A</v>
      </c>
      <c r="BH29" s="59" t="e">
        <f t="shared" si="8"/>
        <v>#N/A</v>
      </c>
      <c r="BI29" s="59" t="e">
        <f ca="1">AVERAGE(OFFSET($BH$3,0,0,'Données projet'!$E$11+1,1))-AVERAGE(OFFSET($H$3,0,0,'Données projet'!$E$11+1,1))</f>
        <v>#N/A</v>
      </c>
      <c r="BJ29" s="59" t="e">
        <f t="shared" si="38"/>
        <v>#N/A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 t="e">
        <f>EXP(-LN(2)/35)*BP28+(1-EXP(-LN(2)/35))/(LN(2)/35)*BL29*BM29*VLOOKUP('Données projet'!$B$11,Paramètres!$A$1:$I$89,3,0)*0.475*44/12</f>
        <v>#N/A</v>
      </c>
      <c r="BQ29" s="21" t="e">
        <f>EXP(-LN(2)/25)*BQ28+(1-EXP(-LN(2)/25))/(LN(2)/25)*Calculateur!BL29*Calculateur!BN29*VLOOKUP('Données projet'!$B$11,Paramètres!$A$1:$I$89,3,0)*0.475*44/12</f>
        <v>#N/A</v>
      </c>
      <c r="BR29" s="21" t="e">
        <f>EXP(-LN(2)/2)*BR28+(1-EXP(-LN(2)/2))/(LN(2)/2)*BL29*BO29*VLOOKUP('Données projet'!$B$11,Paramètres!$A$1:$I$89,3,0)*0.475*44/12</f>
        <v>#N/A</v>
      </c>
      <c r="BS29" s="22" t="e">
        <f t="shared" si="9"/>
        <v>#N/A</v>
      </c>
      <c r="BT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">
      <c r="A30" s="10">
        <f t="shared" si="31"/>
        <v>27</v>
      </c>
      <c r="B30" s="72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16.146000000000008</v>
      </c>
      <c r="D30" s="11">
        <f t="shared" si="32"/>
        <v>5.3826761733310189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166.1862722151869</v>
      </c>
      <c r="H30" s="66">
        <f t="shared" si="1"/>
        <v>330.82911100188483</v>
      </c>
      <c r="I30" s="6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>
        <f>VLOOKUP(A30,'Données projet'!$A$35:$I$55,2,0)</f>
        <v>261</v>
      </c>
      <c r="L30" s="12">
        <f>VLOOKUP(A30,'Données projet'!$A$35:$I$55,9,0)</f>
        <v>17</v>
      </c>
      <c r="M30" s="12">
        <f t="array" ref="M30">INDEX(L:L,MIN(IF(ISNUMBER(L30:L226),ROW(L30:L226),"")))</f>
        <v>17</v>
      </c>
      <c r="N30" s="13">
        <f>IF('Données projet'!$A$36&gt;35,N29+M30-V29,IF(A30&lt;'Données projet'!$A$36,$K$205^A30,IF(A30='Données projet'!$A$36,'Données projet'!$B$36,N29+M30-V29)))</f>
        <v>261</v>
      </c>
      <c r="O30" s="13">
        <f>N30*VLOOKUP('Données projet'!$B$9,Paramètres!$A$1:$I$89,3,0)*VLOOKUP('Données projet'!$B$9,Paramètres!$A$1:$I$89,5,0)</f>
        <v>156.078</v>
      </c>
      <c r="P30" s="13">
        <f t="shared" si="33"/>
        <v>39.956623674978466</v>
      </c>
      <c r="Q30" s="20">
        <f t="shared" si="2"/>
        <v>341.42696956725416</v>
      </c>
      <c r="R30" s="59">
        <f t="shared" si="0"/>
        <v>634.76030290058748</v>
      </c>
      <c r="S30" s="59">
        <f ca="1">AVERAGE(OFFSET($R$3,0,0,'Données projet'!$E$9+1,1))-AVERAGE(OFFSET($H$3,0,0,'Données projet'!$E$9+1,1))</f>
        <v>148.39628895278571</v>
      </c>
      <c r="T30" s="59">
        <f t="shared" si="34"/>
        <v>361.07991692964788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14.011734417439989</v>
      </c>
      <c r="AA30" s="21">
        <f>EXP(-LN(2)/25)*AA29+(1-EXP(-LN(2)/25))/(LN(2)/25)*Calculateur!V30*Calculateur!X30*VLOOKUP('Données projet'!$B$9,Paramètres!$A$1:$I$89,3,0)*0.475*44/12</f>
        <v>15.624323569465696</v>
      </c>
      <c r="AB30" s="21">
        <f>EXP(-LN(2)/2)*AB29+(1-EXP(-LN(2)/2))/(LN(2)/2)*V30*Y30*VLOOKUP('Données projet'!$B$9,Paramètres!$A$1:$I$89,3,0)*0.475*44/12</f>
        <v>0.12717175736062727</v>
      </c>
      <c r="AC30" s="22">
        <f t="shared" si="3"/>
        <v>29.763229744266312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2.5115384616666665</v>
      </c>
      <c r="AI30" s="13">
        <f>IF('Données projet'!$A$62&gt;35,AI29+AH30-AQ29,IF(A30&lt;'Données projet'!$A$62,$AF$205^A30,IF(A30='Données projet'!$A$62,'Données projet'!$B$62,AI29+AH30-AQ29)))</f>
        <v>48.90519323549205</v>
      </c>
      <c r="AJ30" s="13">
        <f>AI30*VLOOKUP('Données projet'!$B$10,Paramètres!$A$1:$I$89,3,0)*VLOOKUP('Données projet'!$B$10,Paramètres!$A$1:$I$89,5,0)</f>
        <v>48.826944926315264</v>
      </c>
      <c r="AK30" s="13">
        <f t="shared" si="35"/>
        <v>14.31039576406882</v>
      </c>
      <c r="AL30" s="20">
        <f t="shared" si="4"/>
        <v>109.96420170241895</v>
      </c>
      <c r="AM30" s="59">
        <f t="shared" si="5"/>
        <v>403.29753503575228</v>
      </c>
      <c r="AN30" s="59">
        <f ca="1">AVERAGE(OFFSET($AM$3,0,0,'Données projet'!$E$10+1,1))-AVERAGE(OFFSET($H$3,0,0,'Données projet'!$E$10+1,1))</f>
        <v>525.29195699741149</v>
      </c>
      <c r="AO30" s="59">
        <f t="shared" si="36"/>
        <v>125.99812193007153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0</v>
      </c>
      <c r="BD30" s="12">
        <f>IF('Données projet'!$A$88&gt;35,BD29+BC30-BL29,IF(A30&lt;'Données projet'!$A$88,$BA$205^A30,IF(A30='Données projet'!$A$88,'Données projet'!$B$88,BD29+BC30-BL29)))</f>
        <v>0</v>
      </c>
      <c r="BE30" s="13" t="e">
        <f>BD30*VLOOKUP('Données projet'!$B$11,Paramètres!$A$1:$I$89,3,0)*VLOOKUP('Données projet'!$B$11,Paramètres!$A$1:$I$89,5,0)</f>
        <v>#N/A</v>
      </c>
      <c r="BF30" s="13" t="e">
        <f t="shared" si="37"/>
        <v>#N/A</v>
      </c>
      <c r="BG30" s="20" t="e">
        <f t="shared" si="7"/>
        <v>#N/A</v>
      </c>
      <c r="BH30" s="59" t="e">
        <f t="shared" si="8"/>
        <v>#N/A</v>
      </c>
      <c r="BI30" s="59" t="e">
        <f ca="1">AVERAGE(OFFSET($BH$3,0,0,'Données projet'!$E$11+1,1))-AVERAGE(OFFSET($H$3,0,0,'Données projet'!$E$11+1,1))</f>
        <v>#N/A</v>
      </c>
      <c r="BJ30" s="59" t="e">
        <f t="shared" si="38"/>
        <v>#N/A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 t="e">
        <f>EXP(-LN(2)/35)*BP29+(1-EXP(-LN(2)/35))/(LN(2)/35)*BL30*BM30*VLOOKUP('Données projet'!$B$11,Paramètres!$A$1:$I$89,3,0)*0.475*44/12</f>
        <v>#N/A</v>
      </c>
      <c r="BQ30" s="21" t="e">
        <f>EXP(-LN(2)/25)*BQ29+(1-EXP(-LN(2)/25))/(LN(2)/25)*Calculateur!BL30*Calculateur!BN30*VLOOKUP('Données projet'!$B$11,Paramètres!$A$1:$I$89,3,0)*0.475*44/12</f>
        <v>#N/A</v>
      </c>
      <c r="BR30" s="21" t="e">
        <f>EXP(-LN(2)/2)*BR29+(1-EXP(-LN(2)/2))/(LN(2)/2)*BL30*BO30*VLOOKUP('Données projet'!$B$11,Paramètres!$A$1:$I$89,3,0)*0.475*44/12</f>
        <v>#N/A</v>
      </c>
      <c r="BS30" s="22" t="e">
        <f t="shared" si="9"/>
        <v>#N/A</v>
      </c>
      <c r="BT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">
      <c r="A31" s="10">
        <f t="shared" si="31"/>
        <v>28</v>
      </c>
      <c r="B31" s="72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16.744000000000007</v>
      </c>
      <c r="D31" s="11">
        <f t="shared" si="32"/>
        <v>5.5584546605089464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172.15929913375331</v>
      </c>
      <c r="H31" s="66">
        <f t="shared" si="1"/>
        <v>332.17677520038643</v>
      </c>
      <c r="I31" s="6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>
        <f>VLOOKUP(A31,'Données projet'!$A$35:$I$55,2,0)</f>
        <v>277</v>
      </c>
      <c r="L31" s="12">
        <f>VLOOKUP(A31,'Données projet'!$A$35:$I$55,9,0)</f>
        <v>16</v>
      </c>
      <c r="M31" s="12">
        <f t="array" ref="M31">INDEX(L:L,MIN(IF(ISNUMBER(L31:L227),ROW(L31:L227),"")))</f>
        <v>16</v>
      </c>
      <c r="N31" s="13">
        <f>IF('Données projet'!$A$36&gt;35,N30+M31-V30,IF(A31&lt;'Données projet'!$A$36,$K$205^A31,IF(A31='Données projet'!$A$36,'Données projet'!$B$36,N30+M31-V30)))</f>
        <v>277</v>
      </c>
      <c r="O31" s="13">
        <f>N31*VLOOKUP('Données projet'!$B$9,Paramètres!$A$1:$I$89,3,0)*VLOOKUP('Données projet'!$B$9,Paramètres!$A$1:$I$89,5,0)</f>
        <v>165.64600000000002</v>
      </c>
      <c r="P31" s="13">
        <f t="shared" si="33"/>
        <v>42.113404814327666</v>
      </c>
      <c r="Q31" s="20">
        <f t="shared" si="2"/>
        <v>361.84763005162068</v>
      </c>
      <c r="R31" s="59">
        <f t="shared" si="0"/>
        <v>655.180963384954</v>
      </c>
      <c r="S31" s="59">
        <f ca="1">AVERAGE(OFFSET($R$3,0,0,'Données projet'!$E$9+1,1))-AVERAGE(OFFSET($H$3,0,0,'Données projet'!$E$9+1,1))</f>
        <v>148.39628895278571</v>
      </c>
      <c r="T31" s="59">
        <f t="shared" si="34"/>
        <v>361.07991692964788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13.736972851828106</v>
      </c>
      <c r="AA31" s="21">
        <f>EXP(-LN(2)/25)*AA30+(1-EXP(-LN(2)/25))/(LN(2)/25)*Calculateur!V31*Calculateur!X31*VLOOKUP('Données projet'!$B$9,Paramètres!$A$1:$I$89,3,0)*0.475*44/12</f>
        <v>15.197075619811191</v>
      </c>
      <c r="AB31" s="21">
        <f>EXP(-LN(2)/2)*AB30+(1-EXP(-LN(2)/2))/(LN(2)/2)*V31*Y31*VLOOKUP('Données projet'!$B$9,Paramètres!$A$1:$I$89,3,0)*0.475*44/12</f>
        <v>8.9924012005109785E-2</v>
      </c>
      <c r="AC31" s="22">
        <f t="shared" si="3"/>
        <v>29.023972483644407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2.5115384616666665</v>
      </c>
      <c r="AI31" s="13">
        <f>IF('Données projet'!$A$62&gt;35,AI30+AH31-AQ30,IF(A31&lt;'Données projet'!$A$62,$AF$205^A31,IF(A31='Données projet'!$A$62,'Données projet'!$B$62,AI30+AH31-AQ30)))</f>
        <v>56.483770812991168</v>
      </c>
      <c r="AJ31" s="13">
        <f>AI31*VLOOKUP('Données projet'!$B$10,Paramètres!$A$1:$I$89,3,0)*VLOOKUP('Données projet'!$B$10,Paramètres!$A$1:$I$89,5,0)</f>
        <v>56.393396779690391</v>
      </c>
      <c r="AK31" s="13">
        <f t="shared" si="35"/>
        <v>16.253142780391315</v>
      </c>
      <c r="AL31" s="20">
        <f t="shared" si="4"/>
        <v>126.52605640047564</v>
      </c>
      <c r="AM31" s="59">
        <f t="shared" si="5"/>
        <v>419.85938973380894</v>
      </c>
      <c r="AN31" s="59">
        <f ca="1">AVERAGE(OFFSET($AM$3,0,0,'Données projet'!$E$10+1,1))-AVERAGE(OFFSET($H$3,0,0,'Données projet'!$E$10+1,1))</f>
        <v>525.29195699741149</v>
      </c>
      <c r="AO31" s="59">
        <f t="shared" si="36"/>
        <v>125.99812193007153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0</v>
      </c>
      <c r="BD31" s="12">
        <f>IF('Données projet'!$A$88&gt;35,BD30+BC31-BL30,IF(A31&lt;'Données projet'!$A$88,$BA$205^A31,IF(A31='Données projet'!$A$88,'Données projet'!$B$88,BD30+BC31-BL30)))</f>
        <v>0</v>
      </c>
      <c r="BE31" s="13" t="e">
        <f>BD31*VLOOKUP('Données projet'!$B$11,Paramètres!$A$1:$I$89,3,0)*VLOOKUP('Données projet'!$B$11,Paramètres!$A$1:$I$89,5,0)</f>
        <v>#N/A</v>
      </c>
      <c r="BF31" s="13" t="e">
        <f t="shared" si="37"/>
        <v>#N/A</v>
      </c>
      <c r="BG31" s="20" t="e">
        <f t="shared" si="7"/>
        <v>#N/A</v>
      </c>
      <c r="BH31" s="59" t="e">
        <f t="shared" si="8"/>
        <v>#N/A</v>
      </c>
      <c r="BI31" s="59" t="e">
        <f ca="1">AVERAGE(OFFSET($BH$3,0,0,'Données projet'!$E$11+1,1))-AVERAGE(OFFSET($H$3,0,0,'Données projet'!$E$11+1,1))</f>
        <v>#N/A</v>
      </c>
      <c r="BJ31" s="59" t="e">
        <f t="shared" si="38"/>
        <v>#N/A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 t="e">
        <f>EXP(-LN(2)/35)*BP30+(1-EXP(-LN(2)/35))/(LN(2)/35)*BL31*BM31*VLOOKUP('Données projet'!$B$11,Paramètres!$A$1:$I$89,3,0)*0.475*44/12</f>
        <v>#N/A</v>
      </c>
      <c r="BQ31" s="21" t="e">
        <f>EXP(-LN(2)/25)*BQ30+(1-EXP(-LN(2)/25))/(LN(2)/25)*Calculateur!BL31*Calculateur!BN31*VLOOKUP('Données projet'!$B$11,Paramètres!$A$1:$I$89,3,0)*0.475*44/12</f>
        <v>#N/A</v>
      </c>
      <c r="BR31" s="21" t="e">
        <f>EXP(-LN(2)/2)*BR30+(1-EXP(-LN(2)/2))/(LN(2)/2)*BL31*BO31*VLOOKUP('Données projet'!$B$11,Paramètres!$A$1:$I$89,3,0)*0.475*44/12</f>
        <v>#N/A</v>
      </c>
      <c r="BS31" s="22" t="e">
        <f t="shared" si="9"/>
        <v>#N/A</v>
      </c>
      <c r="BT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">
      <c r="A32" s="10">
        <f t="shared" si="31"/>
        <v>29</v>
      </c>
      <c r="B32" s="72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17.342000000000006</v>
      </c>
      <c r="D32" s="11">
        <f t="shared" si="32"/>
        <v>5.7335037643993987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178.12669572518837</v>
      </c>
      <c r="H32" s="66">
        <f t="shared" si="1"/>
        <v>333.52316905632892</v>
      </c>
      <c r="I32" s="6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>
        <f>VLOOKUP(A32,'Données projet'!$A$35:$I$55,2,0)</f>
        <v>293</v>
      </c>
      <c r="L32" s="12">
        <f>VLOOKUP(A32,'Données projet'!$A$35:$I$55,9,0)</f>
        <v>16</v>
      </c>
      <c r="M32" s="12">
        <f t="array" ref="M32">INDEX(L:L,MIN(IF(ISNUMBER(L32:L228),ROW(L32:L228),"")))</f>
        <v>16</v>
      </c>
      <c r="N32" s="13">
        <f>IF('Données projet'!$A$36&gt;35,N31+M32-V31,IF(A32&lt;'Données projet'!$A$36,$K$205^A32,IF(A32='Données projet'!$A$36,'Données projet'!$B$36,N31+M32-V31)))</f>
        <v>293</v>
      </c>
      <c r="O32" s="13">
        <f>N32*VLOOKUP('Données projet'!$B$9,Paramètres!$A$1:$I$89,3,0)*VLOOKUP('Données projet'!$B$9,Paramètres!$A$1:$I$89,5,0)</f>
        <v>175.214</v>
      </c>
      <c r="P32" s="13">
        <f t="shared" si="33"/>
        <v>44.255725061661991</v>
      </c>
      <c r="Q32" s="20">
        <f t="shared" si="2"/>
        <v>382.24310448239459</v>
      </c>
      <c r="R32" s="59">
        <f t="shared" si="0"/>
        <v>675.5764378157279</v>
      </c>
      <c r="S32" s="59">
        <f ca="1">AVERAGE(OFFSET($R$3,0,0,'Données projet'!$E$9+1,1))-AVERAGE(OFFSET($H$3,0,0,'Données projet'!$E$9+1,1))</f>
        <v>148.39628895278571</v>
      </c>
      <c r="T32" s="59">
        <f t="shared" si="34"/>
        <v>361.07991692964788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13.467599192929866</v>
      </c>
      <c r="AA32" s="21">
        <f>EXP(-LN(2)/25)*AA31+(1-EXP(-LN(2)/25))/(LN(2)/25)*Calculateur!V32*Calculateur!X32*VLOOKUP('Données projet'!$B$9,Paramètres!$A$1:$I$89,3,0)*0.475*44/12</f>
        <v>14.78151078780798</v>
      </c>
      <c r="AB32" s="21">
        <f>EXP(-LN(2)/2)*AB31+(1-EXP(-LN(2)/2))/(LN(2)/2)*V32*Y32*VLOOKUP('Données projet'!$B$9,Paramètres!$A$1:$I$89,3,0)*0.475*44/12</f>
        <v>6.3585878680313637E-2</v>
      </c>
      <c r="AC32" s="22">
        <f t="shared" si="3"/>
        <v>28.312695859418159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2.5115384616666665</v>
      </c>
      <c r="AI32" s="13">
        <f>IF('Données projet'!$A$62&gt;35,AI31+AH32-AQ31,IF(A32&lt;'Données projet'!$A$62,$AF$205^A32,IF(A32='Données projet'!$A$62,'Données projet'!$B$62,AI31+AH32-AQ31)))</f>
        <v>65.236760233044663</v>
      </c>
      <c r="AJ32" s="13">
        <f>AI32*VLOOKUP('Données projet'!$B$10,Paramètres!$A$1:$I$89,3,0)*VLOOKUP('Données projet'!$B$10,Paramètres!$A$1:$I$89,5,0)</f>
        <v>65.132381416671791</v>
      </c>
      <c r="AK32" s="13">
        <f t="shared" si="35"/>
        <v>18.459632744963127</v>
      </c>
      <c r="AL32" s="20">
        <f t="shared" si="4"/>
        <v>145.58942466484748</v>
      </c>
      <c r="AM32" s="59">
        <f t="shared" si="5"/>
        <v>438.92275799818083</v>
      </c>
      <c r="AN32" s="59">
        <f ca="1">AVERAGE(OFFSET($AM$3,0,0,'Données projet'!$E$10+1,1))-AVERAGE(OFFSET($H$3,0,0,'Données projet'!$E$10+1,1))</f>
        <v>525.29195699741149</v>
      </c>
      <c r="AO32" s="59">
        <f t="shared" si="36"/>
        <v>125.99812193007153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0</v>
      </c>
      <c r="BD32" s="12">
        <f>IF('Données projet'!$A$88&gt;35,BD31+BC32-BL31,IF(A32&lt;'Données projet'!$A$88,$BA$205^A32,IF(A32='Données projet'!$A$88,'Données projet'!$B$88,BD31+BC32-BL31)))</f>
        <v>0</v>
      </c>
      <c r="BE32" s="13" t="e">
        <f>BD32*VLOOKUP('Données projet'!$B$11,Paramètres!$A$1:$I$89,3,0)*VLOOKUP('Données projet'!$B$11,Paramètres!$A$1:$I$89,5,0)</f>
        <v>#N/A</v>
      </c>
      <c r="BF32" s="13" t="e">
        <f t="shared" si="37"/>
        <v>#N/A</v>
      </c>
      <c r="BG32" s="20" t="e">
        <f t="shared" si="7"/>
        <v>#N/A</v>
      </c>
      <c r="BH32" s="59" t="e">
        <f t="shared" si="8"/>
        <v>#N/A</v>
      </c>
      <c r="BI32" s="59" t="e">
        <f ca="1">AVERAGE(OFFSET($BH$3,0,0,'Données projet'!$E$11+1,1))-AVERAGE(OFFSET($H$3,0,0,'Données projet'!$E$11+1,1))</f>
        <v>#N/A</v>
      </c>
      <c r="BJ32" s="59" t="e">
        <f t="shared" si="38"/>
        <v>#N/A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 t="e">
        <f>EXP(-LN(2)/35)*BP31+(1-EXP(-LN(2)/35))/(LN(2)/35)*BL32*BM32*VLOOKUP('Données projet'!$B$11,Paramètres!$A$1:$I$89,3,0)*0.475*44/12</f>
        <v>#N/A</v>
      </c>
      <c r="BQ32" s="21" t="e">
        <f>EXP(-LN(2)/25)*BQ31+(1-EXP(-LN(2)/25))/(LN(2)/25)*Calculateur!BL32*Calculateur!BN32*VLOOKUP('Données projet'!$B$11,Paramètres!$A$1:$I$89,3,0)*0.475*44/12</f>
        <v>#N/A</v>
      </c>
      <c r="BR32" s="21" t="e">
        <f>EXP(-LN(2)/2)*BR31+(1-EXP(-LN(2)/2))/(LN(2)/2)*BL32*BO32*VLOOKUP('Données projet'!$B$11,Paramètres!$A$1:$I$89,3,0)*0.475*44/12</f>
        <v>#N/A</v>
      </c>
      <c r="BS32" s="22" t="e">
        <f t="shared" si="9"/>
        <v>#N/A</v>
      </c>
      <c r="BT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">
      <c r="A33" s="10">
        <f t="shared" si="31"/>
        <v>30</v>
      </c>
      <c r="B33" s="72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17.940000000000005</v>
      </c>
      <c r="D33" s="11">
        <f t="shared" si="32"/>
        <v>5.907851518758747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184.08867839041844</v>
      </c>
      <c r="H33" s="66">
        <f t="shared" si="1"/>
        <v>334.86834139517146</v>
      </c>
      <c r="I33" s="6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309</v>
      </c>
      <c r="L33" s="12">
        <f>VLOOKUP(A33,'Données projet'!$A$35:$I$55,9,0)</f>
        <v>16</v>
      </c>
      <c r="M33" s="12">
        <f t="array" ref="M33">INDEX(L:L,MIN(IF(ISNUMBER(L33:L229),ROW(L33:L229),"")))</f>
        <v>16</v>
      </c>
      <c r="N33" s="13">
        <f>IF('Données projet'!$A$36&gt;35,N32+M33-V32,IF(A33&lt;'Données projet'!$A$36,$K$205^A33,IF(A33='Données projet'!$A$36,'Données projet'!$B$36,N32+M33-V32)))</f>
        <v>309</v>
      </c>
      <c r="O33" s="13">
        <f>N33*VLOOKUP('Données projet'!$B$9,Paramètres!$A$1:$I$89,3,0)*VLOOKUP('Données projet'!$B$9,Paramètres!$A$1:$I$89,5,0)</f>
        <v>184.78200000000004</v>
      </c>
      <c r="P33" s="13">
        <f t="shared" si="33"/>
        <v>46.384464109944147</v>
      </c>
      <c r="Q33" s="20">
        <f t="shared" si="2"/>
        <v>402.61492499148608</v>
      </c>
      <c r="R33" s="59">
        <f t="shared" si="0"/>
        <v>695.94825832481934</v>
      </c>
      <c r="S33" s="59">
        <f ca="1">AVERAGE(OFFSET($R$3,0,0,'Données projet'!$E$9+1,1))-AVERAGE(OFFSET($H$3,0,0,'Données projet'!$E$9+1,1))</f>
        <v>148.39628895278571</v>
      </c>
      <c r="T33" s="59">
        <f t="shared" si="34"/>
        <v>361.07991692964788</v>
      </c>
      <c r="U33" s="15">
        <f>IF(ISNA(VLOOKUP(A33,'Données projet'!$A$35:$I$55,3,0)),0,VLOOKUP(A33,'Données projet'!$A$35:$I$55,3,0))</f>
        <v>4</v>
      </c>
      <c r="V33" s="15">
        <f>IF(ISNA(VLOOKUP(A33,'Données projet'!$A$35:$I$55,4,0)),0,VLOOKUP(A33,'Données projet'!$A$35:$I$55,4,0))</f>
        <v>309</v>
      </c>
      <c r="W33" s="16">
        <f>IF(ISNA(VLOOKUP(A33,'Données projet'!$A$35:$I$55,5,0)),0%,VLOOKUP(A33,'Données projet'!$A$35:$I$55,5,0)*VLOOKUP('Données projet'!$B$9,Paramètres!$A$1:$I$89,7,0))</f>
        <v>0.45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123.50986272944402</v>
      </c>
      <c r="AA33" s="21">
        <f>EXP(-LN(2)/25)*AA32+(1-EXP(-LN(2)/25))/(LN(2)/25)*Calculateur!V33*Calculateur!X33*VLOOKUP('Données projet'!$B$9,Paramètres!$A$1:$I$89,3,0)*0.475*44/12</f>
        <v>14.377309597989502</v>
      </c>
      <c r="AB33" s="21">
        <f>EXP(-LN(2)/2)*AB32+(1-EXP(-LN(2)/2))/(LN(2)/2)*V33*Y33*VLOOKUP('Données projet'!$B$9,Paramètres!$A$1:$I$89,3,0)*0.475*44/12</f>
        <v>4.4962006002554893E-2</v>
      </c>
      <c r="AC33" s="22">
        <f t="shared" si="3"/>
        <v>137.93213433343607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75.346153849999993</v>
      </c>
      <c r="AG33" s="12">
        <f>VLOOKUP(A33,'Données projet'!$A$61:$I$81,9,0)</f>
        <v>2.5115384616666665</v>
      </c>
      <c r="AH33" s="12">
        <f t="array" ref="AH33">INDEX(AG:AG,MIN(IF(ISNUMBER(AG33:AG229),ROW(AG33:AG229),"")))</f>
        <v>2.5115384616666665</v>
      </c>
      <c r="AI33" s="13">
        <f>IF('Données projet'!$A$62&gt;35,AI32+AH33-AQ32,IF(A33&lt;'Données projet'!$A$62,$AF$205^A33,IF(A33='Données projet'!$A$62,'Données projet'!$B$62,AI32+AH33-AQ32)))</f>
        <v>75.346153849999993</v>
      </c>
      <c r="AJ33" s="13">
        <f>AI33*VLOOKUP('Données projet'!$B$10,Paramètres!$A$1:$I$89,3,0)*VLOOKUP('Données projet'!$B$10,Paramètres!$A$1:$I$89,5,0)</f>
        <v>75.22560000384</v>
      </c>
      <c r="AK33" s="13">
        <f t="shared" si="35"/>
        <v>20.965670804911962</v>
      </c>
      <c r="AL33" s="20">
        <f t="shared" si="4"/>
        <v>167.53312999190965</v>
      </c>
      <c r="AM33" s="59">
        <f t="shared" si="5"/>
        <v>460.86646332524299</v>
      </c>
      <c r="AN33" s="59">
        <f ca="1">AVERAGE(OFFSET($AM$3,0,0,'Données projet'!$E$10+1,1))-AVERAGE(OFFSET($H$3,0,0,'Données projet'!$E$10+1,1))</f>
        <v>525.29195699741149</v>
      </c>
      <c r="AO33" s="59">
        <f t="shared" si="36"/>
        <v>125.99812193007153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0</v>
      </c>
      <c r="BD33" s="12">
        <f>IF('Données projet'!$A$88&gt;35,BD32+BC33-BL32,IF(A33&lt;'Données projet'!$A$88,$BA$205^A33,IF(A33='Données projet'!$A$88,'Données projet'!$B$88,BD32+BC33-BL32)))</f>
        <v>0</v>
      </c>
      <c r="BE33" s="13" t="e">
        <f>BD33*VLOOKUP('Données projet'!$B$11,Paramètres!$A$1:$I$89,3,0)*VLOOKUP('Données projet'!$B$11,Paramètres!$A$1:$I$89,5,0)</f>
        <v>#N/A</v>
      </c>
      <c r="BF33" s="13" t="e">
        <f t="shared" si="37"/>
        <v>#N/A</v>
      </c>
      <c r="BG33" s="20" t="e">
        <f t="shared" si="7"/>
        <v>#N/A</v>
      </c>
      <c r="BH33" s="59" t="e">
        <f t="shared" si="8"/>
        <v>#N/A</v>
      </c>
      <c r="BI33" s="59" t="e">
        <f ca="1">AVERAGE(OFFSET($BH$3,0,0,'Données projet'!$E$11+1,1))-AVERAGE(OFFSET($H$3,0,0,'Données projet'!$E$11+1,1))</f>
        <v>#N/A</v>
      </c>
      <c r="BJ33" s="59" t="e">
        <f t="shared" si="38"/>
        <v>#N/A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 t="e">
        <f>EXP(-LN(2)/35)*BP32+(1-EXP(-LN(2)/35))/(LN(2)/35)*BL33*BM33*VLOOKUP('Données projet'!$B$11,Paramètres!$A$1:$I$89,3,0)*0.475*44/12</f>
        <v>#N/A</v>
      </c>
      <c r="BQ33" s="21" t="e">
        <f>EXP(-LN(2)/25)*BQ32+(1-EXP(-LN(2)/25))/(LN(2)/25)*Calculateur!BL33*Calculateur!BN33*VLOOKUP('Données projet'!$B$11,Paramètres!$A$1:$I$89,3,0)*0.475*44/12</f>
        <v>#N/A</v>
      </c>
      <c r="BR33" s="21" t="e">
        <f>EXP(-LN(2)/2)*BR32+(1-EXP(-LN(2)/2))/(LN(2)/2)*BL33*BO33*VLOOKUP('Données projet'!$B$11,Paramètres!$A$1:$I$89,3,0)*0.475*44/12</f>
        <v>#N/A</v>
      </c>
      <c r="BS33" s="22" t="e">
        <f t="shared" si="9"/>
        <v>#N/A</v>
      </c>
      <c r="BT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">
      <c r="A34" s="10">
        <f t="shared" si="31"/>
        <v>31</v>
      </c>
      <c r="B34" s="72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18.538000000000004</v>
      </c>
      <c r="D34" s="11">
        <f t="shared" si="32"/>
        <v>6.0815239823749314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190.04544828499948</v>
      </c>
      <c r="H34" s="66">
        <f t="shared" si="1"/>
        <v>336.21233760263635</v>
      </c>
      <c r="I34" s="6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0</v>
      </c>
      <c r="N34" s="13">
        <f>IF('Données projet'!$A$36&gt;35,N33+M34-V33,IF(A34&lt;'Données projet'!$A$36,$K$205^A34,IF(A34='Données projet'!$A$36,'Données projet'!$B$36,N33+M34-V33)))</f>
        <v>0</v>
      </c>
      <c r="O34" s="13">
        <f>N34*VLOOKUP('Données projet'!$B$9,Paramètres!$A$1:$I$89,3,0)*VLOOKUP('Données projet'!$B$9,Paramètres!$A$1:$I$89,5,0)</f>
        <v>0</v>
      </c>
      <c r="P34" s="13" t="e">
        <f t="shared" si="33"/>
        <v>#NUM!</v>
      </c>
      <c r="Q34" s="20" t="e">
        <f t="shared" si="2"/>
        <v>#NUM!</v>
      </c>
      <c r="R34" s="59" t="e">
        <f t="shared" si="0"/>
        <v>#NUM!</v>
      </c>
      <c r="S34" s="59">
        <f ca="1">AVERAGE(OFFSET($R$3,0,0,'Données projet'!$E$9+1,1))-AVERAGE(OFFSET($H$3,0,0,'Données projet'!$E$9+1,1))</f>
        <v>148.39628895278571</v>
      </c>
      <c r="T34" s="59">
        <f t="shared" si="34"/>
        <v>361.07991692964788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121.08790965489732</v>
      </c>
      <c r="AA34" s="21">
        <f>EXP(-LN(2)/25)*AA33+(1-EXP(-LN(2)/25))/(LN(2)/25)*Calculateur!V34*Calculateur!X34*VLOOKUP('Données projet'!$B$9,Paramètres!$A$1:$I$89,3,0)*0.475*44/12</f>
        <v>13.984161310962627</v>
      </c>
      <c r="AB34" s="21">
        <f>EXP(-LN(2)/2)*AB33+(1-EXP(-LN(2)/2))/(LN(2)/2)*V34*Y34*VLOOKUP('Données projet'!$B$9,Paramètres!$A$1:$I$89,3,0)*0.475*44/12</f>
        <v>3.1792939340156819E-2</v>
      </c>
      <c r="AC34" s="22">
        <f t="shared" si="3"/>
        <v>135.10386390520011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8.0511538458333352</v>
      </c>
      <c r="AI34" s="13">
        <f>IF('Données projet'!$A$62&gt;35,AI33+AH34-AQ33,IF(A34&lt;'Données projet'!$A$62,$AF$205^A34,IF(A34='Données projet'!$A$62,'Données projet'!$B$62,AI33+AH34-AQ33)))</f>
        <v>83.397307695833334</v>
      </c>
      <c r="AJ34" s="13">
        <f>AI34*VLOOKUP('Données projet'!$B$10,Paramètres!$A$1:$I$89,3,0)*VLOOKUP('Données projet'!$B$10,Paramètres!$A$1:$I$89,5,0)</f>
        <v>83.263872003520007</v>
      </c>
      <c r="AK34" s="13">
        <f t="shared" si="35"/>
        <v>22.933351060509246</v>
      </c>
      <c r="AL34" s="20">
        <f t="shared" si="4"/>
        <v>184.96016350318428</v>
      </c>
      <c r="AM34" s="59">
        <f t="shared" si="5"/>
        <v>478.29349683651759</v>
      </c>
      <c r="AN34" s="59">
        <f ca="1">AVERAGE(OFFSET($AM$3,0,0,'Données projet'!$E$10+1,1))-AVERAGE(OFFSET($H$3,0,0,'Données projet'!$E$10+1,1))</f>
        <v>525.29195699741149</v>
      </c>
      <c r="AO34" s="59">
        <f t="shared" si="36"/>
        <v>125.99812193007153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0</v>
      </c>
      <c r="BE34" s="13" t="e">
        <f>BD34*VLOOKUP('Données projet'!$B$11,Paramètres!$A$1:$I$89,3,0)*VLOOKUP('Données projet'!$B$11,Paramètres!$A$1:$I$89,5,0)</f>
        <v>#N/A</v>
      </c>
      <c r="BF34" s="13" t="e">
        <f t="shared" si="37"/>
        <v>#N/A</v>
      </c>
      <c r="BG34" s="20" t="e">
        <f t="shared" si="7"/>
        <v>#N/A</v>
      </c>
      <c r="BH34" s="59" t="e">
        <f t="shared" si="8"/>
        <v>#N/A</v>
      </c>
      <c r="BI34" s="59" t="e">
        <f ca="1">AVERAGE(OFFSET($BH$3,0,0,'Données projet'!$E$11+1,1))-AVERAGE(OFFSET($H$3,0,0,'Données projet'!$E$11+1,1))</f>
        <v>#N/A</v>
      </c>
      <c r="BJ34" s="59" t="e">
        <f t="shared" si="38"/>
        <v>#N/A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 t="e">
        <f>EXP(-LN(2)/35)*BP33+(1-EXP(-LN(2)/35))/(LN(2)/35)*BL34*BM34*VLOOKUP('Données projet'!$B$11,Paramètres!$A$1:$I$89,3,0)*0.475*44/12</f>
        <v>#N/A</v>
      </c>
      <c r="BQ34" s="21" t="e">
        <f>EXP(-LN(2)/25)*BQ33+(1-EXP(-LN(2)/25))/(LN(2)/25)*Calculateur!BL34*Calculateur!BN34*VLOOKUP('Données projet'!$B$11,Paramètres!$A$1:$I$89,3,0)*0.475*44/12</f>
        <v>#N/A</v>
      </c>
      <c r="BR34" s="21" t="e">
        <f>EXP(-LN(2)/2)*BR33+(1-EXP(-LN(2)/2))/(LN(2)/2)*BL34*BO34*VLOOKUP('Données projet'!$B$11,Paramètres!$A$1:$I$89,3,0)*0.475*44/12</f>
        <v>#N/A</v>
      </c>
      <c r="BS34" s="22" t="e">
        <f t="shared" si="9"/>
        <v>#N/A</v>
      </c>
      <c r="BT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">
      <c r="A35" s="10">
        <f t="shared" si="31"/>
        <v>32</v>
      </c>
      <c r="B35" s="72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19.136000000000003</v>
      </c>
      <c r="D35" s="11">
        <f t="shared" si="32"/>
        <v>6.2545454373771854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195.99719284992921</v>
      </c>
      <c r="H35" s="66">
        <f t="shared" si="1"/>
        <v>337.55519997009856</v>
      </c>
      <c r="I35" s="6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0</v>
      </c>
      <c r="N35" s="13">
        <f>IF('Données projet'!$A$36&gt;35,N34+M35-V34,IF(A35&lt;'Données projet'!$A$36,$K$205^A35,IF(A35='Données projet'!$A$36,'Données projet'!$B$36,N34+M35-V34)))</f>
        <v>0</v>
      </c>
      <c r="O35" s="13">
        <f>N35*VLOOKUP('Données projet'!$B$9,Paramètres!$A$1:$I$89,3,0)*VLOOKUP('Données projet'!$B$9,Paramètres!$A$1:$I$89,5,0)</f>
        <v>0</v>
      </c>
      <c r="P35" s="13" t="e">
        <f t="shared" si="33"/>
        <v>#NUM!</v>
      </c>
      <c r="Q35" s="20" t="e">
        <f t="shared" ref="Q35:Q66" si="53">(O35+P35)*0.475*44/12</f>
        <v>#NUM!</v>
      </c>
      <c r="R35" s="59" t="e">
        <f t="shared" si="0"/>
        <v>#NUM!</v>
      </c>
      <c r="S35" s="59">
        <f ca="1">AVERAGE(OFFSET($R$3,0,0,'Données projet'!$E$9+1,1))-AVERAGE(OFFSET($H$3,0,0,'Données projet'!$E$9+1,1))</f>
        <v>148.39628895278571</v>
      </c>
      <c r="T35" s="59">
        <f t="shared" si="34"/>
        <v>361.07991692964788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118.71344960289696</v>
      </c>
      <c r="AA35" s="21">
        <f>EXP(-LN(2)/25)*AA34+(1-EXP(-LN(2)/25))/(LN(2)/25)*Calculateur!V35*Calculateur!X35*VLOOKUP('Données projet'!$B$9,Paramètres!$A$1:$I$89,3,0)*0.475*44/12</f>
        <v>13.601763684519272</v>
      </c>
      <c r="AB35" s="21">
        <f>EXP(-LN(2)/2)*AB34+(1-EXP(-LN(2)/2))/(LN(2)/2)*V35*Y35*VLOOKUP('Données projet'!$B$9,Paramètres!$A$1:$I$89,3,0)*0.475*44/12</f>
        <v>2.2481003001277446E-2</v>
      </c>
      <c r="AC35" s="22">
        <f t="shared" si="3"/>
        <v>132.33769429041752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8.0511538458333352</v>
      </c>
      <c r="AI35" s="13">
        <f>IF('Données projet'!$A$62&gt;35,AI34+AH35-AQ34,IF(A35&lt;'Données projet'!$A$62,$AF$205^A35,IF(A35='Données projet'!$A$62,'Données projet'!$B$62,AI34+AH35-AQ34)))</f>
        <v>91.448461541666674</v>
      </c>
      <c r="AJ35" s="13">
        <f>AI35*VLOOKUP('Données projet'!$B$10,Paramètres!$A$1:$I$89,3,0)*VLOOKUP('Données projet'!$B$10,Paramètres!$A$1:$I$89,5,0)</f>
        <v>91.302144003200013</v>
      </c>
      <c r="AK35" s="13">
        <f t="shared" si="35"/>
        <v>24.879007741685818</v>
      </c>
      <c r="AL35" s="20">
        <f t="shared" si="4"/>
        <v>202.34883928900945</v>
      </c>
      <c r="AM35" s="59">
        <f t="shared" si="5"/>
        <v>495.68217262234276</v>
      </c>
      <c r="AN35" s="59">
        <f ca="1">AVERAGE(OFFSET($AM$3,0,0,'Données projet'!$E$10+1,1))-AVERAGE(OFFSET($H$3,0,0,'Données projet'!$E$10+1,1))</f>
        <v>525.29195699741149</v>
      </c>
      <c r="AO35" s="59">
        <f t="shared" si="36"/>
        <v>125.99812193007153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0</v>
      </c>
      <c r="BE35" s="13" t="e">
        <f>BD35*VLOOKUP('Données projet'!$B$11,Paramètres!$A$1:$I$89,3,0)*VLOOKUP('Données projet'!$B$11,Paramètres!$A$1:$I$89,5,0)</f>
        <v>#N/A</v>
      </c>
      <c r="BF35" s="13" t="e">
        <f t="shared" si="37"/>
        <v>#N/A</v>
      </c>
      <c r="BG35" s="20" t="e">
        <f t="shared" si="7"/>
        <v>#N/A</v>
      </c>
      <c r="BH35" s="59" t="e">
        <f t="shared" si="8"/>
        <v>#N/A</v>
      </c>
      <c r="BI35" s="59" t="e">
        <f ca="1">AVERAGE(OFFSET($BH$3,0,0,'Données projet'!$E$11+1,1))-AVERAGE(OFFSET($H$3,0,0,'Données projet'!$E$11+1,1))</f>
        <v>#N/A</v>
      </c>
      <c r="BJ35" s="59" t="e">
        <f t="shared" si="38"/>
        <v>#N/A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 t="e">
        <f>EXP(-LN(2)/35)*BP34+(1-EXP(-LN(2)/35))/(LN(2)/35)*BL35*BM35*VLOOKUP('Données projet'!$B$11,Paramètres!$A$1:$I$89,3,0)*0.475*44/12</f>
        <v>#N/A</v>
      </c>
      <c r="BQ35" s="21" t="e">
        <f>EXP(-LN(2)/25)*BQ34+(1-EXP(-LN(2)/25))/(LN(2)/25)*Calculateur!BL35*Calculateur!BN35*VLOOKUP('Données projet'!$B$11,Paramètres!$A$1:$I$89,3,0)*0.475*44/12</f>
        <v>#N/A</v>
      </c>
      <c r="BR35" s="21" t="e">
        <f>EXP(-LN(2)/2)*BR34+(1-EXP(-LN(2)/2))/(LN(2)/2)*BL35*BO35*VLOOKUP('Données projet'!$B$11,Paramètres!$A$1:$I$89,3,0)*0.475*44/12</f>
        <v>#N/A</v>
      </c>
      <c r="BS35" s="22" t="e">
        <f t="shared" si="9"/>
        <v>#N/A</v>
      </c>
      <c r="BT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">
      <c r="A36" s="10">
        <f t="shared" si="31"/>
        <v>33</v>
      </c>
      <c r="B36" s="72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19.734000000000002</v>
      </c>
      <c r="D36" s="11">
        <f t="shared" si="32"/>
        <v>6.4269385620606752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201.94408714573157</v>
      </c>
      <c r="H36" s="66">
        <f t="shared" si="1"/>
        <v>338.89696799558897</v>
      </c>
      <c r="I36" s="6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0</v>
      </c>
      <c r="N36" s="13">
        <f>IF('Données projet'!$A$36&gt;35,N35+M36-V35,IF(A36&lt;'Données projet'!$A$36,$K$205^A36,IF(A36='Données projet'!$A$36,'Données projet'!$B$36,N35+M36-V35)))</f>
        <v>0</v>
      </c>
      <c r="O36" s="13">
        <f>N36*VLOOKUP('Données projet'!$B$9,Paramètres!$A$1:$I$89,3,0)*VLOOKUP('Données projet'!$B$9,Paramètres!$A$1:$I$89,5,0)</f>
        <v>0</v>
      </c>
      <c r="P36" s="13" t="e">
        <f t="shared" si="33"/>
        <v>#NUM!</v>
      </c>
      <c r="Q36" s="20" t="e">
        <f t="shared" si="53"/>
        <v>#NUM!</v>
      </c>
      <c r="R36" s="59" t="e">
        <f t="shared" si="0"/>
        <v>#NUM!</v>
      </c>
      <c r="S36" s="59">
        <f ca="1">AVERAGE(OFFSET($R$3,0,0,'Données projet'!$E$9+1,1))-AVERAGE(OFFSET($H$3,0,0,'Données projet'!$E$9+1,1))</f>
        <v>148.39628895278571</v>
      </c>
      <c r="T36" s="59">
        <f t="shared" si="34"/>
        <v>361.07991692964788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116.3855512642387</v>
      </c>
      <c r="AA36" s="21">
        <f>EXP(-LN(2)/25)*AA35+(1-EXP(-LN(2)/25))/(LN(2)/25)*Calculateur!V36*Calculateur!X36*VLOOKUP('Données projet'!$B$9,Paramètres!$A$1:$I$89,3,0)*0.475*44/12</f>
        <v>13.229822741280428</v>
      </c>
      <c r="AB36" s="21">
        <f>EXP(-LN(2)/2)*AB35+(1-EXP(-LN(2)/2))/(LN(2)/2)*V36*Y36*VLOOKUP('Données projet'!$B$9,Paramètres!$A$1:$I$89,3,0)*0.475*44/12</f>
        <v>1.5896469670078409E-2</v>
      </c>
      <c r="AC36" s="22">
        <f t="shared" si="3"/>
        <v>129.63127047518921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8.0511538458333352</v>
      </c>
      <c r="AI36" s="13">
        <f>IF('Données projet'!$A$62&gt;35,AI35+AH36-AQ35,IF(A36&lt;'Données projet'!$A$62,$AF$205^A36,IF(A36='Données projet'!$A$62,'Données projet'!$B$62,AI35+AH36-AQ35)))</f>
        <v>99.499615387500015</v>
      </c>
      <c r="AJ36" s="13">
        <f>AI36*VLOOKUP('Données projet'!$B$10,Paramètres!$A$1:$I$89,3,0)*VLOOKUP('Données projet'!$B$10,Paramètres!$A$1:$I$89,5,0)</f>
        <v>99.340416002880019</v>
      </c>
      <c r="AK36" s="13">
        <f t="shared" si="35"/>
        <v>26.804800286559001</v>
      </c>
      <c r="AL36" s="20">
        <f t="shared" si="4"/>
        <v>219.70291837077295</v>
      </c>
      <c r="AM36" s="59">
        <f t="shared" si="5"/>
        <v>513.03625170410623</v>
      </c>
      <c r="AN36" s="59">
        <f ca="1">AVERAGE(OFFSET($AM$3,0,0,'Données projet'!$E$10+1,1))-AVERAGE(OFFSET($H$3,0,0,'Données projet'!$E$10+1,1))</f>
        <v>525.29195699741149</v>
      </c>
      <c r="AO36" s="59">
        <f t="shared" si="36"/>
        <v>125.99812193007153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0</v>
      </c>
      <c r="BE36" s="13" t="e">
        <f>BD36*VLOOKUP('Données projet'!$B$11,Paramètres!$A$1:$I$89,3,0)*VLOOKUP('Données projet'!$B$11,Paramètres!$A$1:$I$89,5,0)</f>
        <v>#N/A</v>
      </c>
      <c r="BF36" s="13" t="e">
        <f t="shared" si="37"/>
        <v>#N/A</v>
      </c>
      <c r="BG36" s="20" t="e">
        <f t="shared" si="7"/>
        <v>#N/A</v>
      </c>
      <c r="BH36" s="59" t="e">
        <f t="shared" si="8"/>
        <v>#N/A</v>
      </c>
      <c r="BI36" s="59" t="e">
        <f ca="1">AVERAGE(OFFSET($BH$3,0,0,'Données projet'!$E$11+1,1))-AVERAGE(OFFSET($H$3,0,0,'Données projet'!$E$11+1,1))</f>
        <v>#N/A</v>
      </c>
      <c r="BJ36" s="59" t="e">
        <f t="shared" si="38"/>
        <v>#N/A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 t="e">
        <f>EXP(-LN(2)/35)*BP35+(1-EXP(-LN(2)/35))/(LN(2)/35)*BL36*BM36*VLOOKUP('Données projet'!$B$11,Paramètres!$A$1:$I$89,3,0)*0.475*44/12</f>
        <v>#N/A</v>
      </c>
      <c r="BQ36" s="21" t="e">
        <f>EXP(-LN(2)/25)*BQ35+(1-EXP(-LN(2)/25))/(LN(2)/25)*Calculateur!BL36*Calculateur!BN36*VLOOKUP('Données projet'!$B$11,Paramètres!$A$1:$I$89,3,0)*0.475*44/12</f>
        <v>#N/A</v>
      </c>
      <c r="BR36" s="21" t="e">
        <f>EXP(-LN(2)/2)*BR35+(1-EXP(-LN(2)/2))/(LN(2)/2)*BL36*BO36*VLOOKUP('Données projet'!$B$11,Paramètres!$A$1:$I$89,3,0)*0.475*44/12</f>
        <v>#N/A</v>
      </c>
      <c r="BS36" s="22" t="e">
        <f t="shared" si="9"/>
        <v>#N/A</v>
      </c>
      <c r="BT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">
      <c r="A37" s="10">
        <f t="shared" si="31"/>
        <v>34</v>
      </c>
      <c r="B37" s="72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20.332000000000001</v>
      </c>
      <c r="D37" s="11">
        <f t="shared" si="32"/>
        <v>6.5987245821741247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207.88629502029153</v>
      </c>
      <c r="H37" s="66">
        <f t="shared" si="1"/>
        <v>340.2376786472866</v>
      </c>
      <c r="I37" s="6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0</v>
      </c>
      <c r="N37" s="13">
        <f>IF('Données projet'!$A$36&gt;35,N36+M37-V36,IF(A37&lt;'Données projet'!$A$36,$K$205^A37,IF(A37='Données projet'!$A$36,'Données projet'!$B$36,N36+M37-V36)))</f>
        <v>0</v>
      </c>
      <c r="O37" s="13">
        <f>N37*VLOOKUP('Données projet'!$B$9,Paramètres!$A$1:$I$89,3,0)*VLOOKUP('Données projet'!$B$9,Paramètres!$A$1:$I$89,5,0)</f>
        <v>0</v>
      </c>
      <c r="P37" s="13" t="e">
        <f t="shared" si="33"/>
        <v>#NUM!</v>
      </c>
      <c r="Q37" s="20" t="e">
        <f t="shared" si="53"/>
        <v>#NUM!</v>
      </c>
      <c r="R37" s="59" t="e">
        <f t="shared" si="0"/>
        <v>#NUM!</v>
      </c>
      <c r="S37" s="59">
        <f ca="1">AVERAGE(OFFSET($R$3,0,0,'Données projet'!$E$9+1,1))-AVERAGE(OFFSET($H$3,0,0,'Données projet'!$E$9+1,1))</f>
        <v>148.39628895278571</v>
      </c>
      <c r="T37" s="59">
        <f t="shared" si="34"/>
        <v>361.07991692964788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114.10330159212376</v>
      </c>
      <c r="AA37" s="21">
        <f>EXP(-LN(2)/25)*AA36+(1-EXP(-LN(2)/25))/(LN(2)/25)*Calculateur!V37*Calculateur!X37*VLOOKUP('Données projet'!$B$9,Paramètres!$A$1:$I$89,3,0)*0.475*44/12</f>
        <v>12.868052542693974</v>
      </c>
      <c r="AB37" s="21">
        <f>EXP(-LN(2)/2)*AB36+(1-EXP(-LN(2)/2))/(LN(2)/2)*V37*Y37*VLOOKUP('Données projet'!$B$9,Paramètres!$A$1:$I$89,3,0)*0.475*44/12</f>
        <v>1.1240501500638723E-2</v>
      </c>
      <c r="AC37" s="22">
        <f t="shared" si="3"/>
        <v>126.98259463631837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8.0511538458333352</v>
      </c>
      <c r="AI37" s="13">
        <f>IF('Données projet'!$A$62&gt;35,AI36+AH37-AQ36,IF(A37&lt;'Données projet'!$A$62,$AF$205^A37,IF(A37='Données projet'!$A$62,'Données projet'!$B$62,AI36+AH37-AQ36)))</f>
        <v>107.55076923333336</v>
      </c>
      <c r="AJ37" s="13">
        <f>AI37*VLOOKUP('Données projet'!$B$10,Paramètres!$A$1:$I$89,3,0)*VLOOKUP('Données projet'!$B$10,Paramètres!$A$1:$I$89,5,0)</f>
        <v>107.37868800256003</v>
      </c>
      <c r="AK37" s="13">
        <f t="shared" si="35"/>
        <v>28.712518768097134</v>
      </c>
      <c r="AL37" s="20">
        <f t="shared" si="4"/>
        <v>237.02551845889454</v>
      </c>
      <c r="AM37" s="59">
        <f t="shared" si="5"/>
        <v>530.35885179222782</v>
      </c>
      <c r="AN37" s="59">
        <f ca="1">AVERAGE(OFFSET($AM$3,0,0,'Données projet'!$E$10+1,1))-AVERAGE(OFFSET($H$3,0,0,'Données projet'!$E$10+1,1))</f>
        <v>525.29195699741149</v>
      </c>
      <c r="AO37" s="59">
        <f t="shared" si="36"/>
        <v>125.99812193007153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0</v>
      </c>
      <c r="BE37" s="13" t="e">
        <f>BD37*VLOOKUP('Données projet'!$B$11,Paramètres!$A$1:$I$89,3,0)*VLOOKUP('Données projet'!$B$11,Paramètres!$A$1:$I$89,5,0)</f>
        <v>#N/A</v>
      </c>
      <c r="BF37" s="13" t="e">
        <f t="shared" si="37"/>
        <v>#N/A</v>
      </c>
      <c r="BG37" s="20" t="e">
        <f t="shared" si="7"/>
        <v>#N/A</v>
      </c>
      <c r="BH37" s="59" t="e">
        <f t="shared" si="8"/>
        <v>#N/A</v>
      </c>
      <c r="BI37" s="59" t="e">
        <f ca="1">AVERAGE(OFFSET($BH$3,0,0,'Données projet'!$E$11+1,1))-AVERAGE(OFFSET($H$3,0,0,'Données projet'!$E$11+1,1))</f>
        <v>#N/A</v>
      </c>
      <c r="BJ37" s="59" t="e">
        <f t="shared" si="38"/>
        <v>#N/A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 t="e">
        <f>EXP(-LN(2)/35)*BP36+(1-EXP(-LN(2)/35))/(LN(2)/35)*BL37*BM37*VLOOKUP('Données projet'!$B$11,Paramètres!$A$1:$I$89,3,0)*0.475*44/12</f>
        <v>#N/A</v>
      </c>
      <c r="BQ37" s="21" t="e">
        <f>EXP(-LN(2)/25)*BQ36+(1-EXP(-LN(2)/25))/(LN(2)/25)*Calculateur!BL37*Calculateur!BN37*VLOOKUP('Données projet'!$B$11,Paramètres!$A$1:$I$89,3,0)*0.475*44/12</f>
        <v>#N/A</v>
      </c>
      <c r="BR37" s="21" t="e">
        <f>EXP(-LN(2)/2)*BR36+(1-EXP(-LN(2)/2))/(LN(2)/2)*BL37*BO37*VLOOKUP('Données projet'!$B$11,Paramètres!$A$1:$I$89,3,0)*0.475*44/12</f>
        <v>#N/A</v>
      </c>
      <c r="BS37" s="22" t="e">
        <f t="shared" si="9"/>
        <v>#N/A</v>
      </c>
      <c r="BT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">
      <c r="A38" s="10">
        <f t="shared" si="31"/>
        <v>35</v>
      </c>
      <c r="B38" s="72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20.93</v>
      </c>
      <c r="D38" s="11">
        <f t="shared" si="32"/>
        <v>6.7699234039087761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213.82397013543618</v>
      </c>
      <c r="H38" s="66">
        <f t="shared" si="1"/>
        <v>341.57736659514109</v>
      </c>
      <c r="I38" s="6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0</v>
      </c>
      <c r="N38" s="13">
        <f>IF('Données projet'!$A$36&gt;35,N37+M38-V37,IF(A38&lt;'Données projet'!$A$36,$K$205^A38,IF(A38='Données projet'!$A$36,'Données projet'!$B$36,N37+M38-V37)))</f>
        <v>0</v>
      </c>
      <c r="O38" s="13">
        <f>N38*VLOOKUP('Données projet'!$B$9,Paramètres!$A$1:$I$89,3,0)*VLOOKUP('Données projet'!$B$9,Paramètres!$A$1:$I$89,5,0)</f>
        <v>0</v>
      </c>
      <c r="P38" s="13" t="e">
        <f t="shared" si="33"/>
        <v>#NUM!</v>
      </c>
      <c r="Q38" s="20" t="e">
        <f t="shared" si="53"/>
        <v>#NUM!</v>
      </c>
      <c r="R38" s="59" t="e">
        <f t="shared" si="0"/>
        <v>#NUM!</v>
      </c>
      <c r="S38" s="59">
        <f ca="1">AVERAGE(OFFSET($R$3,0,0,'Données projet'!$E$9+1,1))-AVERAGE(OFFSET($H$3,0,0,'Données projet'!$E$9+1,1))</f>
        <v>148.39628895278571</v>
      </c>
      <c r="T38" s="59">
        <f t="shared" si="34"/>
        <v>361.07991692964788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111.86580544404413</v>
      </c>
      <c r="AA38" s="21">
        <f>EXP(-LN(2)/25)*AA37+(1-EXP(-LN(2)/25))/(LN(2)/25)*Calculateur!V38*Calculateur!X38*VLOOKUP('Données projet'!$B$9,Paramètres!$A$1:$I$89,3,0)*0.475*44/12</f>
        <v>12.516174969212534</v>
      </c>
      <c r="AB38" s="21">
        <f>EXP(-LN(2)/2)*AB37+(1-EXP(-LN(2)/2))/(LN(2)/2)*V38*Y38*VLOOKUP('Données projet'!$B$9,Paramètres!$A$1:$I$89,3,0)*0.475*44/12</f>
        <v>7.9482348350392047E-3</v>
      </c>
      <c r="AC38" s="22">
        <f t="shared" si="3"/>
        <v>124.3899286480917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8.0511538458333352</v>
      </c>
      <c r="AI38" s="13">
        <f>IF('Données projet'!$A$62&gt;35,AI37+AH38-AQ37,IF(A38&lt;'Données projet'!$A$62,$AF$205^A38,IF(A38='Données projet'!$A$62,'Données projet'!$B$62,AI37+AH38-AQ37)))</f>
        <v>115.6019230791667</v>
      </c>
      <c r="AJ38" s="13">
        <f>AI38*VLOOKUP('Données projet'!$B$10,Paramètres!$A$1:$I$89,3,0)*VLOOKUP('Données projet'!$B$10,Paramètres!$A$1:$I$89,5,0)</f>
        <v>115.41696000224005</v>
      </c>
      <c r="AK38" s="13">
        <f t="shared" si="35"/>
        <v>30.603670043824533</v>
      </c>
      <c r="AL38" s="20">
        <f t="shared" si="4"/>
        <v>254.31926399689578</v>
      </c>
      <c r="AM38" s="59">
        <f t="shared" si="5"/>
        <v>547.65259733022913</v>
      </c>
      <c r="AN38" s="59">
        <f ca="1">AVERAGE(OFFSET($AM$3,0,0,'Données projet'!$E$10+1,1))-AVERAGE(OFFSET($H$3,0,0,'Données projet'!$E$10+1,1))</f>
        <v>525.29195699741149</v>
      </c>
      <c r="AO38" s="59">
        <f t="shared" si="36"/>
        <v>125.99812193007153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0</v>
      </c>
      <c r="AY38" s="7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0</v>
      </c>
      <c r="BE38" s="13" t="e">
        <f>BD38*VLOOKUP('Données projet'!$B$11,Paramètres!$A$1:$I$89,3,0)*VLOOKUP('Données projet'!$B$11,Paramètres!$A$1:$I$89,5,0)</f>
        <v>#N/A</v>
      </c>
      <c r="BF38" s="13" t="e">
        <f t="shared" si="37"/>
        <v>#N/A</v>
      </c>
      <c r="BG38" s="20" t="e">
        <f t="shared" si="7"/>
        <v>#N/A</v>
      </c>
      <c r="BH38" s="59" t="e">
        <f t="shared" si="8"/>
        <v>#N/A</v>
      </c>
      <c r="BI38" s="59" t="e">
        <f ca="1">AVERAGE(OFFSET($BH$3,0,0,'Données projet'!$E$11+1,1))-AVERAGE(OFFSET($H$3,0,0,'Données projet'!$E$11+1,1))</f>
        <v>#N/A</v>
      </c>
      <c r="BJ38" s="59" t="e">
        <f t="shared" si="38"/>
        <v>#N/A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 t="e">
        <f>EXP(-LN(2)/35)*BP37+(1-EXP(-LN(2)/35))/(LN(2)/35)*BL38*BM38*VLOOKUP('Données projet'!$B$11,Paramètres!$A$1:$I$89,3,0)*0.475*44/12</f>
        <v>#N/A</v>
      </c>
      <c r="BQ38" s="21" t="e">
        <f>EXP(-LN(2)/25)*BQ37+(1-EXP(-LN(2)/25))/(LN(2)/25)*Calculateur!BL38*Calculateur!BN38*VLOOKUP('Données projet'!$B$11,Paramètres!$A$1:$I$89,3,0)*0.475*44/12</f>
        <v>#N/A</v>
      </c>
      <c r="BR38" s="21" t="e">
        <f>EXP(-LN(2)/2)*BR37+(1-EXP(-LN(2)/2))/(LN(2)/2)*BL38*BO38*VLOOKUP('Données projet'!$B$11,Paramètres!$A$1:$I$89,3,0)*0.475*44/12</f>
        <v>#N/A</v>
      </c>
      <c r="BS38" s="22" t="e">
        <f t="shared" si="9"/>
        <v>#N/A</v>
      </c>
      <c r="BT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">
      <c r="A39" s="10">
        <f t="shared" si="31"/>
        <v>36</v>
      </c>
      <c r="B39" s="72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21.527999999999999</v>
      </c>
      <c r="D39" s="11">
        <f t="shared" si="32"/>
        <v>6.9405537312613585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219.75725687289471</v>
      </c>
      <c r="H39" s="66">
        <f t="shared" si="1"/>
        <v>342.91606441528018</v>
      </c>
      <c r="I39" s="6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0</v>
      </c>
      <c r="N39" s="13">
        <f>IF('Données projet'!$A$36&gt;35,N38+M39-V38,IF(A39&lt;'Données projet'!$A$36,$K$205^A39,IF(A39='Données projet'!$A$36,'Données projet'!$B$36,N38+M39-V38)))</f>
        <v>0</v>
      </c>
      <c r="O39" s="13">
        <f>N39*VLOOKUP('Données projet'!$B$9,Paramètres!$A$1:$I$89,3,0)*VLOOKUP('Données projet'!$B$9,Paramètres!$A$1:$I$89,5,0)</f>
        <v>0</v>
      </c>
      <c r="P39" s="13" t="e">
        <f t="shared" si="33"/>
        <v>#NUM!</v>
      </c>
      <c r="Q39" s="20" t="e">
        <f t="shared" si="53"/>
        <v>#NUM!</v>
      </c>
      <c r="R39" s="59" t="e">
        <f t="shared" si="0"/>
        <v>#NUM!</v>
      </c>
      <c r="S39" s="59">
        <f ca="1">AVERAGE(OFFSET($R$3,0,0,'Données projet'!$E$9+1,1))-AVERAGE(OFFSET($H$3,0,0,'Données projet'!$E$9+1,1))</f>
        <v>148.39628895278571</v>
      </c>
      <c r="T39" s="59">
        <f t="shared" si="34"/>
        <v>361.07991692964788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109.67218523069045</v>
      </c>
      <c r="AA39" s="21">
        <f>EXP(-LN(2)/25)*AA38+(1-EXP(-LN(2)/25))/(LN(2)/25)*Calculateur!V39*Calculateur!X39*VLOOKUP('Données projet'!$B$9,Paramètres!$A$1:$I$89,3,0)*0.475*44/12</f>
        <v>12.173919506482381</v>
      </c>
      <c r="AB39" s="21">
        <f>EXP(-LN(2)/2)*AB38+(1-EXP(-LN(2)/2))/(LN(2)/2)*V39*Y39*VLOOKUP('Données projet'!$B$9,Paramètres!$A$1:$I$89,3,0)*0.475*44/12</f>
        <v>5.6202507503193616E-3</v>
      </c>
      <c r="AC39" s="22">
        <f t="shared" si="3"/>
        <v>121.85172498792315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8.0511538458333352</v>
      </c>
      <c r="AI39" s="13">
        <f>IF('Données projet'!$A$62&gt;35,AI38+AH39-AQ38,IF(A39&lt;'Données projet'!$A$62,$AF$205^A39,IF(A39='Données projet'!$A$62,'Données projet'!$B$62,AI38+AH39-AQ38)))</f>
        <v>123.65307692500004</v>
      </c>
      <c r="AJ39" s="13">
        <f>AI39*VLOOKUP('Données projet'!$B$10,Paramètres!$A$1:$I$89,3,0)*VLOOKUP('Données projet'!$B$10,Paramètres!$A$1:$I$89,5,0)</f>
        <v>123.45523200192005</v>
      </c>
      <c r="AK39" s="13">
        <f t="shared" si="35"/>
        <v>32.479539193937974</v>
      </c>
      <c r="AL39" s="20">
        <f t="shared" si="4"/>
        <v>271.58639316611936</v>
      </c>
      <c r="AM39" s="59">
        <f t="shared" si="5"/>
        <v>564.91972649945274</v>
      </c>
      <c r="AN39" s="59">
        <f ca="1">AVERAGE(OFFSET($AM$3,0,0,'Données projet'!$E$10+1,1))-AVERAGE(OFFSET($H$3,0,0,'Données projet'!$E$10+1,1))</f>
        <v>525.29195699741149</v>
      </c>
      <c r="AO39" s="59">
        <f t="shared" si="36"/>
        <v>125.99812193007153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0</v>
      </c>
      <c r="AY39" s="7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0</v>
      </c>
      <c r="BE39" s="13" t="e">
        <f>BD39*VLOOKUP('Données projet'!$B$11,Paramètres!$A$1:$I$89,3,0)*VLOOKUP('Données projet'!$B$11,Paramètres!$A$1:$I$89,5,0)</f>
        <v>#N/A</v>
      </c>
      <c r="BF39" s="13" t="e">
        <f t="shared" si="37"/>
        <v>#N/A</v>
      </c>
      <c r="BG39" s="20" t="e">
        <f t="shared" si="7"/>
        <v>#N/A</v>
      </c>
      <c r="BH39" s="59" t="e">
        <f t="shared" si="8"/>
        <v>#N/A</v>
      </c>
      <c r="BI39" s="59" t="e">
        <f ca="1">AVERAGE(OFFSET($BH$3,0,0,'Données projet'!$E$11+1,1))-AVERAGE(OFFSET($H$3,0,0,'Données projet'!$E$11+1,1))</f>
        <v>#N/A</v>
      </c>
      <c r="BJ39" s="59" t="e">
        <f t="shared" si="38"/>
        <v>#N/A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 t="e">
        <f>EXP(-LN(2)/35)*BP38+(1-EXP(-LN(2)/35))/(LN(2)/35)*BL39*BM39*VLOOKUP('Données projet'!$B$11,Paramètres!$A$1:$I$89,3,0)*0.475*44/12</f>
        <v>#N/A</v>
      </c>
      <c r="BQ39" s="21" t="e">
        <f>EXP(-LN(2)/25)*BQ38+(1-EXP(-LN(2)/25))/(LN(2)/25)*Calculateur!BL39*Calculateur!BN39*VLOOKUP('Données projet'!$B$11,Paramètres!$A$1:$I$89,3,0)*0.475*44/12</f>
        <v>#N/A</v>
      </c>
      <c r="BR39" s="21" t="e">
        <f>EXP(-LN(2)/2)*BR38+(1-EXP(-LN(2)/2))/(LN(2)/2)*BL39*BO39*VLOOKUP('Données projet'!$B$11,Paramètres!$A$1:$I$89,3,0)*0.475*44/12</f>
        <v>#N/A</v>
      </c>
      <c r="BS39" s="22" t="e">
        <f t="shared" si="9"/>
        <v>#N/A</v>
      </c>
      <c r="BT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">
      <c r="A40" s="10">
        <f t="shared" si="31"/>
        <v>37</v>
      </c>
      <c r="B40" s="72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22.125999999999998</v>
      </c>
      <c r="D40" s="11">
        <f t="shared" si="32"/>
        <v>7.1106331699901926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225.68629113676641</v>
      </c>
      <c r="H40" s="66">
        <f t="shared" si="1"/>
        <v>344.25380277106626</v>
      </c>
      <c r="I40" s="6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0</v>
      </c>
      <c r="N40" s="13">
        <f>IF('Données projet'!$A$36&gt;35,N39+M40-V39,IF(A40&lt;'Données projet'!$A$36,$K$205^A40,IF(A40='Données projet'!$A$36,'Données projet'!$B$36,N39+M40-V39)))</f>
        <v>0</v>
      </c>
      <c r="O40" s="13">
        <f>N40*VLOOKUP('Données projet'!$B$9,Paramètres!$A$1:$I$89,3,0)*VLOOKUP('Données projet'!$B$9,Paramètres!$A$1:$I$89,5,0)</f>
        <v>0</v>
      </c>
      <c r="P40" s="13" t="e">
        <f t="shared" si="33"/>
        <v>#NUM!</v>
      </c>
      <c r="Q40" s="20" t="e">
        <f t="shared" si="53"/>
        <v>#NUM!</v>
      </c>
      <c r="R40" s="59" t="e">
        <f t="shared" si="0"/>
        <v>#NUM!</v>
      </c>
      <c r="S40" s="59">
        <f ca="1">AVERAGE(OFFSET($R$3,0,0,'Données projet'!$E$9+1,1))-AVERAGE(OFFSET($H$3,0,0,'Données projet'!$E$9+1,1))</f>
        <v>148.39628895278571</v>
      </c>
      <c r="T40" s="59">
        <f t="shared" si="34"/>
        <v>361.07991692964788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107.52158057174442</v>
      </c>
      <c r="AA40" s="21">
        <f>EXP(-LN(2)/25)*AA39+(1-EXP(-LN(2)/25))/(LN(2)/25)*Calculateur!V40*Calculateur!X40*VLOOKUP('Données projet'!$B$9,Paramètres!$A$1:$I$89,3,0)*0.475*44/12</f>
        <v>11.841023037379017</v>
      </c>
      <c r="AB40" s="21">
        <f>EXP(-LN(2)/2)*AB39+(1-EXP(-LN(2)/2))/(LN(2)/2)*V40*Y40*VLOOKUP('Données projet'!$B$9,Paramètres!$A$1:$I$89,3,0)*0.475*44/12</f>
        <v>3.9741174175196023E-3</v>
      </c>
      <c r="AC40" s="22">
        <f t="shared" si="3"/>
        <v>119.36657772654095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8.0511538458333352</v>
      </c>
      <c r="AI40" s="13">
        <f>IF('Données projet'!$A$62&gt;35,AI39+AH40-AQ39,IF(A40&lt;'Données projet'!$A$62,$AF$205^A40,IF(A40='Données projet'!$A$62,'Données projet'!$B$62,AI39+AH40-AQ39)))</f>
        <v>131.70423077083336</v>
      </c>
      <c r="AJ40" s="13">
        <f>AI40*VLOOKUP('Données projet'!$B$10,Paramètres!$A$1:$I$89,3,0)*VLOOKUP('Données projet'!$B$10,Paramètres!$A$1:$I$89,5,0)</f>
        <v>131.49350400160006</v>
      </c>
      <c r="AK40" s="13">
        <f t="shared" si="35"/>
        <v>34.341234489719881</v>
      </c>
      <c r="AL40" s="20">
        <f t="shared" si="4"/>
        <v>288.8288362057155</v>
      </c>
      <c r="AM40" s="59">
        <f t="shared" si="5"/>
        <v>582.16216953904882</v>
      </c>
      <c r="AN40" s="59">
        <f ca="1">AVERAGE(OFFSET($AM$3,0,0,'Données projet'!$E$10+1,1))-AVERAGE(OFFSET($H$3,0,0,'Données projet'!$E$10+1,1))</f>
        <v>525.29195699741149</v>
      </c>
      <c r="AO40" s="59">
        <f t="shared" si="36"/>
        <v>125.99812193007153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0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0</v>
      </c>
      <c r="AY40" s="7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0</v>
      </c>
      <c r="BE40" s="13" t="e">
        <f>BD40*VLOOKUP('Données projet'!$B$11,Paramètres!$A$1:$I$89,3,0)*VLOOKUP('Données projet'!$B$11,Paramètres!$A$1:$I$89,5,0)</f>
        <v>#N/A</v>
      </c>
      <c r="BF40" s="13" t="e">
        <f t="shared" si="37"/>
        <v>#N/A</v>
      </c>
      <c r="BG40" s="20" t="e">
        <f t="shared" si="7"/>
        <v>#N/A</v>
      </c>
      <c r="BH40" s="59" t="e">
        <f t="shared" si="8"/>
        <v>#N/A</v>
      </c>
      <c r="BI40" s="59" t="e">
        <f ca="1">AVERAGE(OFFSET($BH$3,0,0,'Données projet'!$E$11+1,1))-AVERAGE(OFFSET($H$3,0,0,'Données projet'!$E$11+1,1))</f>
        <v>#N/A</v>
      </c>
      <c r="BJ40" s="59" t="e">
        <f t="shared" si="38"/>
        <v>#N/A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 t="e">
        <f>EXP(-LN(2)/35)*BP39+(1-EXP(-LN(2)/35))/(LN(2)/35)*BL40*BM40*VLOOKUP('Données projet'!$B$11,Paramètres!$A$1:$I$89,3,0)*0.475*44/12</f>
        <v>#N/A</v>
      </c>
      <c r="BQ40" s="21" t="e">
        <f>EXP(-LN(2)/25)*BQ39+(1-EXP(-LN(2)/25))/(LN(2)/25)*Calculateur!BL40*Calculateur!BN40*VLOOKUP('Données projet'!$B$11,Paramètres!$A$1:$I$89,3,0)*0.475*44/12</f>
        <v>#N/A</v>
      </c>
      <c r="BR40" s="21" t="e">
        <f>EXP(-LN(2)/2)*BR39+(1-EXP(-LN(2)/2))/(LN(2)/2)*BL40*BO40*VLOOKUP('Données projet'!$B$11,Paramètres!$A$1:$I$89,3,0)*0.475*44/12</f>
        <v>#N/A</v>
      </c>
      <c r="BS40" s="22" t="e">
        <f t="shared" si="9"/>
        <v>#N/A</v>
      </c>
      <c r="BT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">
      <c r="A41" s="10">
        <f t="shared" si="31"/>
        <v>38</v>
      </c>
      <c r="B41" s="72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22.723999999999997</v>
      </c>
      <c r="D41" s="11">
        <f t="shared" si="32"/>
        <v>7.2801783200166916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231.6112010667955</v>
      </c>
      <c r="H41" s="66">
        <f t="shared" si="1"/>
        <v>345.59061057402903</v>
      </c>
      <c r="I41" s="6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0</v>
      </c>
      <c r="N41" s="13">
        <f>IF('Données projet'!$A$36&gt;35,N40+M41-V40,IF(A41&lt;'Données projet'!$A$36,$K$205^A41,IF(A41='Données projet'!$A$36,'Données projet'!$B$36,N40+M41-V40)))</f>
        <v>0</v>
      </c>
      <c r="O41" s="13">
        <f>N41*VLOOKUP('Données projet'!$B$9,Paramètres!$A$1:$I$89,3,0)*VLOOKUP('Données projet'!$B$9,Paramètres!$A$1:$I$89,5,0)</f>
        <v>0</v>
      </c>
      <c r="P41" s="13" t="e">
        <f t="shared" si="33"/>
        <v>#NUM!</v>
      </c>
      <c r="Q41" s="20" t="e">
        <f t="shared" si="53"/>
        <v>#NUM!</v>
      </c>
      <c r="R41" s="59" t="e">
        <f t="shared" si="0"/>
        <v>#NUM!</v>
      </c>
      <c r="S41" s="59">
        <f ca="1">AVERAGE(OFFSET($R$3,0,0,'Données projet'!$E$9+1,1))-AVERAGE(OFFSET($H$3,0,0,'Données projet'!$E$9+1,1))</f>
        <v>148.39628895278571</v>
      </c>
      <c r="T41" s="59">
        <f t="shared" si="34"/>
        <v>361.07991692964788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105.41314795842101</v>
      </c>
      <c r="AA41" s="21">
        <f>EXP(-LN(2)/25)*AA40+(1-EXP(-LN(2)/25))/(LN(2)/25)*Calculateur!V41*Calculateur!X41*VLOOKUP('Données projet'!$B$9,Paramètres!$A$1:$I$89,3,0)*0.475*44/12</f>
        <v>11.51722963972955</v>
      </c>
      <c r="AB41" s="21">
        <f>EXP(-LN(2)/2)*AB40+(1-EXP(-LN(2)/2))/(LN(2)/2)*V41*Y41*VLOOKUP('Données projet'!$B$9,Paramètres!$A$1:$I$89,3,0)*0.475*44/12</f>
        <v>2.8101253751596808E-3</v>
      </c>
      <c r="AC41" s="22">
        <f t="shared" si="3"/>
        <v>116.93318772352572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8.0511538458333352</v>
      </c>
      <c r="AI41" s="13">
        <f>IF('Données projet'!$A$62&gt;35,AI40+AH41-AQ40,IF(A41&lt;'Données projet'!$A$62,$AF$205^A41,IF(A41='Données projet'!$A$62,'Données projet'!$B$62,AI40+AH41-AQ40)))</f>
        <v>139.7553846166667</v>
      </c>
      <c r="AJ41" s="13">
        <f>AI41*VLOOKUP('Données projet'!$B$10,Paramètres!$A$1:$I$89,3,0)*VLOOKUP('Données projet'!$B$10,Paramètres!$A$1:$I$89,5,0)</f>
        <v>139.53177600128004</v>
      </c>
      <c r="AK41" s="13">
        <f t="shared" si="35"/>
        <v>36.189721047317178</v>
      </c>
      <c r="AL41" s="20">
        <f t="shared" si="4"/>
        <v>306.04827402630679</v>
      </c>
      <c r="AM41" s="59">
        <f t="shared" si="5"/>
        <v>599.38160735964016</v>
      </c>
      <c r="AN41" s="59">
        <f ca="1">AVERAGE(OFFSET($AM$3,0,0,'Données projet'!$E$10+1,1))-AVERAGE(OFFSET($H$3,0,0,'Données projet'!$E$10+1,1))</f>
        <v>525.29195699741149</v>
      </c>
      <c r="AO41" s="59">
        <f t="shared" si="36"/>
        <v>125.99812193007153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0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0</v>
      </c>
      <c r="AY41" s="7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0</v>
      </c>
      <c r="BE41" s="13" t="e">
        <f>BD41*VLOOKUP('Données projet'!$B$11,Paramètres!$A$1:$I$89,3,0)*VLOOKUP('Données projet'!$B$11,Paramètres!$A$1:$I$89,5,0)</f>
        <v>#N/A</v>
      </c>
      <c r="BF41" s="13" t="e">
        <f t="shared" si="37"/>
        <v>#N/A</v>
      </c>
      <c r="BG41" s="20" t="e">
        <f t="shared" si="7"/>
        <v>#N/A</v>
      </c>
      <c r="BH41" s="59" t="e">
        <f t="shared" si="8"/>
        <v>#N/A</v>
      </c>
      <c r="BI41" s="59" t="e">
        <f ca="1">AVERAGE(OFFSET($BH$3,0,0,'Données projet'!$E$11+1,1))-AVERAGE(OFFSET($H$3,0,0,'Données projet'!$E$11+1,1))</f>
        <v>#N/A</v>
      </c>
      <c r="BJ41" s="59" t="e">
        <f t="shared" si="38"/>
        <v>#N/A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 t="e">
        <f>EXP(-LN(2)/35)*BP40+(1-EXP(-LN(2)/35))/(LN(2)/35)*BL41*BM41*VLOOKUP('Données projet'!$B$11,Paramètres!$A$1:$I$89,3,0)*0.475*44/12</f>
        <v>#N/A</v>
      </c>
      <c r="BQ41" s="21" t="e">
        <f>EXP(-LN(2)/25)*BQ40+(1-EXP(-LN(2)/25))/(LN(2)/25)*Calculateur!BL41*Calculateur!BN41*VLOOKUP('Données projet'!$B$11,Paramètres!$A$1:$I$89,3,0)*0.475*44/12</f>
        <v>#N/A</v>
      </c>
      <c r="BR41" s="21" t="e">
        <f>EXP(-LN(2)/2)*BR40+(1-EXP(-LN(2)/2))/(LN(2)/2)*BL41*BO41*VLOOKUP('Données projet'!$B$11,Paramètres!$A$1:$I$89,3,0)*0.475*44/12</f>
        <v>#N/A</v>
      </c>
      <c r="BS41" s="22" t="e">
        <f t="shared" si="9"/>
        <v>#N/A</v>
      </c>
      <c r="BT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">
      <c r="A42" s="10">
        <f t="shared" si="31"/>
        <v>39</v>
      </c>
      <c r="B42" s="72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23.321999999999996</v>
      </c>
      <c r="D42" s="11">
        <f t="shared" si="32"/>
        <v>7.4492048578268033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237.5321076744525</v>
      </c>
      <c r="H42" s="66">
        <f t="shared" si="1"/>
        <v>346.92651512738166</v>
      </c>
      <c r="I42" s="6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0</v>
      </c>
      <c r="N42" s="13">
        <f>IF('Données projet'!$A$36&gt;35,N41+M42-V41,IF(A42&lt;'Données projet'!$A$36,$K$205^A42,IF(A42='Données projet'!$A$36,'Données projet'!$B$36,N41+M42-V41)))</f>
        <v>0</v>
      </c>
      <c r="O42" s="13">
        <f>N42*VLOOKUP('Données projet'!$B$9,Paramètres!$A$1:$I$89,3,0)*VLOOKUP('Données projet'!$B$9,Paramètres!$A$1:$I$89,5,0)</f>
        <v>0</v>
      </c>
      <c r="P42" s="13" t="e">
        <f t="shared" si="33"/>
        <v>#NUM!</v>
      </c>
      <c r="Q42" s="20" t="e">
        <f t="shared" si="53"/>
        <v>#NUM!</v>
      </c>
      <c r="R42" s="59" t="e">
        <f t="shared" si="0"/>
        <v>#NUM!</v>
      </c>
      <c r="S42" s="59">
        <f ca="1">AVERAGE(OFFSET($R$3,0,0,'Données projet'!$E$9+1,1))-AVERAGE(OFFSET($H$3,0,0,'Données projet'!$E$9+1,1))</f>
        <v>148.39628895278571</v>
      </c>
      <c r="T42" s="59">
        <f t="shared" si="34"/>
        <v>361.07991692964788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103.34606042262796</v>
      </c>
      <c r="AA42" s="21">
        <f>EXP(-LN(2)/25)*AA41+(1-EXP(-LN(2)/25))/(LN(2)/25)*Calculateur!V42*Calculateur!X42*VLOOKUP('Données projet'!$B$9,Paramètres!$A$1:$I$89,3,0)*0.475*44/12</f>
        <v>11.202290389566361</v>
      </c>
      <c r="AB42" s="21">
        <f>EXP(-LN(2)/2)*AB41+(1-EXP(-LN(2)/2))/(LN(2)/2)*V42*Y42*VLOOKUP('Données projet'!$B$9,Paramètres!$A$1:$I$89,3,0)*0.475*44/12</f>
        <v>1.9870587087598012E-3</v>
      </c>
      <c r="AC42" s="22">
        <f t="shared" si="3"/>
        <v>114.55033787090308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8.0511538458333352</v>
      </c>
      <c r="AI42" s="13">
        <f>IF('Données projet'!$A$62&gt;35,AI41+AH42-AQ41,IF(A42&lt;'Données projet'!$A$62,$AF$205^A42,IF(A42='Données projet'!$A$62,'Données projet'!$B$62,AI41+AH42-AQ41)))</f>
        <v>147.80653846250004</v>
      </c>
      <c r="AJ42" s="13">
        <f>AI42*VLOOKUP('Données projet'!$B$10,Paramètres!$A$1:$I$89,3,0)*VLOOKUP('Données projet'!$B$10,Paramètres!$A$1:$I$89,5,0)</f>
        <v>147.57004800096004</v>
      </c>
      <c r="AK42" s="13">
        <f t="shared" si="35"/>
        <v>38.0258465032936</v>
      </c>
      <c r="AL42" s="20">
        <f t="shared" si="4"/>
        <v>323.24618292824169</v>
      </c>
      <c r="AM42" s="59">
        <f t="shared" si="5"/>
        <v>616.57951626157501</v>
      </c>
      <c r="AN42" s="59">
        <f ca="1">AVERAGE(OFFSET($AM$3,0,0,'Données projet'!$E$10+1,1))-AVERAGE(OFFSET($H$3,0,0,'Données projet'!$E$10+1,1))</f>
        <v>525.29195699741149</v>
      </c>
      <c r="AO42" s="59">
        <f t="shared" si="36"/>
        <v>125.99812193007153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0</v>
      </c>
      <c r="AY42" s="7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0</v>
      </c>
      <c r="BE42" s="13" t="e">
        <f>BD42*VLOOKUP('Données projet'!$B$11,Paramètres!$A$1:$I$89,3,0)*VLOOKUP('Données projet'!$B$11,Paramètres!$A$1:$I$89,5,0)</f>
        <v>#N/A</v>
      </c>
      <c r="BF42" s="13" t="e">
        <f t="shared" si="37"/>
        <v>#N/A</v>
      </c>
      <c r="BG42" s="20" t="e">
        <f t="shared" si="7"/>
        <v>#N/A</v>
      </c>
      <c r="BH42" s="59" t="e">
        <f t="shared" si="8"/>
        <v>#N/A</v>
      </c>
      <c r="BI42" s="59" t="e">
        <f ca="1">AVERAGE(OFFSET($BH$3,0,0,'Données projet'!$E$11+1,1))-AVERAGE(OFFSET($H$3,0,0,'Données projet'!$E$11+1,1))</f>
        <v>#N/A</v>
      </c>
      <c r="BJ42" s="59" t="e">
        <f t="shared" si="38"/>
        <v>#N/A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 t="e">
        <f>EXP(-LN(2)/35)*BP41+(1-EXP(-LN(2)/35))/(LN(2)/35)*BL42*BM42*VLOOKUP('Données projet'!$B$11,Paramètres!$A$1:$I$89,3,0)*0.475*44/12</f>
        <v>#N/A</v>
      </c>
      <c r="BQ42" s="21" t="e">
        <f>EXP(-LN(2)/25)*BQ41+(1-EXP(-LN(2)/25))/(LN(2)/25)*Calculateur!BL42*Calculateur!BN42*VLOOKUP('Données projet'!$B$11,Paramètres!$A$1:$I$89,3,0)*0.475*44/12</f>
        <v>#N/A</v>
      </c>
      <c r="BR42" s="21" t="e">
        <f>EXP(-LN(2)/2)*BR41+(1-EXP(-LN(2)/2))/(LN(2)/2)*BL42*BO42*VLOOKUP('Données projet'!$B$11,Paramètres!$A$1:$I$89,3,0)*0.475*44/12</f>
        <v>#N/A</v>
      </c>
      <c r="BS42" s="22" t="e">
        <f t="shared" si="9"/>
        <v>#N/A</v>
      </c>
      <c r="BT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">
      <c r="A43" s="10">
        <f t="shared" si="31"/>
        <v>40</v>
      </c>
      <c r="B43" s="72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23.919999999999995</v>
      </c>
      <c r="D43" s="11">
        <f t="shared" si="32"/>
        <v>7.6177276101832261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243.44912541194063</v>
      </c>
      <c r="H43" s="66">
        <f t="shared" si="1"/>
        <v>348.2615422544024</v>
      </c>
      <c r="I43" s="6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0</v>
      </c>
      <c r="N43" s="13">
        <f>IF('Données projet'!$A$36&gt;35,N42+M43-V42,IF(A43&lt;'Données projet'!$A$36,$K$205^A43,IF(A43='Données projet'!$A$36,'Données projet'!$B$36,N42+M43-V42)))</f>
        <v>0</v>
      </c>
      <c r="O43" s="13">
        <f>N43*VLOOKUP('Données projet'!$B$9,Paramètres!$A$1:$I$89,3,0)*VLOOKUP('Données projet'!$B$9,Paramètres!$A$1:$I$89,5,0)</f>
        <v>0</v>
      </c>
      <c r="P43" s="13" t="e">
        <f t="shared" si="33"/>
        <v>#NUM!</v>
      </c>
      <c r="Q43" s="20" t="e">
        <f t="shared" si="53"/>
        <v>#NUM!</v>
      </c>
      <c r="R43" s="59" t="e">
        <f t="shared" si="0"/>
        <v>#NUM!</v>
      </c>
      <c r="S43" s="59">
        <f ca="1">AVERAGE(OFFSET($R$3,0,0,'Données projet'!$E$9+1,1))-AVERAGE(OFFSET($H$3,0,0,'Données projet'!$E$9+1,1))</f>
        <v>148.39628895278571</v>
      </c>
      <c r="T43" s="59">
        <f t="shared" si="34"/>
        <v>361.07991692964788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101.3195072126129</v>
      </c>
      <c r="AA43" s="21">
        <f>EXP(-LN(2)/25)*AA42+(1-EXP(-LN(2)/25))/(LN(2)/25)*Calculateur!V43*Calculateur!X43*VLOOKUP('Données projet'!$B$9,Paramètres!$A$1:$I$89,3,0)*0.475*44/12</f>
        <v>10.895963169760821</v>
      </c>
      <c r="AB43" s="21">
        <f>EXP(-LN(2)/2)*AB42+(1-EXP(-LN(2)/2))/(LN(2)/2)*V43*Y43*VLOOKUP('Données projet'!$B$9,Paramètres!$A$1:$I$89,3,0)*0.475*44/12</f>
        <v>1.4050626875798404E-3</v>
      </c>
      <c r="AC43" s="22">
        <f t="shared" si="3"/>
        <v>112.21687544506131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8.0511538458333352</v>
      </c>
      <c r="AI43" s="13">
        <f>IF('Données projet'!$A$62&gt;35,AI42+AH43-AQ42,IF(A43&lt;'Données projet'!$A$62,$AF$205^A43,IF(A43='Données projet'!$A$62,'Données projet'!$B$62,AI42+AH43-AQ42)))</f>
        <v>155.85769230833338</v>
      </c>
      <c r="AJ43" s="13">
        <f>AI43*VLOOKUP('Données projet'!$B$10,Paramètres!$A$1:$I$89,3,0)*VLOOKUP('Données projet'!$B$10,Paramètres!$A$1:$I$89,5,0)</f>
        <v>155.60832000064008</v>
      </c>
      <c r="AK43" s="13">
        <f t="shared" si="35"/>
        <v>39.850360935825215</v>
      </c>
      <c r="AL43" s="20">
        <f t="shared" si="4"/>
        <v>340.42386929767707</v>
      </c>
      <c r="AM43" s="59">
        <f t="shared" si="5"/>
        <v>633.75720263101039</v>
      </c>
      <c r="AN43" s="59">
        <f ca="1">AVERAGE(OFFSET($AM$3,0,0,'Données projet'!$E$10+1,1))-AVERAGE(OFFSET($H$3,0,0,'Données projet'!$E$10+1,1))</f>
        <v>525.29195699741149</v>
      </c>
      <c r="AO43" s="59">
        <f t="shared" si="36"/>
        <v>125.99812193007153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0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0</v>
      </c>
      <c r="AY43" s="7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0</v>
      </c>
      <c r="BE43" s="13" t="e">
        <f>BD43*VLOOKUP('Données projet'!$B$11,Paramètres!$A$1:$I$89,3,0)*VLOOKUP('Données projet'!$B$11,Paramètres!$A$1:$I$89,5,0)</f>
        <v>#N/A</v>
      </c>
      <c r="BF43" s="13" t="e">
        <f t="shared" si="37"/>
        <v>#N/A</v>
      </c>
      <c r="BG43" s="20" t="e">
        <f t="shared" si="7"/>
        <v>#N/A</v>
      </c>
      <c r="BH43" s="59" t="e">
        <f t="shared" si="8"/>
        <v>#N/A</v>
      </c>
      <c r="BI43" s="59" t="e">
        <f ca="1">AVERAGE(OFFSET($BH$3,0,0,'Données projet'!$E$11+1,1))-AVERAGE(OFFSET($H$3,0,0,'Données projet'!$E$11+1,1))</f>
        <v>#N/A</v>
      </c>
      <c r="BJ43" s="59" t="e">
        <f t="shared" si="38"/>
        <v>#N/A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 t="e">
        <f>EXP(-LN(2)/35)*BP42+(1-EXP(-LN(2)/35))/(LN(2)/35)*BL43*BM43*VLOOKUP('Données projet'!$B$11,Paramètres!$A$1:$I$89,3,0)*0.475*44/12</f>
        <v>#N/A</v>
      </c>
      <c r="BQ43" s="21" t="e">
        <f>EXP(-LN(2)/25)*BQ42+(1-EXP(-LN(2)/25))/(LN(2)/25)*Calculateur!BL43*Calculateur!BN43*VLOOKUP('Données projet'!$B$11,Paramètres!$A$1:$I$89,3,0)*0.475*44/12</f>
        <v>#N/A</v>
      </c>
      <c r="BR43" s="21" t="e">
        <f>EXP(-LN(2)/2)*BR42+(1-EXP(-LN(2)/2))/(LN(2)/2)*BL43*BO43*VLOOKUP('Données projet'!$B$11,Paramètres!$A$1:$I$89,3,0)*0.475*44/12</f>
        <v>#N/A</v>
      </c>
      <c r="BS43" s="22" t="e">
        <f t="shared" si="9"/>
        <v>#N/A</v>
      </c>
      <c r="BT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">
      <c r="A44" s="10">
        <f t="shared" si="31"/>
        <v>41</v>
      </c>
      <c r="B44" s="72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24.517999999999994</v>
      </c>
      <c r="D44" s="11">
        <f t="shared" si="32"/>
        <v>7.7857606202588796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249.36236268270008</v>
      </c>
      <c r="H44" s="66">
        <f t="shared" si="1"/>
        <v>349.59571641361754</v>
      </c>
      <c r="I44" s="6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0</v>
      </c>
      <c r="N44" s="13">
        <f>IF('Données projet'!$A$36&gt;35,N43+M44-V43,IF(A44&lt;'Données projet'!$A$36,$K$205^A44,IF(A44='Données projet'!$A$36,'Données projet'!$B$36,N43+M44-V43)))</f>
        <v>0</v>
      </c>
      <c r="O44" s="13">
        <f>N44*VLOOKUP('Données projet'!$B$9,Paramètres!$A$1:$I$89,3,0)*VLOOKUP('Données projet'!$B$9,Paramètres!$A$1:$I$89,5,0)</f>
        <v>0</v>
      </c>
      <c r="P44" s="13" t="e">
        <f t="shared" si="33"/>
        <v>#NUM!</v>
      </c>
      <c r="Q44" s="20" t="e">
        <f t="shared" si="53"/>
        <v>#NUM!</v>
      </c>
      <c r="R44" s="59" t="e">
        <f t="shared" si="0"/>
        <v>#NUM!</v>
      </c>
      <c r="S44" s="59">
        <f ca="1">AVERAGE(OFFSET($R$3,0,0,'Données projet'!$E$9+1,1))-AVERAGE(OFFSET($H$3,0,0,'Données projet'!$E$9+1,1))</f>
        <v>148.39628895278571</v>
      </c>
      <c r="T44" s="59">
        <f t="shared" si="34"/>
        <v>361.07991692964788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99.332693474970839</v>
      </c>
      <c r="AA44" s="21">
        <f>EXP(-LN(2)/25)*AA43+(1-EXP(-LN(2)/25))/(LN(2)/25)*Calculateur!V44*Calculateur!X44*VLOOKUP('Données projet'!$B$9,Paramètres!$A$1:$I$89,3,0)*0.475*44/12</f>
        <v>10.59801248388991</v>
      </c>
      <c r="AB44" s="21">
        <f>EXP(-LN(2)/2)*AB43+(1-EXP(-LN(2)/2))/(LN(2)/2)*V44*Y44*VLOOKUP('Données projet'!$B$9,Paramètres!$A$1:$I$89,3,0)*0.475*44/12</f>
        <v>9.9352935437990058E-4</v>
      </c>
      <c r="AC44" s="22">
        <f t="shared" si="3"/>
        <v>109.93169948821513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8.0511538458333352</v>
      </c>
      <c r="AI44" s="13">
        <f>IF('Données projet'!$A$62&gt;35,AI43+AH44-AQ43,IF(A44&lt;'Données projet'!$A$62,$AF$205^A44,IF(A44='Données projet'!$A$62,'Données projet'!$B$62,AI43+AH44-AQ43)))</f>
        <v>163.90884615416672</v>
      </c>
      <c r="AJ44" s="13">
        <f>AI44*VLOOKUP('Données projet'!$B$10,Paramètres!$A$1:$I$89,3,0)*VLOOKUP('Données projet'!$B$10,Paramètres!$A$1:$I$89,5,0)</f>
        <v>163.64659200032006</v>
      </c>
      <c r="AK44" s="13">
        <f t="shared" si="35"/>
        <v>41.663932552359078</v>
      </c>
      <c r="AL44" s="20">
        <f t="shared" si="4"/>
        <v>357.58249692924954</v>
      </c>
      <c r="AM44" s="59">
        <f t="shared" si="5"/>
        <v>650.91583026258286</v>
      </c>
      <c r="AN44" s="59">
        <f ca="1">AVERAGE(OFFSET($AM$3,0,0,'Données projet'!$E$10+1,1))-AVERAGE(OFFSET($H$3,0,0,'Données projet'!$E$10+1,1))</f>
        <v>525.29195699741149</v>
      </c>
      <c r="AO44" s="59">
        <f t="shared" si="36"/>
        <v>125.99812193007153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0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0</v>
      </c>
      <c r="AY44" s="7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0</v>
      </c>
      <c r="BE44" s="13" t="e">
        <f>BD44*VLOOKUP('Données projet'!$B$11,Paramètres!$A$1:$I$89,3,0)*VLOOKUP('Données projet'!$B$11,Paramètres!$A$1:$I$89,5,0)</f>
        <v>#N/A</v>
      </c>
      <c r="BF44" s="13" t="e">
        <f t="shared" si="37"/>
        <v>#N/A</v>
      </c>
      <c r="BG44" s="20" t="e">
        <f t="shared" si="7"/>
        <v>#N/A</v>
      </c>
      <c r="BH44" s="59" t="e">
        <f t="shared" si="8"/>
        <v>#N/A</v>
      </c>
      <c r="BI44" s="59" t="e">
        <f ca="1">AVERAGE(OFFSET($BH$3,0,0,'Données projet'!$E$11+1,1))-AVERAGE(OFFSET($H$3,0,0,'Données projet'!$E$11+1,1))</f>
        <v>#N/A</v>
      </c>
      <c r="BJ44" s="59" t="e">
        <f t="shared" si="38"/>
        <v>#N/A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 t="e">
        <f>EXP(-LN(2)/35)*BP43+(1-EXP(-LN(2)/35))/(LN(2)/35)*BL44*BM44*VLOOKUP('Données projet'!$B$11,Paramètres!$A$1:$I$89,3,0)*0.475*44/12</f>
        <v>#N/A</v>
      </c>
      <c r="BQ44" s="21" t="e">
        <f>EXP(-LN(2)/25)*BQ43+(1-EXP(-LN(2)/25))/(LN(2)/25)*Calculateur!BL44*Calculateur!BN44*VLOOKUP('Données projet'!$B$11,Paramètres!$A$1:$I$89,3,0)*0.475*44/12</f>
        <v>#N/A</v>
      </c>
      <c r="BR44" s="21" t="e">
        <f>EXP(-LN(2)/2)*BR43+(1-EXP(-LN(2)/2))/(LN(2)/2)*BL44*BO44*VLOOKUP('Données projet'!$B$11,Paramètres!$A$1:$I$89,3,0)*0.475*44/12</f>
        <v>#N/A</v>
      </c>
      <c r="BS44" s="22" t="e">
        <f t="shared" si="9"/>
        <v>#N/A</v>
      </c>
      <c r="BT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">
      <c r="A45" s="10">
        <f t="shared" si="31"/>
        <v>42</v>
      </c>
      <c r="B45" s="72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25.115999999999993</v>
      </c>
      <c r="D45" s="11">
        <f t="shared" si="32"/>
        <v>7.9533172071366991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255.27192230070429</v>
      </c>
      <c r="H45" s="66">
        <f t="shared" si="1"/>
        <v>350.92906080242972</v>
      </c>
      <c r="I45" s="6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0</v>
      </c>
      <c r="N45" s="13">
        <f>IF('Données projet'!$A$36&gt;35,N44+M45-V44,IF(A45&lt;'Données projet'!$A$36,$K$205^A45,IF(A45='Données projet'!$A$36,'Données projet'!$B$36,N44+M45-V44)))</f>
        <v>0</v>
      </c>
      <c r="O45" s="13">
        <f>N45*VLOOKUP('Données projet'!$B$9,Paramètres!$A$1:$I$89,3,0)*VLOOKUP('Données projet'!$B$9,Paramètres!$A$1:$I$89,5,0)</f>
        <v>0</v>
      </c>
      <c r="P45" s="13" t="e">
        <f t="shared" si="33"/>
        <v>#NUM!</v>
      </c>
      <c r="Q45" s="20" t="e">
        <f t="shared" si="53"/>
        <v>#NUM!</v>
      </c>
      <c r="R45" s="59" t="e">
        <f t="shared" si="0"/>
        <v>#NUM!</v>
      </c>
      <c r="S45" s="59">
        <f ca="1">AVERAGE(OFFSET($R$3,0,0,'Données projet'!$E$9+1,1))-AVERAGE(OFFSET($H$3,0,0,'Données projet'!$E$9+1,1))</f>
        <v>148.39628895278571</v>
      </c>
      <c r="T45" s="59">
        <f t="shared" si="34"/>
        <v>361.07991692964788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97.384839942887211</v>
      </c>
      <c r="AA45" s="21">
        <f>EXP(-LN(2)/25)*AA44+(1-EXP(-LN(2)/25))/(LN(2)/25)*Calculateur!V45*Calculateur!X45*VLOOKUP('Données projet'!$B$9,Paramètres!$A$1:$I$89,3,0)*0.475*44/12</f>
        <v>10.308209275192686</v>
      </c>
      <c r="AB45" s="21">
        <f>EXP(-LN(2)/2)*AB44+(1-EXP(-LN(2)/2))/(LN(2)/2)*V45*Y45*VLOOKUP('Données projet'!$B$9,Paramètres!$A$1:$I$89,3,0)*0.475*44/12</f>
        <v>7.025313437899202E-4</v>
      </c>
      <c r="AC45" s="22">
        <f t="shared" si="3"/>
        <v>107.69375174942368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>
        <f>VLOOKUP(A45,'Données projet'!$A$61:$I$81,2,0)</f>
        <v>171.96</v>
      </c>
      <c r="AG45" s="12">
        <f>VLOOKUP(A45,'Données projet'!$A$61:$I$81,9,0)</f>
        <v>8.0511538458333352</v>
      </c>
      <c r="AH45" s="12">
        <f t="array" ref="AH45">INDEX(AG:AG,MIN(IF(ISNUMBER(AG45:AG241),ROW(AG45:AG241),"")))</f>
        <v>8.0511538458333352</v>
      </c>
      <c r="AI45" s="13">
        <f>IF('Données projet'!$A$62&gt;35,AI44+AH45-AQ44,IF(A45&lt;'Données projet'!$A$62,$AF$205^A45,IF(A45='Données projet'!$A$62,'Données projet'!$B$62,AI44+AH45-AQ44)))</f>
        <v>171.96000000000006</v>
      </c>
      <c r="AJ45" s="13">
        <f>AI45*VLOOKUP('Données projet'!$B$10,Paramètres!$A$1:$I$89,3,0)*VLOOKUP('Données projet'!$B$10,Paramètres!$A$1:$I$89,5,0)</f>
        <v>171.68486400000006</v>
      </c>
      <c r="AK45" s="13">
        <f t="shared" si="35"/>
        <v>43.467160207487325</v>
      </c>
      <c r="AL45" s="20">
        <f t="shared" si="4"/>
        <v>374.72310882804049</v>
      </c>
      <c r="AM45" s="59">
        <f t="shared" si="5"/>
        <v>668.05644216137375</v>
      </c>
      <c r="AN45" s="59">
        <f ca="1">AVERAGE(OFFSET($AM$3,0,0,'Données projet'!$E$10+1,1))-AVERAGE(OFFSET($H$3,0,0,'Données projet'!$E$10+1,1))</f>
        <v>525.29195699741149</v>
      </c>
      <c r="AO45" s="59">
        <f t="shared" si="36"/>
        <v>125.99812193007153</v>
      </c>
      <c r="AP45" s="15">
        <f>IF(ISNA(VLOOKUP(A45,'Données projet'!$A$61:$I$81,3,0)),0,VLOOKUP(A45,'Données projet'!$A$61:$I$81,3,0))</f>
        <v>1</v>
      </c>
      <c r="AQ45" s="15">
        <f>IF(ISNA(VLOOKUP(A45,'Données projet'!$A$61:$I$81,4,0)),0,VLOOKUP(A45,'Données projet'!$A$61:$I$81,4,0))</f>
        <v>43.21</v>
      </c>
      <c r="AR45" s="16">
        <f>IF(ISNA(VLOOKUP(A45,'Données projet'!$A$61:$I$81,5,0)),0%,VLOOKUP(A45,'Données projet'!$A$61:$I$81,5,0)*VLOOKUP('Données projet'!$B$10,Paramètres!$A$1:$I$89,7,0))</f>
        <v>0.43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20.507107338767536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20.507107338767536</v>
      </c>
      <c r="AY45" s="7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0</v>
      </c>
      <c r="BE45" s="13" t="e">
        <f>BD45*VLOOKUP('Données projet'!$B$11,Paramètres!$A$1:$I$89,3,0)*VLOOKUP('Données projet'!$B$11,Paramètres!$A$1:$I$89,5,0)</f>
        <v>#N/A</v>
      </c>
      <c r="BF45" s="13" t="e">
        <f t="shared" si="37"/>
        <v>#N/A</v>
      </c>
      <c r="BG45" s="20" t="e">
        <f t="shared" si="7"/>
        <v>#N/A</v>
      </c>
      <c r="BH45" s="59" t="e">
        <f t="shared" si="8"/>
        <v>#N/A</v>
      </c>
      <c r="BI45" s="59" t="e">
        <f ca="1">AVERAGE(OFFSET($BH$3,0,0,'Données projet'!$E$11+1,1))-AVERAGE(OFFSET($H$3,0,0,'Données projet'!$E$11+1,1))</f>
        <v>#N/A</v>
      </c>
      <c r="BJ45" s="59" t="e">
        <f t="shared" si="38"/>
        <v>#N/A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 t="e">
        <f>EXP(-LN(2)/35)*BP44+(1-EXP(-LN(2)/35))/(LN(2)/35)*BL45*BM45*VLOOKUP('Données projet'!$B$11,Paramètres!$A$1:$I$89,3,0)*0.475*44/12</f>
        <v>#N/A</v>
      </c>
      <c r="BQ45" s="21" t="e">
        <f>EXP(-LN(2)/25)*BQ44+(1-EXP(-LN(2)/25))/(LN(2)/25)*Calculateur!BL45*Calculateur!BN45*VLOOKUP('Données projet'!$B$11,Paramètres!$A$1:$I$89,3,0)*0.475*44/12</f>
        <v>#N/A</v>
      </c>
      <c r="BR45" s="21" t="e">
        <f>EXP(-LN(2)/2)*BR44+(1-EXP(-LN(2)/2))/(LN(2)/2)*BL45*BO45*VLOOKUP('Données projet'!$B$11,Paramètres!$A$1:$I$89,3,0)*0.475*44/12</f>
        <v>#N/A</v>
      </c>
      <c r="BS45" s="22" t="e">
        <f t="shared" si="9"/>
        <v>#N/A</v>
      </c>
      <c r="BT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">
      <c r="A46" s="10">
        <f t="shared" si="31"/>
        <v>43</v>
      </c>
      <c r="B46" s="72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25.713999999999992</v>
      </c>
      <c r="D46" s="11">
        <f t="shared" si="32"/>
        <v>8.1204100194831259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261.17790190478195</v>
      </c>
      <c r="H46" s="66">
        <f t="shared" si="1"/>
        <v>352.26159745059977</v>
      </c>
      <c r="I46" s="6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0</v>
      </c>
      <c r="N46" s="13">
        <f>IF('Données projet'!$A$36&gt;35,N45+M46-V45,IF(A46&lt;'Données projet'!$A$36,$K$205^A46,IF(A46='Données projet'!$A$36,'Données projet'!$B$36,N45+M46-V45)))</f>
        <v>0</v>
      </c>
      <c r="O46" s="13">
        <f>N46*VLOOKUP('Données projet'!$B$9,Paramètres!$A$1:$I$89,3,0)*VLOOKUP('Données projet'!$B$9,Paramètres!$A$1:$I$89,5,0)</f>
        <v>0</v>
      </c>
      <c r="P46" s="13" t="e">
        <f t="shared" si="33"/>
        <v>#NUM!</v>
      </c>
      <c r="Q46" s="20" t="e">
        <f t="shared" si="53"/>
        <v>#NUM!</v>
      </c>
      <c r="R46" s="59" t="e">
        <f t="shared" si="0"/>
        <v>#NUM!</v>
      </c>
      <c r="S46" s="59">
        <f ca="1">AVERAGE(OFFSET($R$3,0,0,'Données projet'!$E$9+1,1))-AVERAGE(OFFSET($H$3,0,0,'Données projet'!$E$9+1,1))</f>
        <v>148.39628895278571</v>
      </c>
      <c r="T46" s="59">
        <f t="shared" si="34"/>
        <v>361.07991692964788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95.475182630494402</v>
      </c>
      <c r="AA46" s="21">
        <f>EXP(-LN(2)/25)*AA45+(1-EXP(-LN(2)/25))/(LN(2)/25)*Calculateur!V46*Calculateur!X46*VLOOKUP('Données projet'!$B$9,Paramètres!$A$1:$I$89,3,0)*0.475*44/12</f>
        <v>10.026330750477376</v>
      </c>
      <c r="AB46" s="21">
        <f>EXP(-LN(2)/2)*AB45+(1-EXP(-LN(2)/2))/(LN(2)/2)*V46*Y46*VLOOKUP('Données projet'!$B$9,Paramètres!$A$1:$I$89,3,0)*0.475*44/12</f>
        <v>4.9676467718995029E-4</v>
      </c>
      <c r="AC46" s="22">
        <f t="shared" si="3"/>
        <v>105.50201014564897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9.9475000000000016</v>
      </c>
      <c r="AI46" s="13">
        <f>IF('Données projet'!$A$62&gt;35,AI45+AH46-AQ45,IF(A46&lt;'Données projet'!$A$62,$AF$205^A46,IF(A46='Données projet'!$A$62,'Données projet'!$B$62,AI45+AH46-AQ45)))</f>
        <v>138.69750000000005</v>
      </c>
      <c r="AJ46" s="13">
        <f>AI46*VLOOKUP('Données projet'!$B$10,Paramètres!$A$1:$I$89,3,0)*VLOOKUP('Données projet'!$B$10,Paramètres!$A$1:$I$89,5,0)</f>
        <v>138.47558400000005</v>
      </c>
      <c r="AK46" s="13">
        <f t="shared" si="35"/>
        <v>35.947560984320774</v>
      </c>
      <c r="AL46" s="20">
        <f t="shared" si="4"/>
        <v>303.78697751435874</v>
      </c>
      <c r="AM46" s="59">
        <f t="shared" si="5"/>
        <v>597.12031084769205</v>
      </c>
      <c r="AN46" s="59">
        <f ca="1">AVERAGE(OFFSET($AM$3,0,0,'Données projet'!$E$10+1,1))-AVERAGE(OFFSET($H$3,0,0,'Données projet'!$E$10+1,1))</f>
        <v>525.29195699741149</v>
      </c>
      <c r="AO46" s="59">
        <f t="shared" si="36"/>
        <v>125.99812193007153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20.10497547195471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20.10497547195471</v>
      </c>
      <c r="AY46" s="7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0</v>
      </c>
      <c r="BE46" s="13" t="e">
        <f>BD46*VLOOKUP('Données projet'!$B$11,Paramètres!$A$1:$I$89,3,0)*VLOOKUP('Données projet'!$B$11,Paramètres!$A$1:$I$89,5,0)</f>
        <v>#N/A</v>
      </c>
      <c r="BF46" s="13" t="e">
        <f t="shared" si="37"/>
        <v>#N/A</v>
      </c>
      <c r="BG46" s="20" t="e">
        <f t="shared" si="7"/>
        <v>#N/A</v>
      </c>
      <c r="BH46" s="59" t="e">
        <f t="shared" si="8"/>
        <v>#N/A</v>
      </c>
      <c r="BI46" s="59" t="e">
        <f ca="1">AVERAGE(OFFSET($BH$3,0,0,'Données projet'!$E$11+1,1))-AVERAGE(OFFSET($H$3,0,0,'Données projet'!$E$11+1,1))</f>
        <v>#N/A</v>
      </c>
      <c r="BJ46" s="59" t="e">
        <f t="shared" si="38"/>
        <v>#N/A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 t="e">
        <f>EXP(-LN(2)/35)*BP45+(1-EXP(-LN(2)/35))/(LN(2)/35)*BL46*BM46*VLOOKUP('Données projet'!$B$11,Paramètres!$A$1:$I$89,3,0)*0.475*44/12</f>
        <v>#N/A</v>
      </c>
      <c r="BQ46" s="21" t="e">
        <f>EXP(-LN(2)/25)*BQ45+(1-EXP(-LN(2)/25))/(LN(2)/25)*Calculateur!BL46*Calculateur!BN46*VLOOKUP('Données projet'!$B$11,Paramètres!$A$1:$I$89,3,0)*0.475*44/12</f>
        <v>#N/A</v>
      </c>
      <c r="BR46" s="21" t="e">
        <f>EXP(-LN(2)/2)*BR45+(1-EXP(-LN(2)/2))/(LN(2)/2)*BL46*BO46*VLOOKUP('Données projet'!$B$11,Paramètres!$A$1:$I$89,3,0)*0.475*44/12</f>
        <v>#N/A</v>
      </c>
      <c r="BS46" s="22" t="e">
        <f t="shared" si="9"/>
        <v>#N/A</v>
      </c>
      <c r="BT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">
      <c r="A47" s="10">
        <f t="shared" si="31"/>
        <v>44</v>
      </c>
      <c r="B47" s="72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26.311999999999991</v>
      </c>
      <c r="D47" s="11">
        <f t="shared" si="32"/>
        <v>8.2870510840880431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267.08039433331112</v>
      </c>
      <c r="H47" s="66">
        <f t="shared" si="1"/>
        <v>353.59334730478662</v>
      </c>
      <c r="I47" s="6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0</v>
      </c>
      <c r="N47" s="13">
        <f>IF('Données projet'!$A$36&gt;35,N46+M47-V46,IF(A47&lt;'Données projet'!$A$36,$K$205^A47,IF(A47='Données projet'!$A$36,'Données projet'!$B$36,N46+M47-V46)))</f>
        <v>0</v>
      </c>
      <c r="O47" s="13">
        <f>N47*VLOOKUP('Données projet'!$B$9,Paramètres!$A$1:$I$89,3,0)*VLOOKUP('Données projet'!$B$9,Paramètres!$A$1:$I$89,5,0)</f>
        <v>0</v>
      </c>
      <c r="P47" s="13" t="e">
        <f t="shared" si="33"/>
        <v>#NUM!</v>
      </c>
      <c r="Q47" s="20" t="e">
        <f t="shared" si="53"/>
        <v>#NUM!</v>
      </c>
      <c r="R47" s="59" t="e">
        <f t="shared" si="0"/>
        <v>#NUM!</v>
      </c>
      <c r="S47" s="59">
        <f ca="1">AVERAGE(OFFSET($R$3,0,0,'Données projet'!$E$9+1,1))-AVERAGE(OFFSET($H$3,0,0,'Données projet'!$E$9+1,1))</f>
        <v>148.39628895278571</v>
      </c>
      <c r="T47" s="59">
        <f t="shared" si="34"/>
        <v>361.07991692964788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93.602972533221674</v>
      </c>
      <c r="AA47" s="21">
        <f>EXP(-LN(2)/25)*AA46+(1-EXP(-LN(2)/25))/(LN(2)/25)*Calculateur!V47*Calculateur!X47*VLOOKUP('Données projet'!$B$9,Paramètres!$A$1:$I$89,3,0)*0.475*44/12</f>
        <v>9.7521602088437529</v>
      </c>
      <c r="AB47" s="21">
        <f>EXP(-LN(2)/2)*AB46+(1-EXP(-LN(2)/2))/(LN(2)/2)*V47*Y47*VLOOKUP('Données projet'!$B$9,Paramètres!$A$1:$I$89,3,0)*0.475*44/12</f>
        <v>3.512656718949601E-4</v>
      </c>
      <c r="AC47" s="22">
        <f t="shared" si="3"/>
        <v>103.35548400773732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9.9475000000000016</v>
      </c>
      <c r="AI47" s="13">
        <f>IF('Données projet'!$A$62&gt;35,AI46+AH47-AQ46,IF(A47&lt;'Données projet'!$A$62,$AF$205^A47,IF(A47='Données projet'!$A$62,'Données projet'!$B$62,AI46+AH47-AQ46)))</f>
        <v>148.64500000000004</v>
      </c>
      <c r="AJ47" s="13">
        <f>AI47*VLOOKUP('Données projet'!$B$10,Paramètres!$A$1:$I$89,3,0)*VLOOKUP('Données projet'!$B$10,Paramètres!$A$1:$I$89,5,0)</f>
        <v>148.40716800000004</v>
      </c>
      <c r="AK47" s="13">
        <f t="shared" si="35"/>
        <v>38.216384235712063</v>
      </c>
      <c r="AL47" s="20">
        <f t="shared" si="4"/>
        <v>325.03602014386524</v>
      </c>
      <c r="AM47" s="59">
        <f t="shared" si="5"/>
        <v>618.3693534771985</v>
      </c>
      <c r="AN47" s="59">
        <f ca="1">AVERAGE(OFFSET($AM$3,0,0,'Données projet'!$E$10+1,1))-AVERAGE(OFFSET($H$3,0,0,'Données projet'!$E$10+1,1))</f>
        <v>525.29195699741149</v>
      </c>
      <c r="AO47" s="59">
        <f t="shared" si="36"/>
        <v>125.99812193007153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19.710729165773863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19.710729165773863</v>
      </c>
      <c r="AY47" s="7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0</v>
      </c>
      <c r="BE47" s="13" t="e">
        <f>BD47*VLOOKUP('Données projet'!$B$11,Paramètres!$A$1:$I$89,3,0)*VLOOKUP('Données projet'!$B$11,Paramètres!$A$1:$I$89,5,0)</f>
        <v>#N/A</v>
      </c>
      <c r="BF47" s="13" t="e">
        <f t="shared" si="37"/>
        <v>#N/A</v>
      </c>
      <c r="BG47" s="20" t="e">
        <f t="shared" si="7"/>
        <v>#N/A</v>
      </c>
      <c r="BH47" s="59" t="e">
        <f t="shared" si="8"/>
        <v>#N/A</v>
      </c>
      <c r="BI47" s="59" t="e">
        <f ca="1">AVERAGE(OFFSET($BH$3,0,0,'Données projet'!$E$11+1,1))-AVERAGE(OFFSET($H$3,0,0,'Données projet'!$E$11+1,1))</f>
        <v>#N/A</v>
      </c>
      <c r="BJ47" s="59" t="e">
        <f t="shared" si="38"/>
        <v>#N/A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 t="e">
        <f>EXP(-LN(2)/35)*BP46+(1-EXP(-LN(2)/35))/(LN(2)/35)*BL47*BM47*VLOOKUP('Données projet'!$B$11,Paramètres!$A$1:$I$89,3,0)*0.475*44/12</f>
        <v>#N/A</v>
      </c>
      <c r="BQ47" s="21" t="e">
        <f>EXP(-LN(2)/25)*BQ46+(1-EXP(-LN(2)/25))/(LN(2)/25)*Calculateur!BL47*Calculateur!BN47*VLOOKUP('Données projet'!$B$11,Paramètres!$A$1:$I$89,3,0)*0.475*44/12</f>
        <v>#N/A</v>
      </c>
      <c r="BR47" s="21" t="e">
        <f>EXP(-LN(2)/2)*BR46+(1-EXP(-LN(2)/2))/(LN(2)/2)*BL47*BO47*VLOOKUP('Données projet'!$B$11,Paramètres!$A$1:$I$89,3,0)*0.475*44/12</f>
        <v>#N/A</v>
      </c>
      <c r="BS47" s="22" t="e">
        <f t="shared" si="9"/>
        <v>#N/A</v>
      </c>
      <c r="BT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">
      <c r="A48" s="10">
        <f t="shared" si="31"/>
        <v>45</v>
      </c>
      <c r="B48" s="72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26.909999999999989</v>
      </c>
      <c r="D48" s="11">
        <f t="shared" si="32"/>
        <v>8.4532518498676339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272.97948796389045</v>
      </c>
      <c r="H48" s="66">
        <f t="shared" si="1"/>
        <v>354.92433030518612</v>
      </c>
      <c r="I48" s="6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0</v>
      </c>
      <c r="N48" s="13">
        <f>IF('Données projet'!$A$36&gt;35,N47+M48-V47,IF(A48&lt;'Données projet'!$A$36,$K$205^A48,IF(A48='Données projet'!$A$36,'Données projet'!$B$36,N47+M48-V47)))</f>
        <v>0</v>
      </c>
      <c r="O48" s="13">
        <f>N48*VLOOKUP('Données projet'!$B$9,Paramètres!$A$1:$I$89,3,0)*VLOOKUP('Données projet'!$B$9,Paramètres!$A$1:$I$89,5,0)</f>
        <v>0</v>
      </c>
      <c r="P48" s="13" t="e">
        <f t="shared" si="33"/>
        <v>#NUM!</v>
      </c>
      <c r="Q48" s="20" t="e">
        <f t="shared" si="53"/>
        <v>#NUM!</v>
      </c>
      <c r="R48" s="59" t="e">
        <f t="shared" si="0"/>
        <v>#NUM!</v>
      </c>
      <c r="S48" s="59">
        <f ca="1">AVERAGE(OFFSET($R$3,0,0,'Données projet'!$E$9+1,1))-AVERAGE(OFFSET($H$3,0,0,'Données projet'!$E$9+1,1))</f>
        <v>148.39628895278571</v>
      </c>
      <c r="T48" s="59">
        <f t="shared" si="34"/>
        <v>361.07991692964788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91.767475334021057</v>
      </c>
      <c r="AA48" s="21">
        <f>EXP(-LN(2)/25)*AA47+(1-EXP(-LN(2)/25))/(LN(2)/25)*Calculateur!V48*Calculateur!X48*VLOOKUP('Données projet'!$B$9,Paramètres!$A$1:$I$89,3,0)*0.475*44/12</f>
        <v>9.4854868750891033</v>
      </c>
      <c r="AB48" s="21">
        <f>EXP(-LN(2)/2)*AB47+(1-EXP(-LN(2)/2))/(LN(2)/2)*V48*Y48*VLOOKUP('Données projet'!$B$9,Paramètres!$A$1:$I$89,3,0)*0.475*44/12</f>
        <v>2.4838233859497515E-4</v>
      </c>
      <c r="AC48" s="22">
        <f t="shared" si="3"/>
        <v>101.25321059144876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9.9475000000000016</v>
      </c>
      <c r="AI48" s="13">
        <f>IF('Données projet'!$A$62&gt;35,AI47+AH48-AQ47,IF(A48&lt;'Données projet'!$A$62,$AF$205^A48,IF(A48='Données projet'!$A$62,'Données projet'!$B$62,AI47+AH48-AQ47)))</f>
        <v>158.59250000000003</v>
      </c>
      <c r="AJ48" s="13">
        <f>AI48*VLOOKUP('Données projet'!$B$10,Paramètres!$A$1:$I$89,3,0)*VLOOKUP('Données projet'!$B$10,Paramètres!$A$1:$I$89,5,0)</f>
        <v>158.33875200000003</v>
      </c>
      <c r="AK48" s="13">
        <f t="shared" si="35"/>
        <v>40.467588980715433</v>
      </c>
      <c r="AL48" s="20">
        <f t="shared" si="4"/>
        <v>346.2543772080794</v>
      </c>
      <c r="AM48" s="59">
        <f t="shared" si="5"/>
        <v>639.58771054141266</v>
      </c>
      <c r="AN48" s="59">
        <f ca="1">AVERAGE(OFFSET($AM$3,0,0,'Données projet'!$E$10+1,1))-AVERAGE(OFFSET($H$3,0,0,'Données projet'!$E$10+1,1))</f>
        <v>525.29195699741149</v>
      </c>
      <c r="AO48" s="59">
        <f t="shared" si="36"/>
        <v>125.99812193007153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19.324213789190718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19.324213789190718</v>
      </c>
      <c r="AY48" s="7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0</v>
      </c>
      <c r="BE48" s="13" t="e">
        <f>BD48*VLOOKUP('Données projet'!$B$11,Paramètres!$A$1:$I$89,3,0)*VLOOKUP('Données projet'!$B$11,Paramètres!$A$1:$I$89,5,0)</f>
        <v>#N/A</v>
      </c>
      <c r="BF48" s="13" t="e">
        <f t="shared" si="37"/>
        <v>#N/A</v>
      </c>
      <c r="BG48" s="20" t="e">
        <f t="shared" si="7"/>
        <v>#N/A</v>
      </c>
      <c r="BH48" s="59" t="e">
        <f t="shared" si="8"/>
        <v>#N/A</v>
      </c>
      <c r="BI48" s="59" t="e">
        <f ca="1">AVERAGE(OFFSET($BH$3,0,0,'Données projet'!$E$11+1,1))-AVERAGE(OFFSET($H$3,0,0,'Données projet'!$E$11+1,1))</f>
        <v>#N/A</v>
      </c>
      <c r="BJ48" s="59" t="e">
        <f t="shared" si="38"/>
        <v>#N/A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 t="e">
        <f>EXP(-LN(2)/35)*BP47+(1-EXP(-LN(2)/35))/(LN(2)/35)*BL48*BM48*VLOOKUP('Données projet'!$B$11,Paramètres!$A$1:$I$89,3,0)*0.475*44/12</f>
        <v>#N/A</v>
      </c>
      <c r="BQ48" s="21" t="e">
        <f>EXP(-LN(2)/25)*BQ47+(1-EXP(-LN(2)/25))/(LN(2)/25)*Calculateur!BL48*Calculateur!BN48*VLOOKUP('Données projet'!$B$11,Paramètres!$A$1:$I$89,3,0)*0.475*44/12</f>
        <v>#N/A</v>
      </c>
      <c r="BR48" s="21" t="e">
        <f>EXP(-LN(2)/2)*BR47+(1-EXP(-LN(2)/2))/(LN(2)/2)*BL48*BO48*VLOOKUP('Données projet'!$B$11,Paramètres!$A$1:$I$89,3,0)*0.475*44/12</f>
        <v>#N/A</v>
      </c>
      <c r="BS48" s="22" t="e">
        <f t="shared" si="9"/>
        <v>#N/A</v>
      </c>
      <c r="BT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">
      <c r="A49" s="10">
        <f t="shared" si="31"/>
        <v>46</v>
      </c>
      <c r="B49" s="72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27.507999999999988</v>
      </c>
      <c r="D49" s="11">
        <f t="shared" si="32"/>
        <v>8.6190232278455454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278.87526702196556</v>
      </c>
      <c r="H49" s="66">
        <f t="shared" si="1"/>
        <v>356.25456545516431</v>
      </c>
      <c r="I49" s="6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0</v>
      </c>
      <c r="N49" s="13">
        <f>IF('Données projet'!$A$36&gt;35,N48+M49-V48,IF(A49&lt;'Données projet'!$A$36,$K$205^A49,IF(A49='Données projet'!$A$36,'Données projet'!$B$36,N48+M49-V48)))</f>
        <v>0</v>
      </c>
      <c r="O49" s="13">
        <f>N49*VLOOKUP('Données projet'!$B$9,Paramètres!$A$1:$I$89,3,0)*VLOOKUP('Données projet'!$B$9,Paramètres!$A$1:$I$89,5,0)</f>
        <v>0</v>
      </c>
      <c r="P49" s="13" t="e">
        <f t="shared" si="33"/>
        <v>#NUM!</v>
      </c>
      <c r="Q49" s="20" t="e">
        <f t="shared" si="53"/>
        <v>#NUM!</v>
      </c>
      <c r="R49" s="59" t="e">
        <f t="shared" si="0"/>
        <v>#NUM!</v>
      </c>
      <c r="S49" s="59">
        <f ca="1">AVERAGE(OFFSET($R$3,0,0,'Données projet'!$E$9+1,1))-AVERAGE(OFFSET($H$3,0,0,'Données projet'!$E$9+1,1))</f>
        <v>148.39628895278571</v>
      </c>
      <c r="T49" s="59">
        <f t="shared" si="34"/>
        <v>361.07991692964788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89.967971115354018</v>
      </c>
      <c r="AA49" s="21">
        <f>EXP(-LN(2)/25)*AA48+(1-EXP(-LN(2)/25))/(LN(2)/25)*Calculateur!V49*Calculateur!X49*VLOOKUP('Données projet'!$B$9,Paramètres!$A$1:$I$89,3,0)*0.475*44/12</f>
        <v>9.226105737669716</v>
      </c>
      <c r="AB49" s="21">
        <f>EXP(-LN(2)/2)*AB48+(1-EXP(-LN(2)/2))/(LN(2)/2)*V49*Y49*VLOOKUP('Données projet'!$B$9,Paramètres!$A$1:$I$89,3,0)*0.475*44/12</f>
        <v>1.7563283594748005E-4</v>
      </c>
      <c r="AC49" s="22">
        <f t="shared" si="3"/>
        <v>99.194252485859678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9.9475000000000016</v>
      </c>
      <c r="AI49" s="13">
        <f>IF('Données projet'!$A$62&gt;35,AI48+AH49-AQ48,IF(A49&lt;'Données projet'!$A$62,$AF$205^A49,IF(A49='Données projet'!$A$62,'Données projet'!$B$62,AI48+AH49-AQ48)))</f>
        <v>168.54000000000002</v>
      </c>
      <c r="AJ49" s="13">
        <f>AI49*VLOOKUP('Données projet'!$B$10,Paramètres!$A$1:$I$89,3,0)*VLOOKUP('Données projet'!$B$10,Paramètres!$A$1:$I$89,5,0)</f>
        <v>168.27033600000004</v>
      </c>
      <c r="AK49" s="13">
        <f t="shared" si="35"/>
        <v>42.702406120971617</v>
      </c>
      <c r="AL49" s="20">
        <f t="shared" si="4"/>
        <v>367.44419252735889</v>
      </c>
      <c r="AM49" s="59">
        <f t="shared" si="5"/>
        <v>660.77752586069221</v>
      </c>
      <c r="AN49" s="59">
        <f ca="1">AVERAGE(OFFSET($AM$3,0,0,'Données projet'!$E$10+1,1))-AVERAGE(OFFSET($H$3,0,0,'Données projet'!$E$10+1,1))</f>
        <v>525.29195699741149</v>
      </c>
      <c r="AO49" s="59">
        <f t="shared" si="36"/>
        <v>125.99812193007153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18.945277743391269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18.945277743391269</v>
      </c>
      <c r="AY49" s="7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0</v>
      </c>
      <c r="BE49" s="13" t="e">
        <f>BD49*VLOOKUP('Données projet'!$B$11,Paramètres!$A$1:$I$89,3,0)*VLOOKUP('Données projet'!$B$11,Paramètres!$A$1:$I$89,5,0)</f>
        <v>#N/A</v>
      </c>
      <c r="BF49" s="13" t="e">
        <f t="shared" si="37"/>
        <v>#N/A</v>
      </c>
      <c r="BG49" s="20" t="e">
        <f t="shared" si="7"/>
        <v>#N/A</v>
      </c>
      <c r="BH49" s="59" t="e">
        <f t="shared" si="8"/>
        <v>#N/A</v>
      </c>
      <c r="BI49" s="59" t="e">
        <f ca="1">AVERAGE(OFFSET($BH$3,0,0,'Données projet'!$E$11+1,1))-AVERAGE(OFFSET($H$3,0,0,'Données projet'!$E$11+1,1))</f>
        <v>#N/A</v>
      </c>
      <c r="BJ49" s="59" t="e">
        <f t="shared" si="38"/>
        <v>#N/A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 t="e">
        <f>EXP(-LN(2)/35)*BP48+(1-EXP(-LN(2)/35))/(LN(2)/35)*BL49*BM49*VLOOKUP('Données projet'!$B$11,Paramètres!$A$1:$I$89,3,0)*0.475*44/12</f>
        <v>#N/A</v>
      </c>
      <c r="BQ49" s="21" t="e">
        <f>EXP(-LN(2)/25)*BQ48+(1-EXP(-LN(2)/25))/(LN(2)/25)*Calculateur!BL49*Calculateur!BN49*VLOOKUP('Données projet'!$B$11,Paramètres!$A$1:$I$89,3,0)*0.475*44/12</f>
        <v>#N/A</v>
      </c>
      <c r="BR49" s="21" t="e">
        <f>EXP(-LN(2)/2)*BR48+(1-EXP(-LN(2)/2))/(LN(2)/2)*BL49*BO49*VLOOKUP('Données projet'!$B$11,Paramètres!$A$1:$I$89,3,0)*0.475*44/12</f>
        <v>#N/A</v>
      </c>
      <c r="BS49" s="22" t="e">
        <f t="shared" si="9"/>
        <v>#N/A</v>
      </c>
      <c r="BT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">
      <c r="A50" s="10">
        <f t="shared" si="31"/>
        <v>47</v>
      </c>
      <c r="B50" s="72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28.105999999999987</v>
      </c>
      <c r="D50" s="11">
        <f t="shared" si="32"/>
        <v>8.7843756275593741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284.76781186186179</v>
      </c>
      <c r="H50" s="66">
        <f t="shared" si="1"/>
        <v>357.58407088466589</v>
      </c>
      <c r="I50" s="6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0</v>
      </c>
      <c r="N50" s="13">
        <f>IF('Données projet'!$A$36&gt;35,N49+M50-V49,IF(A50&lt;'Données projet'!$A$36,$K$205^A50,IF(A50='Données projet'!$A$36,'Données projet'!$B$36,N49+M50-V49)))</f>
        <v>0</v>
      </c>
      <c r="O50" s="13">
        <f>N50*VLOOKUP('Données projet'!$B$9,Paramètres!$A$1:$I$89,3,0)*VLOOKUP('Données projet'!$B$9,Paramètres!$A$1:$I$89,5,0)</f>
        <v>0</v>
      </c>
      <c r="P50" s="13" t="e">
        <f t="shared" si="33"/>
        <v>#NUM!</v>
      </c>
      <c r="Q50" s="20" t="e">
        <f t="shared" si="53"/>
        <v>#NUM!</v>
      </c>
      <c r="R50" s="59" t="e">
        <f t="shared" si="0"/>
        <v>#NUM!</v>
      </c>
      <c r="S50" s="59">
        <f ca="1">AVERAGE(OFFSET($R$3,0,0,'Données projet'!$E$9+1,1))-AVERAGE(OFFSET($H$3,0,0,'Données projet'!$E$9+1,1))</f>
        <v>148.39628895278571</v>
      </c>
      <c r="T50" s="59">
        <f t="shared" si="34"/>
        <v>361.07991692964788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88.203754076825845</v>
      </c>
      <c r="AA50" s="21">
        <f>EXP(-LN(2)/25)*AA49+(1-EXP(-LN(2)/25))/(LN(2)/25)*Calculateur!V50*Calculateur!X50*VLOOKUP('Données projet'!$B$9,Paramètres!$A$1:$I$89,3,0)*0.475*44/12</f>
        <v>8.9738173910933234</v>
      </c>
      <c r="AB50" s="21">
        <f>EXP(-LN(2)/2)*AB49+(1-EXP(-LN(2)/2))/(LN(2)/2)*V50*Y50*VLOOKUP('Données projet'!$B$9,Paramètres!$A$1:$I$89,3,0)*0.475*44/12</f>
        <v>1.2419116929748757E-4</v>
      </c>
      <c r="AC50" s="22">
        <f t="shared" si="3"/>
        <v>97.177695659088457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9.9475000000000016</v>
      </c>
      <c r="AI50" s="13">
        <f>IF('Données projet'!$A$62&gt;35,AI49+AH50-AQ49,IF(A50&lt;'Données projet'!$A$62,$AF$205^A50,IF(A50='Données projet'!$A$62,'Données projet'!$B$62,AI49+AH50-AQ49)))</f>
        <v>178.48750000000001</v>
      </c>
      <c r="AJ50" s="13">
        <f>AI50*VLOOKUP('Données projet'!$B$10,Paramètres!$A$1:$I$89,3,0)*VLOOKUP('Données projet'!$B$10,Paramètres!$A$1:$I$89,5,0)</f>
        <v>178.20192000000003</v>
      </c>
      <c r="AK50" s="13">
        <f t="shared" si="35"/>
        <v>44.921913050314572</v>
      </c>
      <c r="AL50" s="20">
        <f t="shared" si="4"/>
        <v>388.60734256263123</v>
      </c>
      <c r="AM50" s="59">
        <f t="shared" si="5"/>
        <v>681.94067589596455</v>
      </c>
      <c r="AN50" s="59">
        <f ca="1">AVERAGE(OFFSET($AM$3,0,0,'Données projet'!$E$10+1,1))-AVERAGE(OFFSET($H$3,0,0,'Données projet'!$E$10+1,1))</f>
        <v>525.29195699741149</v>
      </c>
      <c r="AO50" s="59">
        <f t="shared" si="36"/>
        <v>125.99812193007153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18.573772402321783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18.573772402321783</v>
      </c>
      <c r="AY50" s="7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0</v>
      </c>
      <c r="BE50" s="13" t="e">
        <f>BD50*VLOOKUP('Données projet'!$B$11,Paramètres!$A$1:$I$89,3,0)*VLOOKUP('Données projet'!$B$11,Paramètres!$A$1:$I$89,5,0)</f>
        <v>#N/A</v>
      </c>
      <c r="BF50" s="13" t="e">
        <f t="shared" si="37"/>
        <v>#N/A</v>
      </c>
      <c r="BG50" s="20" t="e">
        <f t="shared" si="7"/>
        <v>#N/A</v>
      </c>
      <c r="BH50" s="59" t="e">
        <f t="shared" si="8"/>
        <v>#N/A</v>
      </c>
      <c r="BI50" s="59" t="e">
        <f ca="1">AVERAGE(OFFSET($BH$3,0,0,'Données projet'!$E$11+1,1))-AVERAGE(OFFSET($H$3,0,0,'Données projet'!$E$11+1,1))</f>
        <v>#N/A</v>
      </c>
      <c r="BJ50" s="59" t="e">
        <f t="shared" si="38"/>
        <v>#N/A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 t="e">
        <f>EXP(-LN(2)/35)*BP49+(1-EXP(-LN(2)/35))/(LN(2)/35)*BL50*BM50*VLOOKUP('Données projet'!$B$11,Paramètres!$A$1:$I$89,3,0)*0.475*44/12</f>
        <v>#N/A</v>
      </c>
      <c r="BQ50" s="21" t="e">
        <f>EXP(-LN(2)/25)*BQ49+(1-EXP(-LN(2)/25))/(LN(2)/25)*Calculateur!BL50*Calculateur!BN50*VLOOKUP('Données projet'!$B$11,Paramètres!$A$1:$I$89,3,0)*0.475*44/12</f>
        <v>#N/A</v>
      </c>
      <c r="BR50" s="21" t="e">
        <f>EXP(-LN(2)/2)*BR49+(1-EXP(-LN(2)/2))/(LN(2)/2)*BL50*BO50*VLOOKUP('Données projet'!$B$11,Paramètres!$A$1:$I$89,3,0)*0.475*44/12</f>
        <v>#N/A</v>
      </c>
      <c r="BS50" s="22" t="e">
        <f t="shared" si="9"/>
        <v>#N/A</v>
      </c>
      <c r="BT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">
      <c r="A51" s="10">
        <f t="shared" si="31"/>
        <v>48</v>
      </c>
      <c r="B51" s="72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28.703999999999986</v>
      </c>
      <c r="D51" s="11">
        <f t="shared" si="32"/>
        <v>8.9493189902812986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290.65719922322398</v>
      </c>
      <c r="H51" s="66">
        <f t="shared" si="1"/>
        <v>358.91286390807323</v>
      </c>
      <c r="I51" s="6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0</v>
      </c>
      <c r="N51" s="13">
        <f>IF('Données projet'!$A$36&gt;35,N50+M51-V50,IF(A51&lt;'Données projet'!$A$36,$K$205^A51,IF(A51='Données projet'!$A$36,'Données projet'!$B$36,N50+M51-V50)))</f>
        <v>0</v>
      </c>
      <c r="O51" s="13">
        <f>N51*VLOOKUP('Données projet'!$B$9,Paramètres!$A$1:$I$89,3,0)*VLOOKUP('Données projet'!$B$9,Paramètres!$A$1:$I$89,5,0)</f>
        <v>0</v>
      </c>
      <c r="P51" s="13" t="e">
        <f t="shared" si="33"/>
        <v>#NUM!</v>
      </c>
      <c r="Q51" s="20" t="e">
        <f t="shared" si="53"/>
        <v>#NUM!</v>
      </c>
      <c r="R51" s="59" t="e">
        <f t="shared" si="0"/>
        <v>#NUM!</v>
      </c>
      <c r="S51" s="59">
        <f ca="1">AVERAGE(OFFSET($R$3,0,0,'Données projet'!$E$9+1,1))-AVERAGE(OFFSET($H$3,0,0,'Données projet'!$E$9+1,1))</f>
        <v>148.39628895278571</v>
      </c>
      <c r="T51" s="59">
        <f t="shared" si="34"/>
        <v>361.07991692964788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86.474132258357074</v>
      </c>
      <c r="AA51" s="21">
        <f>EXP(-LN(2)/25)*AA50+(1-EXP(-LN(2)/25))/(LN(2)/25)*Calculateur!V51*Calculateur!X51*VLOOKUP('Données projet'!$B$9,Paramètres!$A$1:$I$89,3,0)*0.475*44/12</f>
        <v>8.7284278826213306</v>
      </c>
      <c r="AB51" s="21">
        <f>EXP(-LN(2)/2)*AB50+(1-EXP(-LN(2)/2))/(LN(2)/2)*V51*Y51*VLOOKUP('Données projet'!$B$9,Paramètres!$A$1:$I$89,3,0)*0.475*44/12</f>
        <v>8.7816417973740025E-5</v>
      </c>
      <c r="AC51" s="22">
        <f t="shared" si="3"/>
        <v>95.20264795739638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9.9475000000000016</v>
      </c>
      <c r="AI51" s="13">
        <f>IF('Données projet'!$A$62&gt;35,AI50+AH51-AQ50,IF(A51&lt;'Données projet'!$A$62,$AF$205^A51,IF(A51='Données projet'!$A$62,'Données projet'!$B$62,AI50+AH51-AQ50)))</f>
        <v>188.435</v>
      </c>
      <c r="AJ51" s="13">
        <f>AI51*VLOOKUP('Données projet'!$B$10,Paramètres!$A$1:$I$89,3,0)*VLOOKUP('Données projet'!$B$10,Paramètres!$A$1:$I$89,5,0)</f>
        <v>188.13350400000002</v>
      </c>
      <c r="AK51" s="13">
        <f t="shared" si="35"/>
        <v>47.127060288882639</v>
      </c>
      <c r="AL51" s="20">
        <f t="shared" si="4"/>
        <v>409.74548280313724</v>
      </c>
      <c r="AM51" s="59">
        <f t="shared" si="5"/>
        <v>703.07881613647055</v>
      </c>
      <c r="AN51" s="59">
        <f ca="1">AVERAGE(OFFSET($AM$3,0,0,'Données projet'!$E$10+1,1))-AVERAGE(OFFSET($H$3,0,0,'Données projet'!$E$10+1,1))</f>
        <v>525.29195699741149</v>
      </c>
      <c r="AO51" s="59">
        <f t="shared" si="36"/>
        <v>125.99812193007153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18.209552054394784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18.209552054394784</v>
      </c>
      <c r="AY51" s="7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0</v>
      </c>
      <c r="BE51" s="13" t="e">
        <f>BD51*VLOOKUP('Données projet'!$B$11,Paramètres!$A$1:$I$89,3,0)*VLOOKUP('Données projet'!$B$11,Paramètres!$A$1:$I$89,5,0)</f>
        <v>#N/A</v>
      </c>
      <c r="BF51" s="13" t="e">
        <f t="shared" si="37"/>
        <v>#N/A</v>
      </c>
      <c r="BG51" s="20" t="e">
        <f t="shared" si="7"/>
        <v>#N/A</v>
      </c>
      <c r="BH51" s="59" t="e">
        <f t="shared" si="8"/>
        <v>#N/A</v>
      </c>
      <c r="BI51" s="59" t="e">
        <f ca="1">AVERAGE(OFFSET($BH$3,0,0,'Données projet'!$E$11+1,1))-AVERAGE(OFFSET($H$3,0,0,'Données projet'!$E$11+1,1))</f>
        <v>#N/A</v>
      </c>
      <c r="BJ51" s="59" t="e">
        <f t="shared" si="38"/>
        <v>#N/A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 t="e">
        <f>EXP(-LN(2)/35)*BP50+(1-EXP(-LN(2)/35))/(LN(2)/35)*BL51*BM51*VLOOKUP('Données projet'!$B$11,Paramètres!$A$1:$I$89,3,0)*0.475*44/12</f>
        <v>#N/A</v>
      </c>
      <c r="BQ51" s="21" t="e">
        <f>EXP(-LN(2)/25)*BQ50+(1-EXP(-LN(2)/25))/(LN(2)/25)*Calculateur!BL51*Calculateur!BN51*VLOOKUP('Données projet'!$B$11,Paramètres!$A$1:$I$89,3,0)*0.475*44/12</f>
        <v>#N/A</v>
      </c>
      <c r="BR51" s="21" t="e">
        <f>EXP(-LN(2)/2)*BR50+(1-EXP(-LN(2)/2))/(LN(2)/2)*BL51*BO51*VLOOKUP('Données projet'!$B$11,Paramètres!$A$1:$I$89,3,0)*0.475*44/12</f>
        <v>#N/A</v>
      </c>
      <c r="BS51" s="22" t="e">
        <f t="shared" si="9"/>
        <v>#N/A</v>
      </c>
      <c r="BT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">
      <c r="A52" s="10">
        <f t="shared" si="31"/>
        <v>49</v>
      </c>
      <c r="B52" s="72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29.301999999999985</v>
      </c>
      <c r="D52" s="11">
        <f t="shared" si="32"/>
        <v>9.1138628193922067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296.54350246548358</v>
      </c>
      <c r="H52" s="66">
        <f t="shared" si="1"/>
        <v>360.24096107710801</v>
      </c>
      <c r="I52" s="6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0</v>
      </c>
      <c r="N52" s="13">
        <f>IF('Données projet'!$A$36&gt;35,N51+M52-V51,IF(A52&lt;'Données projet'!$A$36,$K$205^A52,IF(A52='Données projet'!$A$36,'Données projet'!$B$36,N51+M52-V51)))</f>
        <v>0</v>
      </c>
      <c r="O52" s="13">
        <f>N52*VLOOKUP('Données projet'!$B$9,Paramètres!$A$1:$I$89,3,0)*VLOOKUP('Données projet'!$B$9,Paramètres!$A$1:$I$89,5,0)</f>
        <v>0</v>
      </c>
      <c r="P52" s="13" t="e">
        <f t="shared" si="33"/>
        <v>#NUM!</v>
      </c>
      <c r="Q52" s="20" t="e">
        <f t="shared" si="53"/>
        <v>#NUM!</v>
      </c>
      <c r="R52" s="59" t="e">
        <f t="shared" si="0"/>
        <v>#NUM!</v>
      </c>
      <c r="S52" s="59">
        <f ca="1">AVERAGE(OFFSET($R$3,0,0,'Données projet'!$E$9+1,1))-AVERAGE(OFFSET($H$3,0,0,'Données projet'!$E$9+1,1))</f>
        <v>148.39628895278571</v>
      </c>
      <c r="T52" s="59">
        <f t="shared" si="34"/>
        <v>361.07991692964788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84.778427268783332</v>
      </c>
      <c r="AA52" s="21">
        <f>EXP(-LN(2)/25)*AA51+(1-EXP(-LN(2)/25))/(LN(2)/25)*Calculateur!V52*Calculateur!X52*VLOOKUP('Données projet'!$B$9,Paramètres!$A$1:$I$89,3,0)*0.475*44/12</f>
        <v>8.4897485631629763</v>
      </c>
      <c r="AB52" s="21">
        <f>EXP(-LN(2)/2)*AB51+(1-EXP(-LN(2)/2))/(LN(2)/2)*V52*Y52*VLOOKUP('Données projet'!$B$9,Paramètres!$A$1:$I$89,3,0)*0.475*44/12</f>
        <v>6.2095584648743786E-5</v>
      </c>
      <c r="AC52" s="22">
        <f t="shared" si="3"/>
        <v>93.268237927530961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9.9475000000000016</v>
      </c>
      <c r="AI52" s="13">
        <f>IF('Données projet'!$A$62&gt;35,AI51+AH52-AQ51,IF(A52&lt;'Données projet'!$A$62,$AF$205^A52,IF(A52='Données projet'!$A$62,'Données projet'!$B$62,AI51+AH52-AQ51)))</f>
        <v>198.38249999999999</v>
      </c>
      <c r="AJ52" s="13">
        <f>AI52*VLOOKUP('Données projet'!$B$10,Paramètres!$A$1:$I$89,3,0)*VLOOKUP('Données projet'!$B$10,Paramètres!$A$1:$I$89,5,0)</f>
        <v>198.065088</v>
      </c>
      <c r="AK52" s="13">
        <f t="shared" si="35"/>
        <v>49.318692332679788</v>
      </c>
      <c r="AL52" s="20">
        <f t="shared" si="4"/>
        <v>430.86008407941728</v>
      </c>
      <c r="AM52" s="59">
        <f t="shared" si="5"/>
        <v>724.19341741275059</v>
      </c>
      <c r="AN52" s="59">
        <f ca="1">AVERAGE(OFFSET($AM$3,0,0,'Données projet'!$E$10+1,1))-AVERAGE(OFFSET($H$3,0,0,'Données projet'!$E$10+1,1))</f>
        <v>525.29195699741149</v>
      </c>
      <c r="AO52" s="59">
        <f t="shared" si="36"/>
        <v>125.99812193007153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17.852473845338157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17.852473845338157</v>
      </c>
      <c r="AY52" s="7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0</v>
      </c>
      <c r="BE52" s="13" t="e">
        <f>BD52*VLOOKUP('Données projet'!$B$11,Paramètres!$A$1:$I$89,3,0)*VLOOKUP('Données projet'!$B$11,Paramètres!$A$1:$I$89,5,0)</f>
        <v>#N/A</v>
      </c>
      <c r="BF52" s="13" t="e">
        <f t="shared" si="37"/>
        <v>#N/A</v>
      </c>
      <c r="BG52" s="20" t="e">
        <f t="shared" si="7"/>
        <v>#N/A</v>
      </c>
      <c r="BH52" s="59" t="e">
        <f t="shared" si="8"/>
        <v>#N/A</v>
      </c>
      <c r="BI52" s="59" t="e">
        <f ca="1">AVERAGE(OFFSET($BH$3,0,0,'Données projet'!$E$11+1,1))-AVERAGE(OFFSET($H$3,0,0,'Données projet'!$E$11+1,1))</f>
        <v>#N/A</v>
      </c>
      <c r="BJ52" s="59" t="e">
        <f t="shared" si="38"/>
        <v>#N/A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 t="e">
        <f>EXP(-LN(2)/35)*BP51+(1-EXP(-LN(2)/35))/(LN(2)/35)*BL52*BM52*VLOOKUP('Données projet'!$B$11,Paramètres!$A$1:$I$89,3,0)*0.475*44/12</f>
        <v>#N/A</v>
      </c>
      <c r="BQ52" s="21" t="e">
        <f>EXP(-LN(2)/25)*BQ51+(1-EXP(-LN(2)/25))/(LN(2)/25)*Calculateur!BL52*Calculateur!BN52*VLOOKUP('Données projet'!$B$11,Paramètres!$A$1:$I$89,3,0)*0.475*44/12</f>
        <v>#N/A</v>
      </c>
      <c r="BR52" s="21" t="e">
        <f>EXP(-LN(2)/2)*BR51+(1-EXP(-LN(2)/2))/(LN(2)/2)*BL52*BO52*VLOOKUP('Données projet'!$B$11,Paramètres!$A$1:$I$89,3,0)*0.475*44/12</f>
        <v>#N/A</v>
      </c>
      <c r="BS52" s="22" t="e">
        <f t="shared" si="9"/>
        <v>#N/A</v>
      </c>
      <c r="BT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">
      <c r="A53" s="10">
        <f t="shared" si="31"/>
        <v>50</v>
      </c>
      <c r="B53" s="72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29.899999999999984</v>
      </c>
      <c r="D53" s="11">
        <f t="shared" si="32"/>
        <v>9.2780162082062319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302.4267917826445</v>
      </c>
      <c r="H53" s="66">
        <f t="shared" si="1"/>
        <v>361.56837822929248</v>
      </c>
      <c r="I53" s="6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0</v>
      </c>
      <c r="N53" s="13">
        <f>IF('Données projet'!$A$36&gt;35,N52+M53-V52,IF(A53&lt;'Données projet'!$A$36,$K$205^A53,IF(A53='Données projet'!$A$36,'Données projet'!$B$36,N52+M53-V52)))</f>
        <v>0</v>
      </c>
      <c r="O53" s="13">
        <f>N53*VLOOKUP('Données projet'!$B$9,Paramètres!$A$1:$I$89,3,0)*VLOOKUP('Données projet'!$B$9,Paramètres!$A$1:$I$89,5,0)</f>
        <v>0</v>
      </c>
      <c r="P53" s="13" t="e">
        <f t="shared" si="33"/>
        <v>#NUM!</v>
      </c>
      <c r="Q53" s="20" t="e">
        <f t="shared" si="53"/>
        <v>#NUM!</v>
      </c>
      <c r="R53" s="59" t="e">
        <f t="shared" si="0"/>
        <v>#NUM!</v>
      </c>
      <c r="S53" s="59">
        <f ca="1">AVERAGE(OFFSET($R$3,0,0,'Données projet'!$E$9+1,1))-AVERAGE(OFFSET($H$3,0,0,'Données projet'!$E$9+1,1))</f>
        <v>148.39628895278571</v>
      </c>
      <c r="T53" s="59">
        <f t="shared" si="34"/>
        <v>361.07991692964788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83.115974019777212</v>
      </c>
      <c r="AA53" s="21">
        <f>EXP(-LN(2)/25)*AA52+(1-EXP(-LN(2)/25))/(LN(2)/25)*Calculateur!V53*Calculateur!X53*VLOOKUP('Données projet'!$B$9,Paramètres!$A$1:$I$89,3,0)*0.475*44/12</f>
        <v>8.2575959422468106</v>
      </c>
      <c r="AB53" s="21">
        <f>EXP(-LN(2)/2)*AB52+(1-EXP(-LN(2)/2))/(LN(2)/2)*V53*Y53*VLOOKUP('Données projet'!$B$9,Paramètres!$A$1:$I$89,3,0)*0.475*44/12</f>
        <v>4.3908208986870012E-5</v>
      </c>
      <c r="AC53" s="22">
        <f t="shared" si="3"/>
        <v>91.373613870233001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208.33</v>
      </c>
      <c r="AG53" s="12">
        <f>VLOOKUP(A53,'Données projet'!$A$61:$I$81,9,0)</f>
        <v>9.9475000000000016</v>
      </c>
      <c r="AH53" s="12">
        <f t="array" ref="AH53">INDEX(AG:AG,MIN(IF(ISNUMBER(AG53:AG249),ROW(AG53:AG249),"")))</f>
        <v>9.9475000000000016</v>
      </c>
      <c r="AI53" s="13">
        <f>IF('Données projet'!$A$62&gt;35,AI52+AH53-AQ52,IF(A53&lt;'Données projet'!$A$62,$AF$205^A53,IF(A53='Données projet'!$A$62,'Données projet'!$B$62,AI52+AH53-AQ52)))</f>
        <v>208.32999999999998</v>
      </c>
      <c r="AJ53" s="13">
        <f>AI53*VLOOKUP('Données projet'!$B$10,Paramètres!$A$1:$I$89,3,0)*VLOOKUP('Données projet'!$B$10,Paramètres!$A$1:$I$89,5,0)</f>
        <v>207.99667199999999</v>
      </c>
      <c r="AK53" s="13">
        <f t="shared" si="35"/>
        <v>51.49756420243137</v>
      </c>
      <c r="AL53" s="20">
        <f t="shared" si="4"/>
        <v>451.95246138590124</v>
      </c>
      <c r="AM53" s="59">
        <f t="shared" si="5"/>
        <v>745.28579471923456</v>
      </c>
      <c r="AN53" s="59">
        <f ca="1">AVERAGE(OFFSET($AM$3,0,0,'Données projet'!$E$10+1,1))-AVERAGE(OFFSET($H$3,0,0,'Données projet'!$E$10+1,1))</f>
        <v>525.29195699741149</v>
      </c>
      <c r="AO53" s="59">
        <f t="shared" si="36"/>
        <v>125.99812193007153</v>
      </c>
      <c r="AP53" s="15">
        <f>IF(ISNA(VLOOKUP(A53,'Données projet'!$A$61:$I$81,3,0)),0,VLOOKUP(A53,'Données projet'!$A$61:$I$81,3,0))</f>
        <v>2</v>
      </c>
      <c r="AQ53" s="15">
        <f>IF(ISNA(VLOOKUP(A53,'Données projet'!$A$61:$I$81,4,0)),0,VLOOKUP(A53,'Données projet'!$A$61:$I$81,4,0))</f>
        <v>35.58</v>
      </c>
      <c r="AR53" s="16">
        <f>IF(ISNA(VLOOKUP(A53,'Données projet'!$A$61:$I$81,5,0)),0%,VLOOKUP(A53,'Données projet'!$A$61:$I$81,5,0)*VLOOKUP('Données projet'!$B$10,Paramètres!$A$1:$I$89,7,0))</f>
        <v>0.43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34.388370393151945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34.388370393151945</v>
      </c>
      <c r="AY53" s="7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0</v>
      </c>
      <c r="BE53" s="13" t="e">
        <f>BD53*VLOOKUP('Données projet'!$B$11,Paramètres!$A$1:$I$89,3,0)*VLOOKUP('Données projet'!$B$11,Paramètres!$A$1:$I$89,5,0)</f>
        <v>#N/A</v>
      </c>
      <c r="BF53" s="13" t="e">
        <f t="shared" si="37"/>
        <v>#N/A</v>
      </c>
      <c r="BG53" s="20" t="e">
        <f t="shared" si="7"/>
        <v>#N/A</v>
      </c>
      <c r="BH53" s="59" t="e">
        <f t="shared" si="8"/>
        <v>#N/A</v>
      </c>
      <c r="BI53" s="59" t="e">
        <f ca="1">AVERAGE(OFFSET($BH$3,0,0,'Données projet'!$E$11+1,1))-AVERAGE(OFFSET($H$3,0,0,'Données projet'!$E$11+1,1))</f>
        <v>#N/A</v>
      </c>
      <c r="BJ53" s="59" t="e">
        <f t="shared" si="38"/>
        <v>#N/A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 t="e">
        <f>EXP(-LN(2)/35)*BP52+(1-EXP(-LN(2)/35))/(LN(2)/35)*BL53*BM53*VLOOKUP('Données projet'!$B$11,Paramètres!$A$1:$I$89,3,0)*0.475*44/12</f>
        <v>#N/A</v>
      </c>
      <c r="BQ53" s="21" t="e">
        <f>EXP(-LN(2)/25)*BQ52+(1-EXP(-LN(2)/25))/(LN(2)/25)*Calculateur!BL53*Calculateur!BN53*VLOOKUP('Données projet'!$B$11,Paramètres!$A$1:$I$89,3,0)*0.475*44/12</f>
        <v>#N/A</v>
      </c>
      <c r="BR53" s="21" t="e">
        <f>EXP(-LN(2)/2)*BR52+(1-EXP(-LN(2)/2))/(LN(2)/2)*BL53*BO53*VLOOKUP('Données projet'!$B$11,Paramètres!$A$1:$I$89,3,0)*0.475*44/12</f>
        <v>#N/A</v>
      </c>
      <c r="BS53" s="22" t="e">
        <f t="shared" si="9"/>
        <v>#N/A</v>
      </c>
      <c r="BT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">
      <c r="A54" s="10">
        <f t="shared" si="31"/>
        <v>51</v>
      </c>
      <c r="B54" s="72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30.497999999999983</v>
      </c>
      <c r="D54" s="11">
        <f t="shared" si="32"/>
        <v>9.4417878655064946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308.30713440040086</v>
      </c>
      <c r="H54" s="66">
        <f t="shared" si="1"/>
        <v>362.89513053242376</v>
      </c>
      <c r="I54" s="6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0</v>
      </c>
      <c r="N54" s="13">
        <f>IF('Données projet'!$A$36&gt;35,N53+M54-V53,IF(A54&lt;'Données projet'!$A$36,$K$205^A54,IF(A54='Données projet'!$A$36,'Données projet'!$B$36,N53+M54-V53)))</f>
        <v>0</v>
      </c>
      <c r="O54" s="13">
        <f>N54*VLOOKUP('Données projet'!$B$9,Paramètres!$A$1:$I$89,3,0)*VLOOKUP('Données projet'!$B$9,Paramètres!$A$1:$I$89,5,0)</f>
        <v>0</v>
      </c>
      <c r="P54" s="13" t="e">
        <f t="shared" si="33"/>
        <v>#NUM!</v>
      </c>
      <c r="Q54" s="20" t="e">
        <f t="shared" si="53"/>
        <v>#NUM!</v>
      </c>
      <c r="R54" s="59" t="e">
        <f t="shared" si="0"/>
        <v>#NUM!</v>
      </c>
      <c r="S54" s="59">
        <f ca="1">AVERAGE(OFFSET($R$3,0,0,'Données projet'!$E$9+1,1))-AVERAGE(OFFSET($H$3,0,0,'Données projet'!$E$9+1,1))</f>
        <v>148.39628895278571</v>
      </c>
      <c r="T54" s="59">
        <f t="shared" si="34"/>
        <v>361.07991692964788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81.486120464987749</v>
      </c>
      <c r="AA54" s="21">
        <f>EXP(-LN(2)/25)*AA53+(1-EXP(-LN(2)/25))/(LN(2)/25)*Calculateur!V54*Calculateur!X54*VLOOKUP('Données projet'!$B$9,Paramètres!$A$1:$I$89,3,0)*0.475*44/12</f>
        <v>8.0317915469579741</v>
      </c>
      <c r="AB54" s="21">
        <f>EXP(-LN(2)/2)*AB53+(1-EXP(-LN(2)/2))/(LN(2)/2)*V54*Y54*VLOOKUP('Données projet'!$B$9,Paramètres!$A$1:$I$89,3,0)*0.475*44/12</f>
        <v>3.1047792324371893E-5</v>
      </c>
      <c r="AC54" s="22">
        <f t="shared" si="3"/>
        <v>89.517943059738045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10.118749999999999</v>
      </c>
      <c r="AI54" s="13">
        <f>IF('Données projet'!$A$62&gt;35,AI53+AH54-AQ53,IF(A54&lt;'Données projet'!$A$62,$AF$205^A54,IF(A54='Données projet'!$A$62,'Données projet'!$B$62,AI53+AH54-AQ53)))</f>
        <v>182.86874999999998</v>
      </c>
      <c r="AJ54" s="13">
        <f>AI54*VLOOKUP('Données projet'!$B$10,Paramètres!$A$1:$I$89,3,0)*VLOOKUP('Données projet'!$B$10,Paramètres!$A$1:$I$89,5,0)</f>
        <v>182.57615999999999</v>
      </c>
      <c r="AK54" s="13">
        <f t="shared" si="35"/>
        <v>45.894859418657568</v>
      </c>
      <c r="AL54" s="20">
        <f t="shared" si="4"/>
        <v>397.92035882082854</v>
      </c>
      <c r="AM54" s="59">
        <f t="shared" si="5"/>
        <v>691.25369215416185</v>
      </c>
      <c r="AN54" s="59">
        <f ca="1">AVERAGE(OFFSET($AM$3,0,0,'Données projet'!$E$10+1,1))-AVERAGE(OFFSET($H$3,0,0,'Données projet'!$E$10+1,1))</f>
        <v>525.29195699741149</v>
      </c>
      <c r="AO54" s="59">
        <f t="shared" si="36"/>
        <v>125.99812193007153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33.714035424577084</v>
      </c>
      <c r="AV54" s="21">
        <f>EXP(-LN(2)/25)*AV53+(1-EXP(-LN(2)/25))/(LN(2)/25)*Calculateur!AQ54*Calculateur!AS54*VLOOKUP('Données projet'!$B$10,Paramètres!$A$1:$I$89,3,0)*0.475*44/12</f>
        <v>0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33.714035424577084</v>
      </c>
      <c r="AY54" s="7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0</v>
      </c>
      <c r="BE54" s="13" t="e">
        <f>BD54*VLOOKUP('Données projet'!$B$11,Paramètres!$A$1:$I$89,3,0)*VLOOKUP('Données projet'!$B$11,Paramètres!$A$1:$I$89,5,0)</f>
        <v>#N/A</v>
      </c>
      <c r="BF54" s="13" t="e">
        <f t="shared" si="37"/>
        <v>#N/A</v>
      </c>
      <c r="BG54" s="20" t="e">
        <f t="shared" si="7"/>
        <v>#N/A</v>
      </c>
      <c r="BH54" s="59" t="e">
        <f t="shared" si="8"/>
        <v>#N/A</v>
      </c>
      <c r="BI54" s="59" t="e">
        <f ca="1">AVERAGE(OFFSET($BH$3,0,0,'Données projet'!$E$11+1,1))-AVERAGE(OFFSET($H$3,0,0,'Données projet'!$E$11+1,1))</f>
        <v>#N/A</v>
      </c>
      <c r="BJ54" s="59" t="e">
        <f t="shared" si="38"/>
        <v>#N/A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 t="e">
        <f>EXP(-LN(2)/35)*BP53+(1-EXP(-LN(2)/35))/(LN(2)/35)*BL54*BM54*VLOOKUP('Données projet'!$B$11,Paramètres!$A$1:$I$89,3,0)*0.475*44/12</f>
        <v>#N/A</v>
      </c>
      <c r="BQ54" s="21" t="e">
        <f>EXP(-LN(2)/25)*BQ53+(1-EXP(-LN(2)/25))/(LN(2)/25)*Calculateur!BL54*Calculateur!BN54*VLOOKUP('Données projet'!$B$11,Paramètres!$A$1:$I$89,3,0)*0.475*44/12</f>
        <v>#N/A</v>
      </c>
      <c r="BR54" s="21" t="e">
        <f>EXP(-LN(2)/2)*BR53+(1-EXP(-LN(2)/2))/(LN(2)/2)*BL54*BO54*VLOOKUP('Données projet'!$B$11,Paramètres!$A$1:$I$89,3,0)*0.475*44/12</f>
        <v>#N/A</v>
      </c>
      <c r="BS54" s="22" t="e">
        <f t="shared" si="9"/>
        <v>#N/A</v>
      </c>
      <c r="BT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">
      <c r="A55" s="10">
        <f t="shared" si="31"/>
        <v>52</v>
      </c>
      <c r="B55" s="72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31.095999999999982</v>
      </c>
      <c r="D55" s="11">
        <f t="shared" si="32"/>
        <v>9.6051861390214377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314.18459475735835</v>
      </c>
      <c r="H55" s="66">
        <f t="shared" si="1"/>
        <v>364.22123252546226</v>
      </c>
      <c r="I55" s="6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0</v>
      </c>
      <c r="N55" s="13">
        <f>IF('Données projet'!$A$36&gt;35,N54+M55-V54,IF(A55&lt;'Données projet'!$A$36,$K$205^A55,IF(A55='Données projet'!$A$36,'Données projet'!$B$36,N54+M55-V54)))</f>
        <v>0</v>
      </c>
      <c r="O55" s="13">
        <f>N55*VLOOKUP('Données projet'!$B$9,Paramètres!$A$1:$I$89,3,0)*VLOOKUP('Données projet'!$B$9,Paramètres!$A$1:$I$89,5,0)</f>
        <v>0</v>
      </c>
      <c r="P55" s="13" t="e">
        <f t="shared" si="33"/>
        <v>#NUM!</v>
      </c>
      <c r="Q55" s="20" t="e">
        <f t="shared" si="53"/>
        <v>#NUM!</v>
      </c>
      <c r="R55" s="59" t="e">
        <f t="shared" si="0"/>
        <v>#NUM!</v>
      </c>
      <c r="S55" s="59">
        <f ca="1">AVERAGE(OFFSET($R$3,0,0,'Données projet'!$E$9+1,1))-AVERAGE(OFFSET($H$3,0,0,'Données projet'!$E$9+1,1))</f>
        <v>148.39628895278571</v>
      </c>
      <c r="T55" s="59">
        <f t="shared" si="34"/>
        <v>361.07991692964788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79.888227344295188</v>
      </c>
      <c r="AA55" s="21">
        <f>EXP(-LN(2)/25)*AA54+(1-EXP(-LN(2)/25))/(LN(2)/25)*Calculateur!V55*Calculateur!X55*VLOOKUP('Données projet'!$B$9,Paramètres!$A$1:$I$89,3,0)*0.475*44/12</f>
        <v>7.8121617847328482</v>
      </c>
      <c r="AB55" s="21">
        <f>EXP(-LN(2)/2)*AB54+(1-EXP(-LN(2)/2))/(LN(2)/2)*V55*Y55*VLOOKUP('Données projet'!$B$9,Paramètres!$A$1:$I$89,3,0)*0.475*44/12</f>
        <v>2.1954104493435006E-5</v>
      </c>
      <c r="AC55" s="22">
        <f t="shared" si="3"/>
        <v>87.700411083132536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10.118749999999999</v>
      </c>
      <c r="AI55" s="13">
        <f>IF('Données projet'!$A$62&gt;35,AI54+AH55-AQ54,IF(A55&lt;'Données projet'!$A$62,$AF$205^A55,IF(A55='Données projet'!$A$62,'Données projet'!$B$62,AI54+AH55-AQ54)))</f>
        <v>192.98749999999998</v>
      </c>
      <c r="AJ55" s="13">
        <f>AI55*VLOOKUP('Données projet'!$B$10,Paramètres!$A$1:$I$89,3,0)*VLOOKUP('Données projet'!$B$10,Paramètres!$A$1:$I$89,5,0)</f>
        <v>192.67872</v>
      </c>
      <c r="AK55" s="13">
        <f t="shared" si="35"/>
        <v>48.131696398355587</v>
      </c>
      <c r="AL55" s="20">
        <f t="shared" si="4"/>
        <v>419.41147522713595</v>
      </c>
      <c r="AM55" s="59">
        <f t="shared" si="5"/>
        <v>712.74480856046921</v>
      </c>
      <c r="AN55" s="59">
        <f ca="1">AVERAGE(OFFSET($AM$3,0,0,'Données projet'!$E$10+1,1))-AVERAGE(OFFSET($H$3,0,0,'Données projet'!$E$10+1,1))</f>
        <v>525.29195699741149</v>
      </c>
      <c r="AO55" s="59">
        <f t="shared" si="36"/>
        <v>125.99812193007153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33.052923753432253</v>
      </c>
      <c r="AV55" s="21">
        <f>EXP(-LN(2)/25)*AV54+(1-EXP(-LN(2)/25))/(LN(2)/25)*Calculateur!AQ55*Calculateur!AS55*VLOOKUP('Données projet'!$B$10,Paramètres!$A$1:$I$89,3,0)*0.475*44/12</f>
        <v>0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33.052923753432253</v>
      </c>
      <c r="AY55" s="7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0</v>
      </c>
      <c r="BE55" s="13" t="e">
        <f>BD55*VLOOKUP('Données projet'!$B$11,Paramètres!$A$1:$I$89,3,0)*VLOOKUP('Données projet'!$B$11,Paramètres!$A$1:$I$89,5,0)</f>
        <v>#N/A</v>
      </c>
      <c r="BF55" s="13" t="e">
        <f t="shared" si="37"/>
        <v>#N/A</v>
      </c>
      <c r="BG55" s="20" t="e">
        <f t="shared" si="7"/>
        <v>#N/A</v>
      </c>
      <c r="BH55" s="59" t="e">
        <f t="shared" si="8"/>
        <v>#N/A</v>
      </c>
      <c r="BI55" s="59" t="e">
        <f ca="1">AVERAGE(OFFSET($BH$3,0,0,'Données projet'!$E$11+1,1))-AVERAGE(OFFSET($H$3,0,0,'Données projet'!$E$11+1,1))</f>
        <v>#N/A</v>
      </c>
      <c r="BJ55" s="59" t="e">
        <f t="shared" si="38"/>
        <v>#N/A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 t="e">
        <f>EXP(-LN(2)/35)*BP54+(1-EXP(-LN(2)/35))/(LN(2)/35)*BL55*BM55*VLOOKUP('Données projet'!$B$11,Paramètres!$A$1:$I$89,3,0)*0.475*44/12</f>
        <v>#N/A</v>
      </c>
      <c r="BQ55" s="21" t="e">
        <f>EXP(-LN(2)/25)*BQ54+(1-EXP(-LN(2)/25))/(LN(2)/25)*Calculateur!BL55*Calculateur!BN55*VLOOKUP('Données projet'!$B$11,Paramètres!$A$1:$I$89,3,0)*0.475*44/12</f>
        <v>#N/A</v>
      </c>
      <c r="BR55" s="21" t="e">
        <f>EXP(-LN(2)/2)*BR54+(1-EXP(-LN(2)/2))/(LN(2)/2)*BL55*BO55*VLOOKUP('Données projet'!$B$11,Paramètres!$A$1:$I$89,3,0)*0.475*44/12</f>
        <v>#N/A</v>
      </c>
      <c r="BS55" s="22" t="e">
        <f t="shared" si="9"/>
        <v>#N/A</v>
      </c>
      <c r="BT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">
      <c r="A56" s="10">
        <f t="shared" si="31"/>
        <v>53</v>
      </c>
      <c r="B56" s="72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31.693999999999981</v>
      </c>
      <c r="D56" s="11">
        <f t="shared" si="32"/>
        <v>9.768219037044215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320.05923467192008</v>
      </c>
      <c r="H56" s="66">
        <f t="shared" si="1"/>
        <v>365.54669815618524</v>
      </c>
      <c r="I56" s="6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0</v>
      </c>
      <c r="N56" s="13">
        <f>IF('Données projet'!$A$36&gt;35,N55+M56-V55,IF(A56&lt;'Données projet'!$A$36,$K$205^A56,IF(A56='Données projet'!$A$36,'Données projet'!$B$36,N55+M56-V55)))</f>
        <v>0</v>
      </c>
      <c r="O56" s="13">
        <f>N56*VLOOKUP('Données projet'!$B$9,Paramètres!$A$1:$I$89,3,0)*VLOOKUP('Données projet'!$B$9,Paramètres!$A$1:$I$89,5,0)</f>
        <v>0</v>
      </c>
      <c r="P56" s="13" t="e">
        <f t="shared" si="33"/>
        <v>#NUM!</v>
      </c>
      <c r="Q56" s="20" t="e">
        <f t="shared" si="53"/>
        <v>#NUM!</v>
      </c>
      <c r="R56" s="59" t="e">
        <f t="shared" si="0"/>
        <v>#NUM!</v>
      </c>
      <c r="S56" s="59">
        <f ca="1">AVERAGE(OFFSET($R$3,0,0,'Données projet'!$E$9+1,1))-AVERAGE(OFFSET($H$3,0,0,'Données projet'!$E$9+1,1))</f>
        <v>148.39628895278571</v>
      </c>
      <c r="T56" s="59">
        <f t="shared" si="34"/>
        <v>361.07991692964788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78.321667933080846</v>
      </c>
      <c r="AA56" s="21">
        <f>EXP(-LN(2)/25)*AA55+(1-EXP(-LN(2)/25))/(LN(2)/25)*Calculateur!V56*Calculateur!X56*VLOOKUP('Données projet'!$B$9,Paramètres!$A$1:$I$89,3,0)*0.475*44/12</f>
        <v>7.5985378099055954</v>
      </c>
      <c r="AB56" s="21">
        <f>EXP(-LN(2)/2)*AB55+(1-EXP(-LN(2)/2))/(LN(2)/2)*V56*Y56*VLOOKUP('Données projet'!$B$9,Paramètres!$A$1:$I$89,3,0)*0.475*44/12</f>
        <v>1.5523896162185947E-5</v>
      </c>
      <c r="AC56" s="22">
        <f t="shared" si="3"/>
        <v>85.920221266882606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10.118749999999999</v>
      </c>
      <c r="AI56" s="13">
        <f>IF('Données projet'!$A$62&gt;35,AI55+AH56-AQ55,IF(A56&lt;'Données projet'!$A$62,$AF$205^A56,IF(A56='Données projet'!$A$62,'Données projet'!$B$62,AI55+AH56-AQ55)))</f>
        <v>203.10624999999999</v>
      </c>
      <c r="AJ56" s="13">
        <f>AI56*VLOOKUP('Données projet'!$B$10,Paramètres!$A$1:$I$89,3,0)*VLOOKUP('Données projet'!$B$10,Paramètres!$A$1:$I$89,5,0)</f>
        <v>202.78128000000001</v>
      </c>
      <c r="AK56" s="13">
        <f t="shared" si="35"/>
        <v>50.354916720323885</v>
      </c>
      <c r="AL56" s="20">
        <f t="shared" si="4"/>
        <v>440.87887595456408</v>
      </c>
      <c r="AM56" s="59">
        <f t="shared" si="5"/>
        <v>734.21220928789739</v>
      </c>
      <c r="AN56" s="59">
        <f ca="1">AVERAGE(OFFSET($AM$3,0,0,'Données projet'!$E$10+1,1))-AVERAGE(OFFSET($H$3,0,0,'Données projet'!$E$10+1,1))</f>
        <v>525.29195699741149</v>
      </c>
      <c r="AO56" s="59">
        <f t="shared" si="36"/>
        <v>125.99812193007153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32.404776078920271</v>
      </c>
      <c r="AV56" s="21">
        <f>EXP(-LN(2)/25)*AV55+(1-EXP(-LN(2)/25))/(LN(2)/25)*Calculateur!AQ56*Calculateur!AS56*VLOOKUP('Données projet'!$B$10,Paramètres!$A$1:$I$89,3,0)*0.475*44/12</f>
        <v>0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32.404776078920271</v>
      </c>
      <c r="AY56" s="7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0</v>
      </c>
      <c r="BE56" s="13" t="e">
        <f>BD56*VLOOKUP('Données projet'!$B$11,Paramètres!$A$1:$I$89,3,0)*VLOOKUP('Données projet'!$B$11,Paramètres!$A$1:$I$89,5,0)</f>
        <v>#N/A</v>
      </c>
      <c r="BF56" s="13" t="e">
        <f t="shared" si="37"/>
        <v>#N/A</v>
      </c>
      <c r="BG56" s="20" t="e">
        <f t="shared" si="7"/>
        <v>#N/A</v>
      </c>
      <c r="BH56" s="59" t="e">
        <f t="shared" si="8"/>
        <v>#N/A</v>
      </c>
      <c r="BI56" s="59" t="e">
        <f ca="1">AVERAGE(OFFSET($BH$3,0,0,'Données projet'!$E$11+1,1))-AVERAGE(OFFSET($H$3,0,0,'Données projet'!$E$11+1,1))</f>
        <v>#N/A</v>
      </c>
      <c r="BJ56" s="59" t="e">
        <f t="shared" si="38"/>
        <v>#N/A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 t="e">
        <f>EXP(-LN(2)/35)*BP55+(1-EXP(-LN(2)/35))/(LN(2)/35)*BL56*BM56*VLOOKUP('Données projet'!$B$11,Paramètres!$A$1:$I$89,3,0)*0.475*44/12</f>
        <v>#N/A</v>
      </c>
      <c r="BQ56" s="21" t="e">
        <f>EXP(-LN(2)/25)*BQ55+(1-EXP(-LN(2)/25))/(LN(2)/25)*Calculateur!BL56*Calculateur!BN56*VLOOKUP('Données projet'!$B$11,Paramètres!$A$1:$I$89,3,0)*0.475*44/12</f>
        <v>#N/A</v>
      </c>
      <c r="BR56" s="21" t="e">
        <f>EXP(-LN(2)/2)*BR55+(1-EXP(-LN(2)/2))/(LN(2)/2)*BL56*BO56*VLOOKUP('Données projet'!$B$11,Paramètres!$A$1:$I$89,3,0)*0.475*44/12</f>
        <v>#N/A</v>
      </c>
      <c r="BS56" s="22" t="e">
        <f t="shared" si="9"/>
        <v>#N/A</v>
      </c>
      <c r="BT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">
      <c r="A57" s="10">
        <f t="shared" si="31"/>
        <v>54</v>
      </c>
      <c r="B57" s="72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32.29199999999998</v>
      </c>
      <c r="D57" s="11">
        <f t="shared" si="32"/>
        <v>9.9308942483743348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325.93111349622279</v>
      </c>
      <c r="H57" s="66">
        <f t="shared" si="1"/>
        <v>366.87154081591859</v>
      </c>
      <c r="I57" s="6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0</v>
      </c>
      <c r="N57" s="13">
        <f>IF('Données projet'!$A$36&gt;35,N56+M57-V56,IF(A57&lt;'Données projet'!$A$36,$K$205^A57,IF(A57='Données projet'!$A$36,'Données projet'!$B$36,N56+M57-V56)))</f>
        <v>0</v>
      </c>
      <c r="O57" s="13">
        <f>N57*VLOOKUP('Données projet'!$B$9,Paramètres!$A$1:$I$89,3,0)*VLOOKUP('Données projet'!$B$9,Paramètres!$A$1:$I$89,5,0)</f>
        <v>0</v>
      </c>
      <c r="P57" s="13" t="e">
        <f t="shared" si="33"/>
        <v>#NUM!</v>
      </c>
      <c r="Q57" s="20" t="e">
        <f t="shared" si="53"/>
        <v>#NUM!</v>
      </c>
      <c r="R57" s="59" t="e">
        <f t="shared" si="0"/>
        <v>#NUM!</v>
      </c>
      <c r="S57" s="59">
        <f ca="1">AVERAGE(OFFSET($R$3,0,0,'Données projet'!$E$9+1,1))-AVERAGE(OFFSET($H$3,0,0,'Données projet'!$E$9+1,1))</f>
        <v>148.39628895278571</v>
      </c>
      <c r="T57" s="59">
        <f t="shared" si="34"/>
        <v>361.07991692964788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76.785827796413528</v>
      </c>
      <c r="AA57" s="21">
        <f>EXP(-LN(2)/25)*AA56+(1-EXP(-LN(2)/25))/(LN(2)/25)*Calculateur!V57*Calculateur!X57*VLOOKUP('Données projet'!$B$9,Paramètres!$A$1:$I$89,3,0)*0.475*44/12</f>
        <v>7.3907553939039898</v>
      </c>
      <c r="AB57" s="21">
        <f>EXP(-LN(2)/2)*AB56+(1-EXP(-LN(2)/2))/(LN(2)/2)*V57*Y57*VLOOKUP('Données projet'!$B$9,Paramètres!$A$1:$I$89,3,0)*0.475*44/12</f>
        <v>1.0977052246717503E-5</v>
      </c>
      <c r="AC57" s="22">
        <f t="shared" si="3"/>
        <v>84.176594167369757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10.118749999999999</v>
      </c>
      <c r="AI57" s="13">
        <f>IF('Données projet'!$A$62&gt;35,AI56+AH57-AQ56,IF(A57&lt;'Données projet'!$A$62,$AF$205^A57,IF(A57='Données projet'!$A$62,'Données projet'!$B$62,AI56+AH57-AQ56)))</f>
        <v>213.22499999999999</v>
      </c>
      <c r="AJ57" s="13">
        <f>AI57*VLOOKUP('Données projet'!$B$10,Paramètres!$A$1:$I$89,3,0)*VLOOKUP('Données projet'!$B$10,Paramètres!$A$1:$I$89,5,0)</f>
        <v>212.88383999999999</v>
      </c>
      <c r="AK57" s="13">
        <f t="shared" si="35"/>
        <v>52.56527617845709</v>
      </c>
      <c r="AL57" s="20">
        <f t="shared" si="4"/>
        <v>462.32387734414601</v>
      </c>
      <c r="AM57" s="59">
        <f t="shared" si="5"/>
        <v>755.65721067747927</v>
      </c>
      <c r="AN57" s="59">
        <f ca="1">AVERAGE(OFFSET($AM$3,0,0,'Données projet'!$E$10+1,1))-AVERAGE(OFFSET($H$3,0,0,'Données projet'!$E$10+1,1))</f>
        <v>525.29195699741149</v>
      </c>
      <c r="AO57" s="59">
        <f t="shared" si="36"/>
        <v>125.99812193007153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31.769338184974426</v>
      </c>
      <c r="AV57" s="21">
        <f>EXP(-LN(2)/25)*AV56+(1-EXP(-LN(2)/25))/(LN(2)/25)*Calculateur!AQ57*Calculateur!AS57*VLOOKUP('Données projet'!$B$10,Paramètres!$A$1:$I$89,3,0)*0.475*44/12</f>
        <v>0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31.769338184974426</v>
      </c>
      <c r="AY57" s="7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0</v>
      </c>
      <c r="BE57" s="13" t="e">
        <f>BD57*VLOOKUP('Données projet'!$B$11,Paramètres!$A$1:$I$89,3,0)*VLOOKUP('Données projet'!$B$11,Paramètres!$A$1:$I$89,5,0)</f>
        <v>#N/A</v>
      </c>
      <c r="BF57" s="13" t="e">
        <f t="shared" si="37"/>
        <v>#N/A</v>
      </c>
      <c r="BG57" s="20" t="e">
        <f t="shared" si="7"/>
        <v>#N/A</v>
      </c>
      <c r="BH57" s="59" t="e">
        <f t="shared" si="8"/>
        <v>#N/A</v>
      </c>
      <c r="BI57" s="59" t="e">
        <f ca="1">AVERAGE(OFFSET($BH$3,0,0,'Données projet'!$E$11+1,1))-AVERAGE(OFFSET($H$3,0,0,'Données projet'!$E$11+1,1))</f>
        <v>#N/A</v>
      </c>
      <c r="BJ57" s="59" t="e">
        <f t="shared" si="38"/>
        <v>#N/A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 t="e">
        <f>EXP(-LN(2)/35)*BP56+(1-EXP(-LN(2)/35))/(LN(2)/35)*BL57*BM57*VLOOKUP('Données projet'!$B$11,Paramètres!$A$1:$I$89,3,0)*0.475*44/12</f>
        <v>#N/A</v>
      </c>
      <c r="BQ57" s="21" t="e">
        <f>EXP(-LN(2)/25)*BQ56+(1-EXP(-LN(2)/25))/(LN(2)/25)*Calculateur!BL57*Calculateur!BN57*VLOOKUP('Données projet'!$B$11,Paramètres!$A$1:$I$89,3,0)*0.475*44/12</f>
        <v>#N/A</v>
      </c>
      <c r="BR57" s="21" t="e">
        <f>EXP(-LN(2)/2)*BR56+(1-EXP(-LN(2)/2))/(LN(2)/2)*BL57*BO57*VLOOKUP('Données projet'!$B$11,Paramètres!$A$1:$I$89,3,0)*0.475*44/12</f>
        <v>#N/A</v>
      </c>
      <c r="BS57" s="22" t="e">
        <f t="shared" si="9"/>
        <v>#N/A</v>
      </c>
      <c r="BT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">
      <c r="A58" s="10">
        <f t="shared" si="31"/>
        <v>55</v>
      </c>
      <c r="B58" s="72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32.889999999999979</v>
      </c>
      <c r="D58" s="11">
        <f t="shared" si="32"/>
        <v>10.093219160740317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331.80028825834614</v>
      </c>
      <c r="H58" s="66">
        <f t="shared" si="1"/>
        <v>368.19577337162264</v>
      </c>
      <c r="I58" s="6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0</v>
      </c>
      <c r="N58" s="13">
        <f>IF('Données projet'!$A$36&gt;35,N57+M58-V57,IF(A58&lt;'Données projet'!$A$36,$K$205^A58,IF(A58='Données projet'!$A$36,'Données projet'!$B$36,N57+M58-V57)))</f>
        <v>0</v>
      </c>
      <c r="O58" s="13">
        <f>N58*VLOOKUP('Données projet'!$B$9,Paramètres!$A$1:$I$89,3,0)*VLOOKUP('Données projet'!$B$9,Paramètres!$A$1:$I$89,5,0)</f>
        <v>0</v>
      </c>
      <c r="P58" s="13" t="e">
        <f t="shared" si="33"/>
        <v>#NUM!</v>
      </c>
      <c r="Q58" s="20" t="e">
        <f t="shared" si="53"/>
        <v>#NUM!</v>
      </c>
      <c r="R58" s="59" t="e">
        <f t="shared" si="0"/>
        <v>#NUM!</v>
      </c>
      <c r="S58" s="59">
        <f ca="1">AVERAGE(OFFSET($R$3,0,0,'Données projet'!$E$9+1,1))-AVERAGE(OFFSET($H$3,0,0,'Données projet'!$E$9+1,1))</f>
        <v>148.39628895278571</v>
      </c>
      <c r="T58" s="59">
        <f t="shared" si="34"/>
        <v>361.07991692964788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75.280104548056272</v>
      </c>
      <c r="AA58" s="21">
        <f>EXP(-LN(2)/25)*AA57+(1-EXP(-LN(2)/25))/(LN(2)/25)*Calculateur!V58*Calculateur!X58*VLOOKUP('Données projet'!$B$9,Paramètres!$A$1:$I$89,3,0)*0.475*44/12</f>
        <v>7.1886547989947509</v>
      </c>
      <c r="AB58" s="21">
        <f>EXP(-LN(2)/2)*AB57+(1-EXP(-LN(2)/2))/(LN(2)/2)*V58*Y58*VLOOKUP('Données projet'!$B$9,Paramètres!$A$1:$I$89,3,0)*0.475*44/12</f>
        <v>7.7619480810929733E-6</v>
      </c>
      <c r="AC58" s="22">
        <f t="shared" si="3"/>
        <v>82.468767108999103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10.118749999999999</v>
      </c>
      <c r="AI58" s="13">
        <f>IF('Données projet'!$A$62&gt;35,AI57+AH58-AQ57,IF(A58&lt;'Données projet'!$A$62,$AF$205^A58,IF(A58='Données projet'!$A$62,'Données projet'!$B$62,AI57+AH58-AQ57)))</f>
        <v>223.34375</v>
      </c>
      <c r="AJ58" s="13">
        <f>AI58*VLOOKUP('Données projet'!$B$10,Paramètres!$A$1:$I$89,3,0)*VLOOKUP('Données projet'!$B$10,Paramètres!$A$1:$I$89,5,0)</f>
        <v>222.9864</v>
      </c>
      <c r="AK58" s="13">
        <f t="shared" si="35"/>
        <v>54.763454779688573</v>
      </c>
      <c r="AL58" s="20">
        <f t="shared" si="4"/>
        <v>483.74766374129086</v>
      </c>
      <c r="AM58" s="59">
        <f t="shared" si="5"/>
        <v>777.08099707462418</v>
      </c>
      <c r="AN58" s="59">
        <f ca="1">AVERAGE(OFFSET($AM$3,0,0,'Données projet'!$E$10+1,1))-AVERAGE(OFFSET($H$3,0,0,'Données projet'!$E$10+1,1))</f>
        <v>525.29195699741149</v>
      </c>
      <c r="AO58" s="59">
        <f t="shared" si="36"/>
        <v>125.99812193007153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31.146360840550013</v>
      </c>
      <c r="AV58" s="21">
        <f>EXP(-LN(2)/25)*AV57+(1-EXP(-LN(2)/25))/(LN(2)/25)*Calculateur!AQ58*Calculateur!AS58*VLOOKUP('Données projet'!$B$10,Paramètres!$A$1:$I$89,3,0)*0.475*44/12</f>
        <v>0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31.146360840550013</v>
      </c>
      <c r="AY58" s="7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0</v>
      </c>
      <c r="BE58" s="13" t="e">
        <f>BD58*VLOOKUP('Données projet'!$B$11,Paramètres!$A$1:$I$89,3,0)*VLOOKUP('Données projet'!$B$11,Paramètres!$A$1:$I$89,5,0)</f>
        <v>#N/A</v>
      </c>
      <c r="BF58" s="13" t="e">
        <f t="shared" si="37"/>
        <v>#N/A</v>
      </c>
      <c r="BG58" s="20" t="e">
        <f t="shared" si="7"/>
        <v>#N/A</v>
      </c>
      <c r="BH58" s="59" t="e">
        <f t="shared" si="8"/>
        <v>#N/A</v>
      </c>
      <c r="BI58" s="59" t="e">
        <f ca="1">AVERAGE(OFFSET($BH$3,0,0,'Données projet'!$E$11+1,1))-AVERAGE(OFFSET($H$3,0,0,'Données projet'!$E$11+1,1))</f>
        <v>#N/A</v>
      </c>
      <c r="BJ58" s="59" t="e">
        <f t="shared" si="38"/>
        <v>#N/A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 t="e">
        <f>EXP(-LN(2)/35)*BP57+(1-EXP(-LN(2)/35))/(LN(2)/35)*BL58*BM58*VLOOKUP('Données projet'!$B$11,Paramètres!$A$1:$I$89,3,0)*0.475*44/12</f>
        <v>#N/A</v>
      </c>
      <c r="BQ58" s="21" t="e">
        <f>EXP(-LN(2)/25)*BQ57+(1-EXP(-LN(2)/25))/(LN(2)/25)*Calculateur!BL58*Calculateur!BN58*VLOOKUP('Données projet'!$B$11,Paramètres!$A$1:$I$89,3,0)*0.475*44/12</f>
        <v>#N/A</v>
      </c>
      <c r="BR58" s="21" t="e">
        <f>EXP(-LN(2)/2)*BR57+(1-EXP(-LN(2)/2))/(LN(2)/2)*BL58*BO58*VLOOKUP('Données projet'!$B$11,Paramètres!$A$1:$I$89,3,0)*0.475*44/12</f>
        <v>#N/A</v>
      </c>
      <c r="BS58" s="22" t="e">
        <f t="shared" si="9"/>
        <v>#N/A</v>
      </c>
      <c r="BT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">
      <c r="A59" s="10">
        <f t="shared" si="31"/>
        <v>56</v>
      </c>
      <c r="B59" s="72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33.487999999999978</v>
      </c>
      <c r="D59" s="11">
        <f t="shared" si="32"/>
        <v>10.255200877844658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337.66681379388842</v>
      </c>
      <c r="H59" s="66">
        <f t="shared" si="1"/>
        <v>369.51940819557939</v>
      </c>
      <c r="I59" s="6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0</v>
      </c>
      <c r="N59" s="13">
        <f>IF('Données projet'!$A$36&gt;35,N58+M59-V58,IF(A59&lt;'Données projet'!$A$36,$K$205^A59,IF(A59='Données projet'!$A$36,'Données projet'!$B$36,N58+M59-V58)))</f>
        <v>0</v>
      </c>
      <c r="O59" s="13">
        <f>N59*VLOOKUP('Données projet'!$B$9,Paramètres!$A$1:$I$89,3,0)*VLOOKUP('Données projet'!$B$9,Paramètres!$A$1:$I$89,5,0)</f>
        <v>0</v>
      </c>
      <c r="P59" s="13" t="e">
        <f t="shared" si="33"/>
        <v>#NUM!</v>
      </c>
      <c r="Q59" s="20" t="e">
        <f t="shared" si="53"/>
        <v>#NUM!</v>
      </c>
      <c r="R59" s="59" t="e">
        <f t="shared" si="0"/>
        <v>#NUM!</v>
      </c>
      <c r="S59" s="59">
        <f ca="1">AVERAGE(OFFSET($R$3,0,0,'Données projet'!$E$9+1,1))-AVERAGE(OFFSET($H$3,0,0,'Données projet'!$E$9+1,1))</f>
        <v>148.39628895278571</v>
      </c>
      <c r="T59" s="59">
        <f t="shared" si="34"/>
        <v>361.07991692964788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73.803907614198806</v>
      </c>
      <c r="AA59" s="21">
        <f>EXP(-LN(2)/25)*AA58+(1-EXP(-LN(2)/25))/(LN(2)/25)*Calculateur!V59*Calculateur!X59*VLOOKUP('Données projet'!$B$9,Paramètres!$A$1:$I$89,3,0)*0.475*44/12</f>
        <v>6.9920806554813133</v>
      </c>
      <c r="AB59" s="21">
        <f>EXP(-LN(2)/2)*AB58+(1-EXP(-LN(2)/2))/(LN(2)/2)*V59*Y59*VLOOKUP('Données projet'!$B$9,Paramètres!$A$1:$I$89,3,0)*0.475*44/12</f>
        <v>5.4885261233587515E-6</v>
      </c>
      <c r="AC59" s="22">
        <f t="shared" si="3"/>
        <v>80.795993758206251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10.118749999999999</v>
      </c>
      <c r="AI59" s="13">
        <f>IF('Données projet'!$A$62&gt;35,AI58+AH59-AQ58,IF(A59&lt;'Données projet'!$A$62,$AF$205^A59,IF(A59='Données projet'!$A$62,'Données projet'!$B$62,AI58+AH59-AQ58)))</f>
        <v>233.46250000000001</v>
      </c>
      <c r="AJ59" s="13">
        <f>AI59*VLOOKUP('Données projet'!$B$10,Paramètres!$A$1:$I$89,3,0)*VLOOKUP('Données projet'!$B$10,Paramètres!$A$1:$I$89,5,0)</f>
        <v>233.08896000000001</v>
      </c>
      <c r="AK59" s="13">
        <f t="shared" si="35"/>
        <v>56.950067431494489</v>
      </c>
      <c r="AL59" s="20">
        <f t="shared" si="4"/>
        <v>505.15130610985284</v>
      </c>
      <c r="AM59" s="59">
        <f t="shared" si="5"/>
        <v>798.4846394431861</v>
      </c>
      <c r="AN59" s="59">
        <f ca="1">AVERAGE(OFFSET($AM$3,0,0,'Données projet'!$E$10+1,1))-AVERAGE(OFFSET($H$3,0,0,'Données projet'!$E$10+1,1))</f>
        <v>525.29195699741149</v>
      </c>
      <c r="AO59" s="59">
        <f t="shared" si="36"/>
        <v>125.99812193007153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30.535599701871103</v>
      </c>
      <c r="AV59" s="21">
        <f>EXP(-LN(2)/25)*AV58+(1-EXP(-LN(2)/25))/(LN(2)/25)*Calculateur!AQ59*Calculateur!AS59*VLOOKUP('Données projet'!$B$10,Paramètres!$A$1:$I$89,3,0)*0.475*44/12</f>
        <v>0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30.535599701871103</v>
      </c>
      <c r="AY59" s="7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0</v>
      </c>
      <c r="BE59" s="13" t="e">
        <f>BD59*VLOOKUP('Données projet'!$B$11,Paramètres!$A$1:$I$89,3,0)*VLOOKUP('Données projet'!$B$11,Paramètres!$A$1:$I$89,5,0)</f>
        <v>#N/A</v>
      </c>
      <c r="BF59" s="13" t="e">
        <f t="shared" si="37"/>
        <v>#N/A</v>
      </c>
      <c r="BG59" s="20" t="e">
        <f t="shared" si="7"/>
        <v>#N/A</v>
      </c>
      <c r="BH59" s="59" t="e">
        <f t="shared" si="8"/>
        <v>#N/A</v>
      </c>
      <c r="BI59" s="59" t="e">
        <f ca="1">AVERAGE(OFFSET($BH$3,0,0,'Données projet'!$E$11+1,1))-AVERAGE(OFFSET($H$3,0,0,'Données projet'!$E$11+1,1))</f>
        <v>#N/A</v>
      </c>
      <c r="BJ59" s="59" t="e">
        <f t="shared" si="38"/>
        <v>#N/A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 t="e">
        <f>EXP(-LN(2)/35)*BP58+(1-EXP(-LN(2)/35))/(LN(2)/35)*BL59*BM59*VLOOKUP('Données projet'!$B$11,Paramètres!$A$1:$I$89,3,0)*0.475*44/12</f>
        <v>#N/A</v>
      </c>
      <c r="BQ59" s="21" t="e">
        <f>EXP(-LN(2)/25)*BQ58+(1-EXP(-LN(2)/25))/(LN(2)/25)*Calculateur!BL59*Calculateur!BN59*VLOOKUP('Données projet'!$B$11,Paramètres!$A$1:$I$89,3,0)*0.475*44/12</f>
        <v>#N/A</v>
      </c>
      <c r="BR59" s="21" t="e">
        <f>EXP(-LN(2)/2)*BR58+(1-EXP(-LN(2)/2))/(LN(2)/2)*BL59*BO59*VLOOKUP('Données projet'!$B$11,Paramètres!$A$1:$I$89,3,0)*0.475*44/12</f>
        <v>#N/A</v>
      </c>
      <c r="BS59" s="22" t="e">
        <f t="shared" si="9"/>
        <v>#N/A</v>
      </c>
      <c r="BT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">
      <c r="A60" s="10">
        <f t="shared" si="31"/>
        <v>57</v>
      </c>
      <c r="B60" s="72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34.085999999999977</v>
      </c>
      <c r="D60" s="11">
        <f t="shared" si="32"/>
        <v>10.41684623515679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343.53074286787682</v>
      </c>
      <c r="H60" s="66">
        <f t="shared" si="1"/>
        <v>370.842457192898</v>
      </c>
      <c r="I60" s="6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0</v>
      </c>
      <c r="O60" s="13">
        <f>N60*VLOOKUP('Données projet'!$B$9,Paramètres!$A$1:$I$89,3,0)*VLOOKUP('Données projet'!$B$9,Paramètres!$A$1:$I$89,5,0)</f>
        <v>0</v>
      </c>
      <c r="P60" s="13" t="e">
        <f t="shared" si="33"/>
        <v>#NUM!</v>
      </c>
      <c r="Q60" s="20" t="e">
        <f t="shared" si="53"/>
        <v>#NUM!</v>
      </c>
      <c r="R60" s="59" t="e">
        <f t="shared" si="0"/>
        <v>#NUM!</v>
      </c>
      <c r="S60" s="59">
        <f ca="1">AVERAGE(OFFSET($R$3,0,0,'Données projet'!$E$9+1,1))-AVERAGE(OFFSET($H$3,0,0,'Données projet'!$E$9+1,1))</f>
        <v>148.39628895278571</v>
      </c>
      <c r="T60" s="59">
        <f t="shared" si="34"/>
        <v>361.07991692964788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72.356658001823064</v>
      </c>
      <c r="AA60" s="21">
        <f>EXP(-LN(2)/25)*AA59+(1-EXP(-LN(2)/25))/(LN(2)/25)*Calculateur!V60*Calculateur!X60*VLOOKUP('Données projet'!$B$9,Paramètres!$A$1:$I$89,3,0)*0.475*44/12</f>
        <v>6.8008818422596358</v>
      </c>
      <c r="AB60" s="21">
        <f>EXP(-LN(2)/2)*AB59+(1-EXP(-LN(2)/2))/(LN(2)/2)*V60*Y60*VLOOKUP('Données projet'!$B$9,Paramètres!$A$1:$I$89,3,0)*0.475*44/12</f>
        <v>3.8809740405464866E-6</v>
      </c>
      <c r="AC60" s="22">
        <f t="shared" si="3"/>
        <v>79.15754372505674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10.118749999999999</v>
      </c>
      <c r="AI60" s="13">
        <f>IF('Données projet'!$A$62&gt;35,AI59+AH60-AQ59,IF(A60&lt;'Données projet'!$A$62,$AF$205^A60,IF(A60='Données projet'!$A$62,'Données projet'!$B$62,AI59+AH60-AQ59)))</f>
        <v>243.58125000000001</v>
      </c>
      <c r="AJ60" s="13">
        <f>AI60*VLOOKUP('Données projet'!$B$10,Paramètres!$A$1:$I$89,3,0)*VLOOKUP('Données projet'!$B$10,Paramètres!$A$1:$I$89,5,0)</f>
        <v>243.19152000000005</v>
      </c>
      <c r="AK60" s="13">
        <f t="shared" si="35"/>
        <v>59.125672724246193</v>
      </c>
      <c r="AL60" s="20">
        <f t="shared" si="4"/>
        <v>526.53577732806218</v>
      </c>
      <c r="AM60" s="59">
        <f t="shared" si="5"/>
        <v>819.86911066139555</v>
      </c>
      <c r="AN60" s="59">
        <f ca="1">AVERAGE(OFFSET($AM$3,0,0,'Données projet'!$E$10+1,1))-AVERAGE(OFFSET($H$3,0,0,'Données projet'!$E$10+1,1))</f>
        <v>525.29195699741149</v>
      </c>
      <c r="AO60" s="59">
        <f t="shared" si="36"/>
        <v>125.99812193007153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29.936815216594177</v>
      </c>
      <c r="AV60" s="21">
        <f>EXP(-LN(2)/25)*AV59+(1-EXP(-LN(2)/25))/(LN(2)/25)*Calculateur!AQ60*Calculateur!AS60*VLOOKUP('Données projet'!$B$10,Paramètres!$A$1:$I$89,3,0)*0.475*44/12</f>
        <v>0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29.936815216594177</v>
      </c>
      <c r="AY60" s="7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0</v>
      </c>
      <c r="BE60" s="13" t="e">
        <f>BD60*VLOOKUP('Données projet'!$B$11,Paramètres!$A$1:$I$89,3,0)*VLOOKUP('Données projet'!$B$11,Paramètres!$A$1:$I$89,5,0)</f>
        <v>#N/A</v>
      </c>
      <c r="BF60" s="13" t="e">
        <f t="shared" si="37"/>
        <v>#N/A</v>
      </c>
      <c r="BG60" s="20" t="e">
        <f t="shared" si="7"/>
        <v>#N/A</v>
      </c>
      <c r="BH60" s="59" t="e">
        <f t="shared" si="8"/>
        <v>#N/A</v>
      </c>
      <c r="BI60" s="59" t="e">
        <f ca="1">AVERAGE(OFFSET($BH$3,0,0,'Données projet'!$E$11+1,1))-AVERAGE(OFFSET($H$3,0,0,'Données projet'!$E$11+1,1))</f>
        <v>#N/A</v>
      </c>
      <c r="BJ60" s="59" t="e">
        <f t="shared" si="38"/>
        <v>#N/A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 t="e">
        <f>EXP(-LN(2)/35)*BP59+(1-EXP(-LN(2)/35))/(LN(2)/35)*BL60*BM60*VLOOKUP('Données projet'!$B$11,Paramètres!$A$1:$I$89,3,0)*0.475*44/12</f>
        <v>#N/A</v>
      </c>
      <c r="BQ60" s="21" t="e">
        <f>EXP(-LN(2)/25)*BQ59+(1-EXP(-LN(2)/25))/(LN(2)/25)*Calculateur!BL60*Calculateur!BN60*VLOOKUP('Données projet'!$B$11,Paramètres!$A$1:$I$89,3,0)*0.475*44/12</f>
        <v>#N/A</v>
      </c>
      <c r="BR60" s="21" t="e">
        <f>EXP(-LN(2)/2)*BR59+(1-EXP(-LN(2)/2))/(LN(2)/2)*BL60*BO60*VLOOKUP('Données projet'!$B$11,Paramètres!$A$1:$I$89,3,0)*0.475*44/12</f>
        <v>#N/A</v>
      </c>
      <c r="BS60" s="22" t="e">
        <f t="shared" si="9"/>
        <v>#N/A</v>
      </c>
      <c r="BT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">
      <c r="A61" s="10">
        <f t="shared" si="31"/>
        <v>58</v>
      </c>
      <c r="B61" s="72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34.683999999999976</v>
      </c>
      <c r="D61" s="11">
        <f t="shared" si="32"/>
        <v>10.578161814566396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349.39212628788073</v>
      </c>
      <c r="H61" s="66">
        <f t="shared" si="1"/>
        <v>372.16493182703641</v>
      </c>
      <c r="I61" s="6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0</v>
      </c>
      <c r="O61" s="13">
        <f>N61*VLOOKUP('Données projet'!$B$9,Paramètres!$A$1:$I$89,3,0)*VLOOKUP('Données projet'!$B$9,Paramètres!$A$1:$I$89,5,0)</f>
        <v>0</v>
      </c>
      <c r="P61" s="13" t="e">
        <f t="shared" si="33"/>
        <v>#NUM!</v>
      </c>
      <c r="Q61" s="20" t="e">
        <f t="shared" si="53"/>
        <v>#NUM!</v>
      </c>
      <c r="R61" s="59" t="e">
        <f t="shared" si="0"/>
        <v>#NUM!</v>
      </c>
      <c r="S61" s="59">
        <f ca="1">AVERAGE(OFFSET($R$3,0,0,'Données projet'!$E$9+1,1))-AVERAGE(OFFSET($H$3,0,0,'Données projet'!$E$9+1,1))</f>
        <v>148.39628895278571</v>
      </c>
      <c r="T61" s="59">
        <f t="shared" si="34"/>
        <v>361.07991692964788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70.937788071610896</v>
      </c>
      <c r="AA61" s="21">
        <f>EXP(-LN(2)/25)*AA60+(1-EXP(-LN(2)/25))/(LN(2)/25)*Calculateur!V61*Calculateur!X61*VLOOKUP('Données projet'!$B$9,Paramètres!$A$1:$I$89,3,0)*0.475*44/12</f>
        <v>6.6149113706402138</v>
      </c>
      <c r="AB61" s="21">
        <f>EXP(-LN(2)/2)*AB60+(1-EXP(-LN(2)/2))/(LN(2)/2)*V61*Y61*VLOOKUP('Données projet'!$B$9,Paramètres!$A$1:$I$89,3,0)*0.475*44/12</f>
        <v>2.7442630616793758E-6</v>
      </c>
      <c r="AC61" s="22">
        <f t="shared" si="3"/>
        <v>77.552702186514168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>
        <f>VLOOKUP(A61,'Données projet'!$A$61:$I$81,2,0)</f>
        <v>253.7</v>
      </c>
      <c r="AG61" s="12">
        <f>VLOOKUP(A61,'Données projet'!$A$61:$I$81,9,0)</f>
        <v>10.118749999999999</v>
      </c>
      <c r="AH61" s="12">
        <f t="array" ref="AH61">INDEX(AG:AG,MIN(IF(ISNUMBER(AG61:AG257),ROW(AG61:AG257),"")))</f>
        <v>10.118749999999999</v>
      </c>
      <c r="AI61" s="13">
        <f>IF('Données projet'!$A$62&gt;35,AI60+AH61-AQ60,IF(A61&lt;'Données projet'!$A$62,$AF$205^A61,IF(A61='Données projet'!$A$62,'Données projet'!$B$62,AI60+AH61-AQ60)))</f>
        <v>253.70000000000002</v>
      </c>
      <c r="AJ61" s="13">
        <f>AI61*VLOOKUP('Données projet'!$B$10,Paramètres!$A$1:$I$89,3,0)*VLOOKUP('Données projet'!$B$10,Paramètres!$A$1:$I$89,5,0)</f>
        <v>253.29408000000004</v>
      </c>
      <c r="AK61" s="13">
        <f t="shared" si="35"/>
        <v>61.290780213114047</v>
      </c>
      <c r="AL61" s="20">
        <f t="shared" si="4"/>
        <v>547.90196487117373</v>
      </c>
      <c r="AM61" s="59">
        <f t="shared" si="5"/>
        <v>841.23529820450699</v>
      </c>
      <c r="AN61" s="59">
        <f ca="1">AVERAGE(OFFSET($AM$3,0,0,'Données projet'!$E$10+1,1))-AVERAGE(OFFSET($H$3,0,0,'Données projet'!$E$10+1,1))</f>
        <v>525.29195699741149</v>
      </c>
      <c r="AO61" s="59">
        <f t="shared" si="36"/>
        <v>125.99812193007153</v>
      </c>
      <c r="AP61" s="15">
        <f>IF(ISNA(VLOOKUP(A61,'Données projet'!$A$61:$I$81,3,0)),0,VLOOKUP(A61,'Données projet'!$A$61:$I$81,3,0))</f>
        <v>3</v>
      </c>
      <c r="AQ61" s="15">
        <f>IF(ISNA(VLOOKUP(A61,'Données projet'!$A$61:$I$81,4,0)),0,VLOOKUP(A61,'Données projet'!$A$61:$I$81,4,0))</f>
        <v>44.93</v>
      </c>
      <c r="AR61" s="16">
        <f>IF(ISNA(VLOOKUP(A61,'Données projet'!$A$61:$I$81,5,0)),0%,VLOOKUP(A61,'Données projet'!$A$61:$I$81,5,0)*VLOOKUP('Données projet'!$B$10,Paramètres!$A$1:$I$89,7,0))</f>
        <v>0.43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50.673177591892838</v>
      </c>
      <c r="AV61" s="21">
        <f>EXP(-LN(2)/25)*AV60+(1-EXP(-LN(2)/25))/(LN(2)/25)*Calculateur!AQ61*Calculateur!AS61*VLOOKUP('Données projet'!$B$10,Paramètres!$A$1:$I$89,3,0)*0.475*44/12</f>
        <v>0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50.673177591892838</v>
      </c>
      <c r="AY61" s="7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0</v>
      </c>
      <c r="BE61" s="13" t="e">
        <f>BD61*VLOOKUP('Données projet'!$B$11,Paramètres!$A$1:$I$89,3,0)*VLOOKUP('Données projet'!$B$11,Paramètres!$A$1:$I$89,5,0)</f>
        <v>#N/A</v>
      </c>
      <c r="BF61" s="13" t="e">
        <f t="shared" si="37"/>
        <v>#N/A</v>
      </c>
      <c r="BG61" s="20" t="e">
        <f t="shared" si="7"/>
        <v>#N/A</v>
      </c>
      <c r="BH61" s="59" t="e">
        <f t="shared" si="8"/>
        <v>#N/A</v>
      </c>
      <c r="BI61" s="59" t="e">
        <f ca="1">AVERAGE(OFFSET($BH$3,0,0,'Données projet'!$E$11+1,1))-AVERAGE(OFFSET($H$3,0,0,'Données projet'!$E$11+1,1))</f>
        <v>#N/A</v>
      </c>
      <c r="BJ61" s="59" t="e">
        <f t="shared" si="38"/>
        <v>#N/A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 t="e">
        <f>EXP(-LN(2)/35)*BP60+(1-EXP(-LN(2)/35))/(LN(2)/35)*BL61*BM61*VLOOKUP('Données projet'!$B$11,Paramètres!$A$1:$I$89,3,0)*0.475*44/12</f>
        <v>#N/A</v>
      </c>
      <c r="BQ61" s="21" t="e">
        <f>EXP(-LN(2)/25)*BQ60+(1-EXP(-LN(2)/25))/(LN(2)/25)*Calculateur!BL61*Calculateur!BN61*VLOOKUP('Données projet'!$B$11,Paramètres!$A$1:$I$89,3,0)*0.475*44/12</f>
        <v>#N/A</v>
      </c>
      <c r="BR61" s="21" t="e">
        <f>EXP(-LN(2)/2)*BR60+(1-EXP(-LN(2)/2))/(LN(2)/2)*BL61*BO61*VLOOKUP('Données projet'!$B$11,Paramètres!$A$1:$I$89,3,0)*0.475*44/12</f>
        <v>#N/A</v>
      </c>
      <c r="BS61" s="22" t="e">
        <f t="shared" si="9"/>
        <v>#N/A</v>
      </c>
      <c r="BT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">
      <c r="A62" s="10">
        <f t="shared" si="31"/>
        <v>59</v>
      </c>
      <c r="B62" s="72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35.281999999999975</v>
      </c>
      <c r="D62" s="11">
        <f t="shared" si="32"/>
        <v>10.739153957997569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355.25101300910387</v>
      </c>
      <c r="H62" s="66">
        <f t="shared" si="1"/>
        <v>373.48684314351237</v>
      </c>
      <c r="I62" s="6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0</v>
      </c>
      <c r="O62" s="13">
        <f>N62*VLOOKUP('Données projet'!$B$9,Paramètres!$A$1:$I$89,3,0)*VLOOKUP('Données projet'!$B$9,Paramètres!$A$1:$I$89,5,0)</f>
        <v>0</v>
      </c>
      <c r="P62" s="13" t="e">
        <f t="shared" si="33"/>
        <v>#NUM!</v>
      </c>
      <c r="Q62" s="20" t="e">
        <f t="shared" si="53"/>
        <v>#NUM!</v>
      </c>
      <c r="R62" s="59" t="e">
        <f t="shared" si="0"/>
        <v>#NUM!</v>
      </c>
      <c r="S62" s="59">
        <f ca="1">AVERAGE(OFFSET($R$3,0,0,'Données projet'!$E$9+1,1))-AVERAGE(OFFSET($H$3,0,0,'Données projet'!$E$9+1,1))</f>
        <v>148.39628895278571</v>
      </c>
      <c r="T62" s="59">
        <f t="shared" si="34"/>
        <v>361.07991692964788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69.546741315304999</v>
      </c>
      <c r="AA62" s="21">
        <f>EXP(-LN(2)/25)*AA61+(1-EXP(-LN(2)/25))/(LN(2)/25)*Calculateur!V62*Calculateur!X62*VLOOKUP('Données projet'!$B$9,Paramètres!$A$1:$I$89,3,0)*0.475*44/12</f>
        <v>6.4340262713469869</v>
      </c>
      <c r="AB62" s="21">
        <f>EXP(-LN(2)/2)*AB61+(1-EXP(-LN(2)/2))/(LN(2)/2)*V62*Y62*VLOOKUP('Données projet'!$B$9,Paramètres!$A$1:$I$89,3,0)*0.475*44/12</f>
        <v>1.9404870202732433E-6</v>
      </c>
      <c r="AC62" s="22">
        <f t="shared" si="3"/>
        <v>75.980769527139003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9.75</v>
      </c>
      <c r="AI62" s="13">
        <f>IF('Données projet'!$A$62&gt;35,AI61+AH62-AQ61,IF(A62&lt;'Données projet'!$A$62,$AF$205^A62,IF(A62='Données projet'!$A$62,'Données projet'!$B$62,AI61+AH62-AQ61)))</f>
        <v>218.52000000000004</v>
      </c>
      <c r="AJ62" s="13">
        <f>AI62*VLOOKUP('Données projet'!$B$10,Paramètres!$A$1:$I$89,3,0)*VLOOKUP('Données projet'!$B$10,Paramètres!$A$1:$I$89,5,0)</f>
        <v>218.17036800000005</v>
      </c>
      <c r="AK62" s="13">
        <f t="shared" si="35"/>
        <v>53.717031170494849</v>
      </c>
      <c r="AL62" s="20">
        <f t="shared" si="4"/>
        <v>473.53722022194535</v>
      </c>
      <c r="AM62" s="59">
        <f t="shared" si="5"/>
        <v>766.87055355527866</v>
      </c>
      <c r="AN62" s="59">
        <f ca="1">AVERAGE(OFFSET($AM$3,0,0,'Données projet'!$E$10+1,1))-AVERAGE(OFFSET($H$3,0,0,'Données projet'!$E$10+1,1))</f>
        <v>525.29195699741149</v>
      </c>
      <c r="AO62" s="59">
        <f t="shared" si="36"/>
        <v>125.99812193007153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49.679507486902281</v>
      </c>
      <c r="AV62" s="21">
        <f>EXP(-LN(2)/25)*AV61+(1-EXP(-LN(2)/25))/(LN(2)/25)*Calculateur!AQ62*Calculateur!AS62*VLOOKUP('Données projet'!$B$10,Paramètres!$A$1:$I$89,3,0)*0.475*44/12</f>
        <v>0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49.679507486902281</v>
      </c>
      <c r="AY62" s="7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0</v>
      </c>
      <c r="BE62" s="13" t="e">
        <f>BD62*VLOOKUP('Données projet'!$B$11,Paramètres!$A$1:$I$89,3,0)*VLOOKUP('Données projet'!$B$11,Paramètres!$A$1:$I$89,5,0)</f>
        <v>#N/A</v>
      </c>
      <c r="BF62" s="13" t="e">
        <f t="shared" si="37"/>
        <v>#N/A</v>
      </c>
      <c r="BG62" s="20" t="e">
        <f t="shared" si="7"/>
        <v>#N/A</v>
      </c>
      <c r="BH62" s="59" t="e">
        <f t="shared" si="8"/>
        <v>#N/A</v>
      </c>
      <c r="BI62" s="59" t="e">
        <f ca="1">AVERAGE(OFFSET($BH$3,0,0,'Données projet'!$E$11+1,1))-AVERAGE(OFFSET($H$3,0,0,'Données projet'!$E$11+1,1))</f>
        <v>#N/A</v>
      </c>
      <c r="BJ62" s="59" t="e">
        <f t="shared" si="38"/>
        <v>#N/A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 t="e">
        <f>EXP(-LN(2)/35)*BP61+(1-EXP(-LN(2)/35))/(LN(2)/35)*BL62*BM62*VLOOKUP('Données projet'!$B$11,Paramètres!$A$1:$I$89,3,0)*0.475*44/12</f>
        <v>#N/A</v>
      </c>
      <c r="BQ62" s="21" t="e">
        <f>EXP(-LN(2)/25)*BQ61+(1-EXP(-LN(2)/25))/(LN(2)/25)*Calculateur!BL62*Calculateur!BN62*VLOOKUP('Données projet'!$B$11,Paramètres!$A$1:$I$89,3,0)*0.475*44/12</f>
        <v>#N/A</v>
      </c>
      <c r="BR62" s="21" t="e">
        <f>EXP(-LN(2)/2)*BR61+(1-EXP(-LN(2)/2))/(LN(2)/2)*BL62*BO62*VLOOKUP('Données projet'!$B$11,Paramètres!$A$1:$I$89,3,0)*0.475*44/12</f>
        <v>#N/A</v>
      </c>
      <c r="BS62" s="22" t="e">
        <f t="shared" si="9"/>
        <v>#N/A</v>
      </c>
      <c r="BT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">
      <c r="A63" s="10">
        <f t="shared" si="31"/>
        <v>60</v>
      </c>
      <c r="B63" s="72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35.879999999999974</v>
      </c>
      <c r="D63" s="11">
        <f t="shared" si="32"/>
        <v>10.89982878007377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361.10745023214821</v>
      </c>
      <c r="H63" s="66">
        <f t="shared" si="1"/>
        <v>374.80820179196172</v>
      </c>
      <c r="I63" s="6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0</v>
      </c>
      <c r="O63" s="13">
        <f>N63*VLOOKUP('Données projet'!$B$9,Paramètres!$A$1:$I$89,3,0)*VLOOKUP('Données projet'!$B$9,Paramètres!$A$1:$I$89,5,0)</f>
        <v>0</v>
      </c>
      <c r="P63" s="13" t="e">
        <f t="shared" si="33"/>
        <v>#NUM!</v>
      </c>
      <c r="Q63" s="20" t="e">
        <f t="shared" si="53"/>
        <v>#NUM!</v>
      </c>
      <c r="R63" s="59" t="e">
        <f t="shared" si="0"/>
        <v>#NUM!</v>
      </c>
      <c r="S63" s="59">
        <f ca="1">AVERAGE(OFFSET($R$3,0,0,'Données projet'!$E$9+1,1))-AVERAGE(OFFSET($H$3,0,0,'Données projet'!$E$9+1,1))</f>
        <v>148.39628895278571</v>
      </c>
      <c r="T63" s="59">
        <f t="shared" si="34"/>
        <v>361.07991692964788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68.182972137435513</v>
      </c>
      <c r="AA63" s="21">
        <f>EXP(-LN(2)/25)*AA62+(1-EXP(-LN(2)/25))/(LN(2)/25)*Calculateur!V63*Calculateur!X63*VLOOKUP('Données projet'!$B$9,Paramètres!$A$1:$I$89,3,0)*0.475*44/12</f>
        <v>6.2580874846062668</v>
      </c>
      <c r="AB63" s="21">
        <f>EXP(-LN(2)/2)*AB62+(1-EXP(-LN(2)/2))/(LN(2)/2)*V63*Y63*VLOOKUP('Données projet'!$B$9,Paramètres!$A$1:$I$89,3,0)*0.475*44/12</f>
        <v>1.3721315308396879E-6</v>
      </c>
      <c r="AC63" s="22">
        <f t="shared" si="3"/>
        <v>74.441060994173313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9.75</v>
      </c>
      <c r="AI63" s="13">
        <f>IF('Données projet'!$A$62&gt;35,AI62+AH63-AQ62,IF(A63&lt;'Données projet'!$A$62,$AF$205^A63,IF(A63='Données projet'!$A$62,'Données projet'!$B$62,AI62+AH63-AQ62)))</f>
        <v>228.27000000000004</v>
      </c>
      <c r="AJ63" s="13">
        <f>AI63*VLOOKUP('Données projet'!$B$10,Paramètres!$A$1:$I$89,3,0)*VLOOKUP('Données projet'!$B$10,Paramètres!$A$1:$I$89,5,0)</f>
        <v>227.90476800000008</v>
      </c>
      <c r="AK63" s="13">
        <f t="shared" si="35"/>
        <v>55.829402374062909</v>
      </c>
      <c r="AL63" s="20">
        <f t="shared" si="4"/>
        <v>494.17034673482635</v>
      </c>
      <c r="AM63" s="59">
        <f t="shared" si="5"/>
        <v>787.50368006815961</v>
      </c>
      <c r="AN63" s="59">
        <f ca="1">AVERAGE(OFFSET($AM$3,0,0,'Données projet'!$E$10+1,1))-AVERAGE(OFFSET($H$3,0,0,'Données projet'!$E$10+1,1))</f>
        <v>525.29195699741149</v>
      </c>
      <c r="AO63" s="59">
        <f t="shared" si="36"/>
        <v>125.99812193007153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48.705322646591668</v>
      </c>
      <c r="AV63" s="21">
        <f>EXP(-LN(2)/25)*AV62+(1-EXP(-LN(2)/25))/(LN(2)/25)*Calculateur!AQ63*Calculateur!AS63*VLOOKUP('Données projet'!$B$10,Paramètres!$A$1:$I$89,3,0)*0.475*44/12</f>
        <v>0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48.705322646591668</v>
      </c>
      <c r="AY63" s="7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0</v>
      </c>
      <c r="BE63" s="13" t="e">
        <f>BD63*VLOOKUP('Données projet'!$B$11,Paramètres!$A$1:$I$89,3,0)*VLOOKUP('Données projet'!$B$11,Paramètres!$A$1:$I$89,5,0)</f>
        <v>#N/A</v>
      </c>
      <c r="BF63" s="13" t="e">
        <f t="shared" si="37"/>
        <v>#N/A</v>
      </c>
      <c r="BG63" s="20" t="e">
        <f t="shared" si="7"/>
        <v>#N/A</v>
      </c>
      <c r="BH63" s="59" t="e">
        <f t="shared" si="8"/>
        <v>#N/A</v>
      </c>
      <c r="BI63" s="59" t="e">
        <f ca="1">AVERAGE(OFFSET($BH$3,0,0,'Données projet'!$E$11+1,1))-AVERAGE(OFFSET($H$3,0,0,'Données projet'!$E$11+1,1))</f>
        <v>#N/A</v>
      </c>
      <c r="BJ63" s="59" t="e">
        <f t="shared" si="38"/>
        <v>#N/A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 t="e">
        <f>EXP(-LN(2)/35)*BP62+(1-EXP(-LN(2)/35))/(LN(2)/35)*BL63*BM63*VLOOKUP('Données projet'!$B$11,Paramètres!$A$1:$I$89,3,0)*0.475*44/12</f>
        <v>#N/A</v>
      </c>
      <c r="BQ63" s="21" t="e">
        <f>EXP(-LN(2)/25)*BQ62+(1-EXP(-LN(2)/25))/(LN(2)/25)*Calculateur!BL63*Calculateur!BN63*VLOOKUP('Données projet'!$B$11,Paramètres!$A$1:$I$89,3,0)*0.475*44/12</f>
        <v>#N/A</v>
      </c>
      <c r="BR63" s="21" t="e">
        <f>EXP(-LN(2)/2)*BR62+(1-EXP(-LN(2)/2))/(LN(2)/2)*BL63*BO63*VLOOKUP('Données projet'!$B$11,Paramètres!$A$1:$I$89,3,0)*0.475*44/12</f>
        <v>#N/A</v>
      </c>
      <c r="BS63" s="22" t="e">
        <f t="shared" si="9"/>
        <v>#N/A</v>
      </c>
      <c r="BT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">
      <c r="A64" s="10">
        <f t="shared" si="31"/>
        <v>61</v>
      </c>
      <c r="B64" s="72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36.477999999999973</v>
      </c>
      <c r="D64" s="11">
        <f t="shared" si="32"/>
        <v>11.060192179914555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366.96148349407707</v>
      </c>
      <c r="H64" s="66">
        <f t="shared" si="1"/>
        <v>376.12901804668445</v>
      </c>
      <c r="I64" s="6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0</v>
      </c>
      <c r="O64" s="13">
        <f>N64*VLOOKUP('Données projet'!$B$9,Paramètres!$A$1:$I$89,3,0)*VLOOKUP('Données projet'!$B$9,Paramètres!$A$1:$I$89,5,0)</f>
        <v>0</v>
      </c>
      <c r="P64" s="13" t="e">
        <f t="shared" si="33"/>
        <v>#NUM!</v>
      </c>
      <c r="Q64" s="20" t="e">
        <f t="shared" si="53"/>
        <v>#NUM!</v>
      </c>
      <c r="R64" s="59" t="e">
        <f t="shared" si="0"/>
        <v>#NUM!</v>
      </c>
      <c r="S64" s="59">
        <f ca="1">AVERAGE(OFFSET($R$3,0,0,'Données projet'!$E$9+1,1))-AVERAGE(OFFSET($H$3,0,0,'Données projet'!$E$9+1,1))</f>
        <v>148.39628895278571</v>
      </c>
      <c r="T64" s="59">
        <f t="shared" si="34"/>
        <v>361.07991692964788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66.845945641326978</v>
      </c>
      <c r="AA64" s="21">
        <f>EXP(-LN(2)/25)*AA63+(1-EXP(-LN(2)/25))/(LN(2)/25)*Calculateur!V64*Calculateur!X64*VLOOKUP('Données projet'!$B$9,Paramètres!$A$1:$I$89,3,0)*0.475*44/12</f>
        <v>6.0869597532411905</v>
      </c>
      <c r="AB64" s="21">
        <f>EXP(-LN(2)/2)*AB63+(1-EXP(-LN(2)/2))/(LN(2)/2)*V64*Y64*VLOOKUP('Données projet'!$B$9,Paramètres!$A$1:$I$89,3,0)*0.475*44/12</f>
        <v>9.7024351013662166E-7</v>
      </c>
      <c r="AC64" s="22">
        <f t="shared" si="3"/>
        <v>72.932906364811672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9.75</v>
      </c>
      <c r="AI64" s="13">
        <f>IF('Données projet'!$A$62&gt;35,AI63+AH64-AQ63,IF(A64&lt;'Données projet'!$A$62,$AF$205^A64,IF(A64='Données projet'!$A$62,'Données projet'!$B$62,AI63+AH64-AQ63)))</f>
        <v>238.02000000000004</v>
      </c>
      <c r="AJ64" s="13">
        <f>AI64*VLOOKUP('Données projet'!$B$10,Paramètres!$A$1:$I$89,3,0)*VLOOKUP('Données projet'!$B$10,Paramètres!$A$1:$I$89,5,0)</f>
        <v>237.63916800000004</v>
      </c>
      <c r="AK64" s="13">
        <f t="shared" si="35"/>
        <v>57.931294107678923</v>
      </c>
      <c r="AL64" s="20">
        <f t="shared" si="4"/>
        <v>514.78522150420747</v>
      </c>
      <c r="AM64" s="59">
        <f t="shared" si="5"/>
        <v>808.11855483754084</v>
      </c>
      <c r="AN64" s="59">
        <f ca="1">AVERAGE(OFFSET($AM$3,0,0,'Données projet'!$E$10+1,1))-AVERAGE(OFFSET($H$3,0,0,'Données projet'!$E$10+1,1))</f>
        <v>525.29195699741149</v>
      </c>
      <c r="AO64" s="59">
        <f t="shared" si="36"/>
        <v>125.99812193007153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47.750240976805465</v>
      </c>
      <c r="AV64" s="21">
        <f>EXP(-LN(2)/25)*AV63+(1-EXP(-LN(2)/25))/(LN(2)/25)*Calculateur!AQ64*Calculateur!AS64*VLOOKUP('Données projet'!$B$10,Paramètres!$A$1:$I$89,3,0)*0.475*44/12</f>
        <v>0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47.750240976805465</v>
      </c>
      <c r="AY64" s="7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 t="e">
        <f>BD64*VLOOKUP('Données projet'!$B$11,Paramètres!$A$1:$I$89,3,0)*VLOOKUP('Données projet'!$B$11,Paramètres!$A$1:$I$89,5,0)</f>
        <v>#N/A</v>
      </c>
      <c r="BF64" s="13" t="e">
        <f t="shared" si="37"/>
        <v>#N/A</v>
      </c>
      <c r="BG64" s="20" t="e">
        <f t="shared" si="7"/>
        <v>#N/A</v>
      </c>
      <c r="BH64" s="59" t="e">
        <f t="shared" si="8"/>
        <v>#N/A</v>
      </c>
      <c r="BI64" s="59" t="e">
        <f ca="1">AVERAGE(OFFSET($BH$3,0,0,'Données projet'!$E$11+1,1))-AVERAGE(OFFSET($H$3,0,0,'Données projet'!$E$11+1,1))</f>
        <v>#N/A</v>
      </c>
      <c r="BJ64" s="59" t="e">
        <f t="shared" si="38"/>
        <v>#N/A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 t="e">
        <f>EXP(-LN(2)/35)*BP63+(1-EXP(-LN(2)/35))/(LN(2)/35)*BL64*BM64*VLOOKUP('Données projet'!$B$11,Paramètres!$A$1:$I$89,3,0)*0.475*44/12</f>
        <v>#N/A</v>
      </c>
      <c r="BQ64" s="21" t="e">
        <f>EXP(-LN(2)/25)*BQ63+(1-EXP(-LN(2)/25))/(LN(2)/25)*Calculateur!BL64*Calculateur!BN64*VLOOKUP('Données projet'!$B$11,Paramètres!$A$1:$I$89,3,0)*0.475*44/12</f>
        <v>#N/A</v>
      </c>
      <c r="BR64" s="21" t="e">
        <f>EXP(-LN(2)/2)*BR63+(1-EXP(-LN(2)/2))/(LN(2)/2)*BL64*BO64*VLOOKUP('Données projet'!$B$11,Paramètres!$A$1:$I$89,3,0)*0.475*44/12</f>
        <v>#N/A</v>
      </c>
      <c r="BS64" s="22" t="e">
        <f t="shared" si="9"/>
        <v>#N/A</v>
      </c>
      <c r="BT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">
      <c r="A65" s="10">
        <f t="shared" si="31"/>
        <v>62</v>
      </c>
      <c r="B65" s="72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37.075999999999972</v>
      </c>
      <c r="D65" s="11">
        <f t="shared" si="32"/>
        <v>11.220249852136822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372.81315675333667</v>
      </c>
      <c r="H65" s="66">
        <f t="shared" si="1"/>
        <v>377.44930182580492</v>
      </c>
      <c r="I65" s="6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0</v>
      </c>
      <c r="O65" s="13">
        <f>N65*VLOOKUP('Données projet'!$B$9,Paramètres!$A$1:$I$89,3,0)*VLOOKUP('Données projet'!$B$9,Paramètres!$A$1:$I$89,5,0)</f>
        <v>0</v>
      </c>
      <c r="P65" s="13" t="e">
        <f t="shared" si="33"/>
        <v>#NUM!</v>
      </c>
      <c r="Q65" s="20" t="e">
        <f t="shared" si="53"/>
        <v>#NUM!</v>
      </c>
      <c r="R65" s="59" t="e">
        <f t="shared" si="0"/>
        <v>#NUM!</v>
      </c>
      <c r="S65" s="59">
        <f ca="1">AVERAGE(OFFSET($R$3,0,0,'Données projet'!$E$9+1,1))-AVERAGE(OFFSET($H$3,0,0,'Données projet'!$E$9+1,1))</f>
        <v>148.39628895278571</v>
      </c>
      <c r="T65" s="59">
        <f t="shared" si="34"/>
        <v>361.07991692964788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65.535137419301492</v>
      </c>
      <c r="AA65" s="21">
        <f>EXP(-LN(2)/25)*AA64+(1-EXP(-LN(2)/25))/(LN(2)/25)*Calculateur!V65*Calculateur!X65*VLOOKUP('Données projet'!$B$9,Paramètres!$A$1:$I$89,3,0)*0.475*44/12</f>
        <v>5.9205115186895085</v>
      </c>
      <c r="AB65" s="21">
        <f>EXP(-LN(2)/2)*AB64+(1-EXP(-LN(2)/2))/(LN(2)/2)*V65*Y65*VLOOKUP('Données projet'!$B$9,Paramètres!$A$1:$I$89,3,0)*0.475*44/12</f>
        <v>6.8606576541984394E-7</v>
      </c>
      <c r="AC65" s="22">
        <f t="shared" si="3"/>
        <v>71.455649624056761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9.75</v>
      </c>
      <c r="AI65" s="13">
        <f>IF('Données projet'!$A$62&gt;35,AI64+AH65-AQ64,IF(A65&lt;'Données projet'!$A$62,$AF$205^A65,IF(A65='Données projet'!$A$62,'Données projet'!$B$62,AI64+AH65-AQ64)))</f>
        <v>247.77000000000004</v>
      </c>
      <c r="AJ65" s="13">
        <f>AI65*VLOOKUP('Données projet'!$B$10,Paramètres!$A$1:$I$89,3,0)*VLOOKUP('Données projet'!$B$10,Paramètres!$A$1:$I$89,5,0)</f>
        <v>247.37356800000006</v>
      </c>
      <c r="AK65" s="13">
        <f t="shared" si="35"/>
        <v>60.023184740356619</v>
      </c>
      <c r="AL65" s="20">
        <f t="shared" si="4"/>
        <v>535.38267768945457</v>
      </c>
      <c r="AM65" s="59">
        <f t="shared" si="5"/>
        <v>828.71601102278782</v>
      </c>
      <c r="AN65" s="59">
        <f ca="1">AVERAGE(OFFSET($AM$3,0,0,'Données projet'!$E$10+1,1))-AVERAGE(OFFSET($H$3,0,0,'Données projet'!$E$10+1,1))</f>
        <v>525.29195699741149</v>
      </c>
      <c r="AO65" s="59">
        <f t="shared" si="36"/>
        <v>125.99812193007153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46.813887876021475</v>
      </c>
      <c r="AV65" s="21">
        <f>EXP(-LN(2)/25)*AV64+(1-EXP(-LN(2)/25))/(LN(2)/25)*Calculateur!AQ65*Calculateur!AS65*VLOOKUP('Données projet'!$B$10,Paramètres!$A$1:$I$89,3,0)*0.475*44/12</f>
        <v>0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46.813887876021475</v>
      </c>
      <c r="AY65" s="7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 t="e">
        <f>BD65*VLOOKUP('Données projet'!$B$11,Paramètres!$A$1:$I$89,3,0)*VLOOKUP('Données projet'!$B$11,Paramètres!$A$1:$I$89,5,0)</f>
        <v>#N/A</v>
      </c>
      <c r="BF65" s="13" t="e">
        <f t="shared" si="37"/>
        <v>#N/A</v>
      </c>
      <c r="BG65" s="20" t="e">
        <f t="shared" si="7"/>
        <v>#N/A</v>
      </c>
      <c r="BH65" s="59" t="e">
        <f t="shared" si="8"/>
        <v>#N/A</v>
      </c>
      <c r="BI65" s="59" t="e">
        <f ca="1">AVERAGE(OFFSET($BH$3,0,0,'Données projet'!$E$11+1,1))-AVERAGE(OFFSET($H$3,0,0,'Données projet'!$E$11+1,1))</f>
        <v>#N/A</v>
      </c>
      <c r="BJ65" s="59" t="e">
        <f t="shared" si="38"/>
        <v>#N/A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 t="e">
        <f>EXP(-LN(2)/35)*BP64+(1-EXP(-LN(2)/35))/(LN(2)/35)*BL65*BM65*VLOOKUP('Données projet'!$B$11,Paramètres!$A$1:$I$89,3,0)*0.475*44/12</f>
        <v>#N/A</v>
      </c>
      <c r="BQ65" s="21" t="e">
        <f>EXP(-LN(2)/25)*BQ64+(1-EXP(-LN(2)/25))/(LN(2)/25)*Calculateur!BL65*Calculateur!BN65*VLOOKUP('Données projet'!$B$11,Paramètres!$A$1:$I$89,3,0)*0.475*44/12</f>
        <v>#N/A</v>
      </c>
      <c r="BR65" s="21" t="e">
        <f>EXP(-LN(2)/2)*BR64+(1-EXP(-LN(2)/2))/(LN(2)/2)*BL65*BO65*VLOOKUP('Données projet'!$B$11,Paramètres!$A$1:$I$89,3,0)*0.475*44/12</f>
        <v>#N/A</v>
      </c>
      <c r="BS65" s="22" t="e">
        <f t="shared" si="9"/>
        <v>#N/A</v>
      </c>
      <c r="BT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">
      <c r="A66" s="10">
        <f t="shared" si="31"/>
        <v>63</v>
      </c>
      <c r="B66" s="72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66" s="11">
        <f t="shared" si="32"/>
        <v>11.380007297126165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378.6625124690438</v>
      </c>
      <c r="H66" s="66">
        <f t="shared" si="1"/>
        <v>378.76906270916135</v>
      </c>
      <c r="I66" s="6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0</v>
      </c>
      <c r="O66" s="13">
        <f>N66*VLOOKUP('Données projet'!$B$9,Paramètres!$A$1:$I$89,3,0)*VLOOKUP('Données projet'!$B$9,Paramètres!$A$1:$I$89,5,0)</f>
        <v>0</v>
      </c>
      <c r="P66" s="13" t="e">
        <f t="shared" si="33"/>
        <v>#NUM!</v>
      </c>
      <c r="Q66" s="20" t="e">
        <f t="shared" si="53"/>
        <v>#NUM!</v>
      </c>
      <c r="R66" s="59" t="e">
        <f t="shared" si="0"/>
        <v>#NUM!</v>
      </c>
      <c r="S66" s="59">
        <f ca="1">AVERAGE(OFFSET($R$3,0,0,'Données projet'!$E$9+1,1))-AVERAGE(OFFSET($H$3,0,0,'Données projet'!$E$9+1,1))</f>
        <v>148.39628895278571</v>
      </c>
      <c r="T66" s="59">
        <f t="shared" si="34"/>
        <v>361.07991692964788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64.250033346995863</v>
      </c>
      <c r="AA66" s="21">
        <f>EXP(-LN(2)/25)*AA65+(1-EXP(-LN(2)/25))/(LN(2)/25)*Calculateur!V66*Calculateur!X66*VLOOKUP('Données projet'!$B$9,Paramètres!$A$1:$I$89,3,0)*0.475*44/12</f>
        <v>5.7586148198647749</v>
      </c>
      <c r="AB66" s="21">
        <f>EXP(-LN(2)/2)*AB65+(1-EXP(-LN(2)/2))/(LN(2)/2)*V66*Y66*VLOOKUP('Données projet'!$B$9,Paramètres!$A$1:$I$89,3,0)*0.475*44/12</f>
        <v>4.8512175506831083E-7</v>
      </c>
      <c r="AC66" s="22">
        <f t="shared" si="3"/>
        <v>70.008648651982398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9.75</v>
      </c>
      <c r="AI66" s="13">
        <f>IF('Données projet'!$A$62&gt;35,AI65+AH66-AQ65,IF(A66&lt;'Données projet'!$A$62,$AF$205^A66,IF(A66='Données projet'!$A$62,'Données projet'!$B$62,AI65+AH66-AQ65)))</f>
        <v>257.52000000000004</v>
      </c>
      <c r="AJ66" s="13">
        <f>AI66*VLOOKUP('Données projet'!$B$10,Paramètres!$A$1:$I$89,3,0)*VLOOKUP('Données projet'!$B$10,Paramètres!$A$1:$I$89,5,0)</f>
        <v>257.10796800000008</v>
      </c>
      <c r="AK66" s="13">
        <f t="shared" si="35"/>
        <v>62.105512861036459</v>
      </c>
      <c r="AL66" s="20">
        <f t="shared" si="4"/>
        <v>555.96347916630532</v>
      </c>
      <c r="AM66" s="59">
        <f t="shared" si="5"/>
        <v>849.29681249963869</v>
      </c>
      <c r="AN66" s="59">
        <f ca="1">AVERAGE(OFFSET($AM$3,0,0,'Données projet'!$E$10+1,1))-AVERAGE(OFFSET($H$3,0,0,'Données projet'!$E$10+1,1))</f>
        <v>525.29195699741149</v>
      </c>
      <c r="AO66" s="59">
        <f t="shared" si="36"/>
        <v>125.99812193007153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45.895896088424863</v>
      </c>
      <c r="AV66" s="21">
        <f>EXP(-LN(2)/25)*AV65+(1-EXP(-LN(2)/25))/(LN(2)/25)*Calculateur!AQ66*Calculateur!AS66*VLOOKUP('Données projet'!$B$10,Paramètres!$A$1:$I$89,3,0)*0.475*44/12</f>
        <v>0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45.895896088424863</v>
      </c>
      <c r="AY66" s="7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 t="e">
        <f>BD66*VLOOKUP('Données projet'!$B$11,Paramètres!$A$1:$I$89,3,0)*VLOOKUP('Données projet'!$B$11,Paramètres!$A$1:$I$89,5,0)</f>
        <v>#N/A</v>
      </c>
      <c r="BF66" s="13" t="e">
        <f t="shared" si="37"/>
        <v>#N/A</v>
      </c>
      <c r="BG66" s="20" t="e">
        <f t="shared" si="7"/>
        <v>#N/A</v>
      </c>
      <c r="BH66" s="59" t="e">
        <f t="shared" si="8"/>
        <v>#N/A</v>
      </c>
      <c r="BI66" s="59" t="e">
        <f ca="1">AVERAGE(OFFSET($BH$3,0,0,'Données projet'!$E$11+1,1))-AVERAGE(OFFSET($H$3,0,0,'Données projet'!$E$11+1,1))</f>
        <v>#N/A</v>
      </c>
      <c r="BJ66" s="59" t="e">
        <f t="shared" si="38"/>
        <v>#N/A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 t="e">
        <f>EXP(-LN(2)/35)*BP65+(1-EXP(-LN(2)/35))/(LN(2)/35)*BL66*BM66*VLOOKUP('Données projet'!$B$11,Paramètres!$A$1:$I$89,3,0)*0.475*44/12</f>
        <v>#N/A</v>
      </c>
      <c r="BQ66" s="21" t="e">
        <f>EXP(-LN(2)/25)*BQ65+(1-EXP(-LN(2)/25))/(LN(2)/25)*Calculateur!BL66*Calculateur!BN66*VLOOKUP('Données projet'!$B$11,Paramètres!$A$1:$I$89,3,0)*0.475*44/12</f>
        <v>#N/A</v>
      </c>
      <c r="BR66" s="21" t="e">
        <f>EXP(-LN(2)/2)*BR65+(1-EXP(-LN(2)/2))/(LN(2)/2)*BL66*BO66*VLOOKUP('Données projet'!$B$11,Paramètres!$A$1:$I$89,3,0)*0.475*44/12</f>
        <v>#N/A</v>
      </c>
      <c r="BS66" s="22" t="e">
        <f t="shared" si="9"/>
        <v>#N/A</v>
      </c>
      <c r="BT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">
      <c r="A67" s="10">
        <f t="shared" si="31"/>
        <v>64</v>
      </c>
      <c r="B67" s="72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38.27199999999997</v>
      </c>
      <c r="D67" s="11">
        <f t="shared" si="32"/>
        <v>11.539469830637575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384.50959167509694</v>
      </c>
      <c r="H67" s="66">
        <f t="shared" si="1"/>
        <v>380.08830995502706</v>
      </c>
      <c r="I67" s="6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0</v>
      </c>
      <c r="O67" s="13">
        <f>N67*VLOOKUP('Données projet'!$B$9,Paramètres!$A$1:$I$89,3,0)*VLOOKUP('Données projet'!$B$9,Paramètres!$A$1:$I$89,5,0)</f>
        <v>0</v>
      </c>
      <c r="P67" s="13" t="e">
        <f t="shared" si="33"/>
        <v>#NUM!</v>
      </c>
      <c r="Q67" s="20" t="e">
        <f t="shared" ref="Q67:Q98" si="54">(O67+P67)*0.475*44/12</f>
        <v>#NUM!</v>
      </c>
      <c r="R67" s="59" t="e">
        <f t="shared" ref="R67:R130" si="55">Q67+(I67+J67)*44/12</f>
        <v>#NUM!</v>
      </c>
      <c r="S67" s="59">
        <f ca="1">AVERAGE(OFFSET($R$3,0,0,'Données projet'!$E$9+1,1))-AVERAGE(OFFSET($H$3,0,0,'Données projet'!$E$9+1,1))</f>
        <v>148.39628895278571</v>
      </c>
      <c r="T67" s="59">
        <f t="shared" si="34"/>
        <v>361.07991692964788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62.990129381712059</v>
      </c>
      <c r="AA67" s="21">
        <f>EXP(-LN(2)/25)*AA66+(1-EXP(-LN(2)/25))/(LN(2)/25)*Calculateur!V67*Calculateur!X67*VLOOKUP('Données projet'!$B$9,Paramètres!$A$1:$I$89,3,0)*0.475*44/12</f>
        <v>5.6011451947831805</v>
      </c>
      <c r="AB67" s="21">
        <f>EXP(-LN(2)/2)*AB66+(1-EXP(-LN(2)/2))/(LN(2)/2)*V67*Y67*VLOOKUP('Données projet'!$B$9,Paramètres!$A$1:$I$89,3,0)*0.475*44/12</f>
        <v>3.4303288270992197E-7</v>
      </c>
      <c r="AC67" s="22">
        <f t="shared" si="3"/>
        <v>68.591274919528118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9.75</v>
      </c>
      <c r="AI67" s="13">
        <f>IF('Données projet'!$A$62&gt;35,AI66+AH67-AQ66,IF(A67&lt;'Données projet'!$A$62,$AF$205^A67,IF(A67='Données projet'!$A$62,'Données projet'!$B$62,AI66+AH67-AQ66)))</f>
        <v>267.27000000000004</v>
      </c>
      <c r="AJ67" s="13">
        <f>AI67*VLOOKUP('Données projet'!$B$10,Paramètres!$A$1:$I$89,3,0)*VLOOKUP('Données projet'!$B$10,Paramètres!$A$1:$I$89,5,0)</f>
        <v>266.84236800000002</v>
      </c>
      <c r="AK67" s="13">
        <f t="shared" si="35"/>
        <v>64.17868196654004</v>
      </c>
      <c r="AL67" s="20">
        <f t="shared" si="4"/>
        <v>576.52832869172391</v>
      </c>
      <c r="AM67" s="59">
        <f t="shared" si="5"/>
        <v>869.86166202505729</v>
      </c>
      <c r="AN67" s="59">
        <f ca="1">AVERAGE(OFFSET($AM$3,0,0,'Données projet'!$E$10+1,1))-AVERAGE(OFFSET($H$3,0,0,'Données projet'!$E$10+1,1))</f>
        <v>525.29195699741149</v>
      </c>
      <c r="AO67" s="59">
        <f t="shared" si="36"/>
        <v>125.99812193007153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44.99590555986331</v>
      </c>
      <c r="AV67" s="21">
        <f>EXP(-LN(2)/25)*AV66+(1-EXP(-LN(2)/25))/(LN(2)/25)*Calculateur!AQ67*Calculateur!AS67*VLOOKUP('Données projet'!$B$10,Paramètres!$A$1:$I$89,3,0)*0.475*44/12</f>
        <v>0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44.99590555986331</v>
      </c>
      <c r="AY67" s="7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 t="e">
        <f>BD67*VLOOKUP('Données projet'!$B$11,Paramètres!$A$1:$I$89,3,0)*VLOOKUP('Données projet'!$B$11,Paramètres!$A$1:$I$89,5,0)</f>
        <v>#N/A</v>
      </c>
      <c r="BF67" s="13" t="e">
        <f t="shared" si="37"/>
        <v>#N/A</v>
      </c>
      <c r="BG67" s="20" t="e">
        <f t="shared" si="7"/>
        <v>#N/A</v>
      </c>
      <c r="BH67" s="59" t="e">
        <f t="shared" si="8"/>
        <v>#N/A</v>
      </c>
      <c r="BI67" s="59" t="e">
        <f ca="1">AVERAGE(OFFSET($BH$3,0,0,'Données projet'!$E$11+1,1))-AVERAGE(OFFSET($H$3,0,0,'Données projet'!$E$11+1,1))</f>
        <v>#N/A</v>
      </c>
      <c r="BJ67" s="59" t="e">
        <f t="shared" si="38"/>
        <v>#N/A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 t="e">
        <f>EXP(-LN(2)/35)*BP66+(1-EXP(-LN(2)/35))/(LN(2)/35)*BL67*BM67*VLOOKUP('Données projet'!$B$11,Paramètres!$A$1:$I$89,3,0)*0.475*44/12</f>
        <v>#N/A</v>
      </c>
      <c r="BQ67" s="21" t="e">
        <f>EXP(-LN(2)/25)*BQ66+(1-EXP(-LN(2)/25))/(LN(2)/25)*Calculateur!BL67*Calculateur!BN67*VLOOKUP('Données projet'!$B$11,Paramètres!$A$1:$I$89,3,0)*0.475*44/12</f>
        <v>#N/A</v>
      </c>
      <c r="BR67" s="21" t="e">
        <f>EXP(-LN(2)/2)*BR66+(1-EXP(-LN(2)/2))/(LN(2)/2)*BL67*BO67*VLOOKUP('Données projet'!$B$11,Paramètres!$A$1:$I$89,3,0)*0.475*44/12</f>
        <v>#N/A</v>
      </c>
      <c r="BS67" s="22" t="e">
        <f t="shared" si="9"/>
        <v>#N/A</v>
      </c>
      <c r="BT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">
      <c r="A68" s="10">
        <f t="shared" si="31"/>
        <v>65</v>
      </c>
      <c r="B68" s="72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38.869999999999969</v>
      </c>
      <c r="D68" s="11">
        <f t="shared" si="32"/>
        <v>11.698642592779086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390.35443404952258</v>
      </c>
      <c r="H68" s="66">
        <f t="shared" ref="H68:H131" si="56">(B68+E68+F68)*44/12+(C68+D68)*0.475*44/12</f>
        <v>381.40705251575685</v>
      </c>
      <c r="I68" s="6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0</v>
      </c>
      <c r="O68" s="13">
        <f>N68*VLOOKUP('Données projet'!$B$9,Paramètres!$A$1:$I$89,3,0)*VLOOKUP('Données projet'!$B$9,Paramètres!$A$1:$I$89,5,0)</f>
        <v>0</v>
      </c>
      <c r="P68" s="13" t="e">
        <f t="shared" si="33"/>
        <v>#NUM!</v>
      </c>
      <c r="Q68" s="20" t="e">
        <f t="shared" si="54"/>
        <v>#NUM!</v>
      </c>
      <c r="R68" s="59" t="e">
        <f t="shared" si="55"/>
        <v>#NUM!</v>
      </c>
      <c r="S68" s="59">
        <f ca="1">AVERAGE(OFFSET($R$3,0,0,'Données projet'!$E$9+1,1))-AVERAGE(OFFSET($H$3,0,0,'Données projet'!$E$9+1,1))</f>
        <v>148.39628895278571</v>
      </c>
      <c r="T68" s="59">
        <f t="shared" si="34"/>
        <v>361.07991692964788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61.754931364721934</v>
      </c>
      <c r="AA68" s="21">
        <f>EXP(-LN(2)/25)*AA67+(1-EXP(-LN(2)/25))/(LN(2)/25)*Calculateur!V68*Calculateur!X68*VLOOKUP('Données projet'!$B$9,Paramètres!$A$1:$I$89,3,0)*0.475*44/12</f>
        <v>5.4479815848804103</v>
      </c>
      <c r="AB68" s="21">
        <f>EXP(-LN(2)/2)*AB67+(1-EXP(-LN(2)/2))/(LN(2)/2)*V68*Y68*VLOOKUP('Données projet'!$B$9,Paramètres!$A$1:$I$89,3,0)*0.475*44/12</f>
        <v>2.4256087753415542E-7</v>
      </c>
      <c r="AC68" s="22">
        <f t="shared" ref="AC68:AC131" si="57">SUM(Z68:AB68)</f>
        <v>67.202913192163223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9.75</v>
      </c>
      <c r="AI68" s="13">
        <f>IF('Données projet'!$A$62&gt;35,AI67+AH68-AQ67,IF(A68&lt;'Données projet'!$A$62,$AF$205^A68,IF(A68='Données projet'!$A$62,'Données projet'!$B$62,AI67+AH68-AQ67)))</f>
        <v>277.02000000000004</v>
      </c>
      <c r="AJ68" s="13">
        <f>AI68*VLOOKUP('Données projet'!$B$10,Paramètres!$A$1:$I$89,3,0)*VLOOKUP('Données projet'!$B$10,Paramètres!$A$1:$I$89,5,0)</f>
        <v>276.57676800000007</v>
      </c>
      <c r="AK68" s="13">
        <f t="shared" si="35"/>
        <v>66.243064446231543</v>
      </c>
      <c r="AL68" s="20">
        <f t="shared" ref="AL68:AL131" si="58">(AJ68+AK68)*0.475*44/12</f>
        <v>597.07787484385324</v>
      </c>
      <c r="AM68" s="59">
        <f t="shared" ref="AM68:AM131" si="59">AL68+(AD68+AE68)*44/12</f>
        <v>890.41120817718661</v>
      </c>
      <c r="AN68" s="59">
        <f ca="1">AVERAGE(OFFSET($AM$3,0,0,'Données projet'!$E$10+1,1))-AVERAGE(OFFSET($H$3,0,0,'Données projet'!$E$10+1,1))</f>
        <v>525.29195699741149</v>
      </c>
      <c r="AO68" s="59">
        <f t="shared" si="36"/>
        <v>125.99812193007153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44.113563296626836</v>
      </c>
      <c r="AV68" s="21">
        <f>EXP(-LN(2)/25)*AV67+(1-EXP(-LN(2)/25))/(LN(2)/25)*Calculateur!AQ68*Calculateur!AS68*VLOOKUP('Données projet'!$B$10,Paramètres!$A$1:$I$89,3,0)*0.475*44/12</f>
        <v>0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44.113563296626836</v>
      </c>
      <c r="AY68" s="7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 t="e">
        <f>BD68*VLOOKUP('Données projet'!$B$11,Paramètres!$A$1:$I$89,3,0)*VLOOKUP('Données projet'!$B$11,Paramètres!$A$1:$I$89,5,0)</f>
        <v>#N/A</v>
      </c>
      <c r="BF68" s="13" t="e">
        <f t="shared" si="37"/>
        <v>#N/A</v>
      </c>
      <c r="BG68" s="20" t="e">
        <f t="shared" ref="BG68:BG131" si="61">(BE68+BF68)*0.475*44/12</f>
        <v>#N/A</v>
      </c>
      <c r="BH68" s="59" t="e">
        <f t="shared" ref="BH68:BH131" si="62">BG68+(AY68+AZ68)*44/12</f>
        <v>#N/A</v>
      </c>
      <c r="BI68" s="59" t="e">
        <f ca="1">AVERAGE(OFFSET($BH$3,0,0,'Données projet'!$E$11+1,1))-AVERAGE(OFFSET($H$3,0,0,'Données projet'!$E$11+1,1))</f>
        <v>#N/A</v>
      </c>
      <c r="BJ68" s="59" t="e">
        <f t="shared" si="38"/>
        <v>#N/A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 t="e">
        <f>EXP(-LN(2)/35)*BP67+(1-EXP(-LN(2)/35))/(LN(2)/35)*BL68*BM68*VLOOKUP('Données projet'!$B$11,Paramètres!$A$1:$I$89,3,0)*0.475*44/12</f>
        <v>#N/A</v>
      </c>
      <c r="BQ68" s="21" t="e">
        <f>EXP(-LN(2)/25)*BQ67+(1-EXP(-LN(2)/25))/(LN(2)/25)*Calculateur!BL68*Calculateur!BN68*VLOOKUP('Données projet'!$B$11,Paramètres!$A$1:$I$89,3,0)*0.475*44/12</f>
        <v>#N/A</v>
      </c>
      <c r="BR68" s="21" t="e">
        <f>EXP(-LN(2)/2)*BR67+(1-EXP(-LN(2)/2))/(LN(2)/2)*BL68*BO68*VLOOKUP('Données projet'!$B$11,Paramètres!$A$1:$I$89,3,0)*0.475*44/12</f>
        <v>#N/A</v>
      </c>
      <c r="BS68" s="22" t="e">
        <f t="shared" ref="BS68:BS131" si="63">SUM(BP68:BR68)</f>
        <v>#N/A</v>
      </c>
      <c r="BT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">
      <c r="A69" s="10">
        <f t="shared" ref="A69:A132" si="85">A68+1</f>
        <v>66</v>
      </c>
      <c r="B69" s="72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39.467999999999968</v>
      </c>
      <c r="D69" s="11">
        <f t="shared" ref="D69:D132" si="86">IFERROR(EXP(-1.0587+0.8836*LN(C69)+0.284),0)</f>
        <v>11.857530556426889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396.19707797943539</v>
      </c>
      <c r="H69" s="66">
        <f t="shared" si="56"/>
        <v>382.7252990524434</v>
      </c>
      <c r="I69" s="6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0</v>
      </c>
      <c r="O69" s="13">
        <f>N69*VLOOKUP('Données projet'!$B$9,Paramètres!$A$1:$I$89,3,0)*VLOOKUP('Données projet'!$B$9,Paramètres!$A$1:$I$89,5,0)</f>
        <v>0</v>
      </c>
      <c r="P69" s="13" t="e">
        <f t="shared" ref="P69:P132" si="87">EXP(-1.0587+0.8836*LN(O69)+0.284)</f>
        <v>#NUM!</v>
      </c>
      <c r="Q69" s="20" t="e">
        <f t="shared" si="54"/>
        <v>#NUM!</v>
      </c>
      <c r="R69" s="59" t="e">
        <f t="shared" si="55"/>
        <v>#NUM!</v>
      </c>
      <c r="S69" s="59">
        <f ca="1">AVERAGE(OFFSET($R$3,0,0,'Données projet'!$E$9+1,1))-AVERAGE(OFFSET($H$3,0,0,'Données projet'!$E$9+1,1))</f>
        <v>148.39628895278571</v>
      </c>
      <c r="T69" s="59">
        <f t="shared" ref="T69:T132" si="88">$T$3</f>
        <v>361.07991692964788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60.54395482744858</v>
      </c>
      <c r="AA69" s="21">
        <f>EXP(-LN(2)/25)*AA68+(1-EXP(-LN(2)/25))/(LN(2)/25)*Calculateur!V69*Calculateur!X69*VLOOKUP('Données projet'!$B$9,Paramètres!$A$1:$I$89,3,0)*0.475*44/12</f>
        <v>5.2990062419449551</v>
      </c>
      <c r="AB69" s="21">
        <f>EXP(-LN(2)/2)*AB68+(1-EXP(-LN(2)/2))/(LN(2)/2)*V69*Y69*VLOOKUP('Données projet'!$B$9,Paramètres!$A$1:$I$89,3,0)*0.475*44/12</f>
        <v>1.7151644135496099E-7</v>
      </c>
      <c r="AC69" s="22">
        <f t="shared" si="57"/>
        <v>65.842961240909986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>
        <f>VLOOKUP(A69,'Données projet'!$A$61:$I$81,2,0)</f>
        <v>286.77</v>
      </c>
      <c r="AG69" s="12">
        <f>VLOOKUP(A69,'Données projet'!$A$61:$I$81,9,0)</f>
        <v>9.75</v>
      </c>
      <c r="AH69" s="12">
        <f t="array" ref="AH69">INDEX(AG:AG,MIN(IF(ISNUMBER(AG69:AG265),ROW(AG69:AG265),"")))</f>
        <v>9.75</v>
      </c>
      <c r="AI69" s="13">
        <f>IF('Données projet'!$A$62&gt;35,AI68+AH69-AQ68,IF(A69&lt;'Données projet'!$A$62,$AF$205^A69,IF(A69='Données projet'!$A$62,'Données projet'!$B$62,AI68+AH69-AQ68)))</f>
        <v>286.77000000000004</v>
      </c>
      <c r="AJ69" s="13">
        <f>AI69*VLOOKUP('Données projet'!$B$10,Paramètres!$A$1:$I$89,3,0)*VLOOKUP('Données projet'!$B$10,Paramètres!$A$1:$I$89,5,0)</f>
        <v>286.31116800000007</v>
      </c>
      <c r="AK69" s="13">
        <f t="shared" ref="AK69:AK132" si="89">EXP(-1.0587+0.8836*LN(AJ69)+0.284)</f>
        <v>68.299004989940173</v>
      </c>
      <c r="AL69" s="20">
        <f t="shared" si="58"/>
        <v>617.61271795747916</v>
      </c>
      <c r="AM69" s="59">
        <f t="shared" si="59"/>
        <v>910.94605129081242</v>
      </c>
      <c r="AN69" s="59">
        <f ca="1">AVERAGE(OFFSET($AM$3,0,0,'Données projet'!$E$10+1,1))-AVERAGE(OFFSET($H$3,0,0,'Données projet'!$E$10+1,1))</f>
        <v>525.29195699741149</v>
      </c>
      <c r="AO69" s="59">
        <f t="shared" ref="AO69:AO132" si="90">$AO$3</f>
        <v>125.99812193007153</v>
      </c>
      <c r="AP69" s="15">
        <f>IF(ISNA(VLOOKUP(A69,'Données projet'!$A$61:$I$81,3,0)),0,VLOOKUP(A69,'Données projet'!$A$61:$I$81,3,0))</f>
        <v>4</v>
      </c>
      <c r="AQ69" s="15">
        <f>IF(ISNA(VLOOKUP(A69,'Données projet'!$A$61:$I$81,4,0)),0,VLOOKUP(A69,'Données projet'!$A$61:$I$81,4,0))</f>
        <v>49.91</v>
      </c>
      <c r="AR69" s="16">
        <f>IF(ISNA(VLOOKUP(A69,'Données projet'!$A$61:$I$81,5,0)),0%,VLOOKUP(A69,'Données projet'!$A$61:$I$81,5,0)*VLOOKUP('Données projet'!$B$10,Paramètres!$A$1:$I$89,7,0))</f>
        <v>0.43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66.935394952937258</v>
      </c>
      <c r="AV69" s="21">
        <f>EXP(-LN(2)/25)*AV68+(1-EXP(-LN(2)/25))/(LN(2)/25)*Calculateur!AQ69*Calculateur!AS69*VLOOKUP('Données projet'!$B$10,Paramètres!$A$1:$I$89,3,0)*0.475*44/12</f>
        <v>0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66.935394952937258</v>
      </c>
      <c r="AY69" s="7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 t="e">
        <f>BD69*VLOOKUP('Données projet'!$B$11,Paramètres!$A$1:$I$89,3,0)*VLOOKUP('Données projet'!$B$11,Paramètres!$A$1:$I$89,5,0)</f>
        <v>#N/A</v>
      </c>
      <c r="BF69" s="13" t="e">
        <f t="shared" ref="BF69:BF132" si="91">EXP(-1.0587+0.8836*LN(BE69)+0.284)</f>
        <v>#N/A</v>
      </c>
      <c r="BG69" s="20" t="e">
        <f t="shared" si="61"/>
        <v>#N/A</v>
      </c>
      <c r="BH69" s="59" t="e">
        <f t="shared" si="62"/>
        <v>#N/A</v>
      </c>
      <c r="BI69" s="59" t="e">
        <f ca="1">AVERAGE(OFFSET($BH$3,0,0,'Données projet'!$E$11+1,1))-AVERAGE(OFFSET($H$3,0,0,'Données projet'!$E$11+1,1))</f>
        <v>#N/A</v>
      </c>
      <c r="BJ69" s="59" t="e">
        <f t="shared" ref="BJ69:BJ132" si="92">$BJ$3</f>
        <v>#N/A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 t="e">
        <f>EXP(-LN(2)/35)*BP68+(1-EXP(-LN(2)/35))/(LN(2)/35)*BL69*BM69*VLOOKUP('Données projet'!$B$11,Paramètres!$A$1:$I$89,3,0)*0.475*44/12</f>
        <v>#N/A</v>
      </c>
      <c r="BQ69" s="21" t="e">
        <f>EXP(-LN(2)/25)*BQ68+(1-EXP(-LN(2)/25))/(LN(2)/25)*Calculateur!BL69*Calculateur!BN69*VLOOKUP('Données projet'!$B$11,Paramètres!$A$1:$I$89,3,0)*0.475*44/12</f>
        <v>#N/A</v>
      </c>
      <c r="BR69" s="21" t="e">
        <f>EXP(-LN(2)/2)*BR68+(1-EXP(-LN(2)/2))/(LN(2)/2)*BL69*BO69*VLOOKUP('Données projet'!$B$11,Paramètres!$A$1:$I$89,3,0)*0.475*44/12</f>
        <v>#N/A</v>
      </c>
      <c r="BS69" s="22" t="e">
        <f t="shared" si="63"/>
        <v>#N/A</v>
      </c>
      <c r="BT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">
      <c r="A70" s="10">
        <f t="shared" si="85"/>
        <v>67</v>
      </c>
      <c r="B70" s="72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40.065999999999967</v>
      </c>
      <c r="D70" s="11">
        <f t="shared" si="86"/>
        <v>12.016138535115942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402.03756062194742</v>
      </c>
      <c r="H70" s="66">
        <f t="shared" si="56"/>
        <v>384.04305794866019</v>
      </c>
      <c r="I70" s="6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0</v>
      </c>
      <c r="O70" s="13">
        <f>N70*VLOOKUP('Données projet'!$B$9,Paramètres!$A$1:$I$89,3,0)*VLOOKUP('Données projet'!$B$9,Paramètres!$A$1:$I$89,5,0)</f>
        <v>0</v>
      </c>
      <c r="P70" s="13" t="e">
        <f t="shared" si="87"/>
        <v>#NUM!</v>
      </c>
      <c r="Q70" s="20" t="e">
        <f t="shared" si="54"/>
        <v>#NUM!</v>
      </c>
      <c r="R70" s="59" t="e">
        <f t="shared" si="55"/>
        <v>#NUM!</v>
      </c>
      <c r="S70" s="59">
        <f ca="1">AVERAGE(OFFSET($R$3,0,0,'Données projet'!$E$9+1,1))-AVERAGE(OFFSET($H$3,0,0,'Données projet'!$E$9+1,1))</f>
        <v>148.39628895278571</v>
      </c>
      <c r="T70" s="59">
        <f t="shared" si="88"/>
        <v>361.07991692964788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59.356724801448408</v>
      </c>
      <c r="AA70" s="21">
        <f>EXP(-LN(2)/25)*AA69+(1-EXP(-LN(2)/25))/(LN(2)/25)*Calculateur!V70*Calculateur!X70*VLOOKUP('Données projet'!$B$9,Paramètres!$A$1:$I$89,3,0)*0.475*44/12</f>
        <v>5.1541046375963431</v>
      </c>
      <c r="AB70" s="21">
        <f>EXP(-LN(2)/2)*AB69+(1-EXP(-LN(2)/2))/(LN(2)/2)*V70*Y70*VLOOKUP('Données projet'!$B$9,Paramètres!$A$1:$I$89,3,0)*0.475*44/12</f>
        <v>1.2128043876707771E-7</v>
      </c>
      <c r="AC70" s="22">
        <f t="shared" si="57"/>
        <v>64.510829560325192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9.2624999999999993</v>
      </c>
      <c r="AI70" s="13">
        <f>IF('Données projet'!$A$62&gt;35,AI69+AH70-AQ69,IF(A70&lt;'Données projet'!$A$62,$AF$205^A70,IF(A70='Données projet'!$A$62,'Données projet'!$B$62,AI69+AH70-AQ69)))</f>
        <v>246.12250000000003</v>
      </c>
      <c r="AJ70" s="13">
        <f>AI70*VLOOKUP('Données projet'!$B$10,Paramètres!$A$1:$I$89,3,0)*VLOOKUP('Données projet'!$B$10,Paramètres!$A$1:$I$89,5,0)</f>
        <v>245.72870400000002</v>
      </c>
      <c r="AK70" s="13">
        <f t="shared" si="89"/>
        <v>59.670391791375131</v>
      </c>
      <c r="AL70" s="20">
        <f t="shared" si="58"/>
        <v>531.90342516997828</v>
      </c>
      <c r="AM70" s="59">
        <f t="shared" si="59"/>
        <v>825.23675850331165</v>
      </c>
      <c r="AN70" s="59">
        <f ca="1">AVERAGE(OFFSET($AM$3,0,0,'Données projet'!$E$10+1,1))-AVERAGE(OFFSET($H$3,0,0,'Données projet'!$E$10+1,1))</f>
        <v>525.29195699741149</v>
      </c>
      <c r="AO70" s="59">
        <f t="shared" si="90"/>
        <v>125.99812193007153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65.622832684469799</v>
      </c>
      <c r="AV70" s="21">
        <f>EXP(-LN(2)/25)*AV69+(1-EXP(-LN(2)/25))/(LN(2)/25)*Calculateur!AQ70*Calculateur!AS70*VLOOKUP('Données projet'!$B$10,Paramètres!$A$1:$I$89,3,0)*0.475*44/12</f>
        <v>0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65.622832684469799</v>
      </c>
      <c r="AY70" s="7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 t="e">
        <f>BD70*VLOOKUP('Données projet'!$B$11,Paramètres!$A$1:$I$89,3,0)*VLOOKUP('Données projet'!$B$11,Paramètres!$A$1:$I$89,5,0)</f>
        <v>#N/A</v>
      </c>
      <c r="BF70" s="13" t="e">
        <f t="shared" si="91"/>
        <v>#N/A</v>
      </c>
      <c r="BG70" s="20" t="e">
        <f t="shared" si="61"/>
        <v>#N/A</v>
      </c>
      <c r="BH70" s="59" t="e">
        <f t="shared" si="62"/>
        <v>#N/A</v>
      </c>
      <c r="BI70" s="59" t="e">
        <f ca="1">AVERAGE(OFFSET($BH$3,0,0,'Données projet'!$E$11+1,1))-AVERAGE(OFFSET($H$3,0,0,'Données projet'!$E$11+1,1))</f>
        <v>#N/A</v>
      </c>
      <c r="BJ70" s="59" t="e">
        <f t="shared" si="92"/>
        <v>#N/A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 t="e">
        <f>EXP(-LN(2)/35)*BP69+(1-EXP(-LN(2)/35))/(LN(2)/35)*BL70*BM70*VLOOKUP('Données projet'!$B$11,Paramètres!$A$1:$I$89,3,0)*0.475*44/12</f>
        <v>#N/A</v>
      </c>
      <c r="BQ70" s="21" t="e">
        <f>EXP(-LN(2)/25)*BQ69+(1-EXP(-LN(2)/25))/(LN(2)/25)*Calculateur!BL70*Calculateur!BN70*VLOOKUP('Données projet'!$B$11,Paramètres!$A$1:$I$89,3,0)*0.475*44/12</f>
        <v>#N/A</v>
      </c>
      <c r="BR70" s="21" t="e">
        <f>EXP(-LN(2)/2)*BR69+(1-EXP(-LN(2)/2))/(LN(2)/2)*BL70*BO70*VLOOKUP('Données projet'!$B$11,Paramètres!$A$1:$I$89,3,0)*0.475*44/12</f>
        <v>#N/A</v>
      </c>
      <c r="BS70" s="22" t="e">
        <f t="shared" si="63"/>
        <v>#N/A</v>
      </c>
      <c r="BT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">
      <c r="A71" s="10">
        <f t="shared" si="85"/>
        <v>68</v>
      </c>
      <c r="B71" s="72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40.663999999999966</v>
      </c>
      <c r="D71" s="11">
        <f t="shared" si="86"/>
        <v>12.174471190446138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407.8759179613383</v>
      </c>
      <c r="H71" s="66">
        <f t="shared" si="56"/>
        <v>385.36033732336028</v>
      </c>
      <c r="I71" s="6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0</v>
      </c>
      <c r="O71" s="13">
        <f>N71*VLOOKUP('Données projet'!$B$9,Paramètres!$A$1:$I$89,3,0)*VLOOKUP('Données projet'!$B$9,Paramètres!$A$1:$I$89,5,0)</f>
        <v>0</v>
      </c>
      <c r="P71" s="13" t="e">
        <f t="shared" si="87"/>
        <v>#NUM!</v>
      </c>
      <c r="Q71" s="20" t="e">
        <f t="shared" si="54"/>
        <v>#NUM!</v>
      </c>
      <c r="R71" s="59" t="e">
        <f t="shared" si="55"/>
        <v>#NUM!</v>
      </c>
      <c r="S71" s="59">
        <f ca="1">AVERAGE(OFFSET($R$3,0,0,'Données projet'!$E$9+1,1))-AVERAGE(OFFSET($H$3,0,0,'Données projet'!$E$9+1,1))</f>
        <v>148.39628895278571</v>
      </c>
      <c r="T71" s="59">
        <f t="shared" si="88"/>
        <v>361.07991692964788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58.192775632119286</v>
      </c>
      <c r="AA71" s="21">
        <f>EXP(-LN(2)/25)*AA70+(1-EXP(-LN(2)/25))/(LN(2)/25)*Calculateur!V71*Calculateur!X71*VLOOKUP('Données projet'!$B$9,Paramètres!$A$1:$I$89,3,0)*0.475*44/12</f>
        <v>5.013165375238688</v>
      </c>
      <c r="AB71" s="21">
        <f>EXP(-LN(2)/2)*AB70+(1-EXP(-LN(2)/2))/(LN(2)/2)*V71*Y71*VLOOKUP('Données projet'!$B$9,Paramètres!$A$1:$I$89,3,0)*0.475*44/12</f>
        <v>8.5758220677480493E-8</v>
      </c>
      <c r="AC71" s="22">
        <f t="shared" si="57"/>
        <v>63.205941093116195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9.2624999999999993</v>
      </c>
      <c r="AI71" s="13">
        <f>IF('Données projet'!$A$62&gt;35,AI70+AH71-AQ70,IF(A71&lt;'Données projet'!$A$62,$AF$205^A71,IF(A71='Données projet'!$A$62,'Données projet'!$B$62,AI70+AH71-AQ70)))</f>
        <v>255.38500000000002</v>
      </c>
      <c r="AJ71" s="13">
        <f>AI71*VLOOKUP('Données projet'!$B$10,Paramètres!$A$1:$I$89,3,0)*VLOOKUP('Données projet'!$B$10,Paramètres!$A$1:$I$89,5,0)</f>
        <v>254.97638400000002</v>
      </c>
      <c r="AK71" s="13">
        <f t="shared" si="89"/>
        <v>61.65033311723095</v>
      </c>
      <c r="AL71" s="20">
        <f t="shared" si="58"/>
        <v>551.45819897917727</v>
      </c>
      <c r="AM71" s="59">
        <f t="shared" si="59"/>
        <v>844.79153231251053</v>
      </c>
      <c r="AN71" s="59">
        <f ca="1">AVERAGE(OFFSET($AM$3,0,0,'Données projet'!$E$10+1,1))-AVERAGE(OFFSET($H$3,0,0,'Données projet'!$E$10+1,1))</f>
        <v>525.29195699741149</v>
      </c>
      <c r="AO71" s="59">
        <f t="shared" si="90"/>
        <v>125.99812193007153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64.33600896150304</v>
      </c>
      <c r="AV71" s="21">
        <f>EXP(-LN(2)/25)*AV70+(1-EXP(-LN(2)/25))/(LN(2)/25)*Calculateur!AQ71*Calculateur!AS71*VLOOKUP('Données projet'!$B$10,Paramètres!$A$1:$I$89,3,0)*0.475*44/12</f>
        <v>0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64.33600896150304</v>
      </c>
      <c r="AY71" s="7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 t="e">
        <f>BD71*VLOOKUP('Données projet'!$B$11,Paramètres!$A$1:$I$89,3,0)*VLOOKUP('Données projet'!$B$11,Paramètres!$A$1:$I$89,5,0)</f>
        <v>#N/A</v>
      </c>
      <c r="BF71" s="13" t="e">
        <f t="shared" si="91"/>
        <v>#N/A</v>
      </c>
      <c r="BG71" s="20" t="e">
        <f t="shared" si="61"/>
        <v>#N/A</v>
      </c>
      <c r="BH71" s="59" t="e">
        <f t="shared" si="62"/>
        <v>#N/A</v>
      </c>
      <c r="BI71" s="59" t="e">
        <f ca="1">AVERAGE(OFFSET($BH$3,0,0,'Données projet'!$E$11+1,1))-AVERAGE(OFFSET($H$3,0,0,'Données projet'!$E$11+1,1))</f>
        <v>#N/A</v>
      </c>
      <c r="BJ71" s="59" t="e">
        <f t="shared" si="92"/>
        <v>#N/A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 t="e">
        <f>EXP(-LN(2)/35)*BP70+(1-EXP(-LN(2)/35))/(LN(2)/35)*BL71*BM71*VLOOKUP('Données projet'!$B$11,Paramètres!$A$1:$I$89,3,0)*0.475*44/12</f>
        <v>#N/A</v>
      </c>
      <c r="BQ71" s="21" t="e">
        <f>EXP(-LN(2)/25)*BQ70+(1-EXP(-LN(2)/25))/(LN(2)/25)*Calculateur!BL71*Calculateur!BN71*VLOOKUP('Données projet'!$B$11,Paramètres!$A$1:$I$89,3,0)*0.475*44/12</f>
        <v>#N/A</v>
      </c>
      <c r="BR71" s="21" t="e">
        <f>EXP(-LN(2)/2)*BR70+(1-EXP(-LN(2)/2))/(LN(2)/2)*BL71*BO71*VLOOKUP('Données projet'!$B$11,Paramètres!$A$1:$I$89,3,0)*0.475*44/12</f>
        <v>#N/A</v>
      </c>
      <c r="BS71" s="22" t="e">
        <f t="shared" si="63"/>
        <v>#N/A</v>
      </c>
      <c r="BT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">
      <c r="A72" s="10">
        <f t="shared" si="85"/>
        <v>69</v>
      </c>
      <c r="B72" s="72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41.261999999999965</v>
      </c>
      <c r="D72" s="11">
        <f t="shared" si="86"/>
        <v>12.332533039040444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413.71218486276803</v>
      </c>
      <c r="H72" s="66">
        <f t="shared" si="56"/>
        <v>386.67714504299533</v>
      </c>
      <c r="I72" s="6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0</v>
      </c>
      <c r="O72" s="13">
        <f>N72*VLOOKUP('Données projet'!$B$9,Paramètres!$A$1:$I$89,3,0)*VLOOKUP('Données projet'!$B$9,Paramètres!$A$1:$I$89,5,0)</f>
        <v>0</v>
      </c>
      <c r="P72" s="13" t="e">
        <f t="shared" si="87"/>
        <v>#NUM!</v>
      </c>
      <c r="Q72" s="20" t="e">
        <f t="shared" si="54"/>
        <v>#NUM!</v>
      </c>
      <c r="R72" s="59" t="e">
        <f t="shared" si="55"/>
        <v>#NUM!</v>
      </c>
      <c r="S72" s="59">
        <f ca="1">AVERAGE(OFFSET($R$3,0,0,'Données projet'!$E$9+1,1))-AVERAGE(OFFSET($H$3,0,0,'Données projet'!$E$9+1,1))</f>
        <v>148.39628895278571</v>
      </c>
      <c r="T72" s="59">
        <f t="shared" si="88"/>
        <v>361.07991692964788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57.051650796061814</v>
      </c>
      <c r="AA72" s="21">
        <f>EXP(-LN(2)/25)*AA71+(1-EXP(-LN(2)/25))/(LN(2)/25)*Calculateur!V72*Calculateur!X72*VLOOKUP('Données projet'!$B$9,Paramètres!$A$1:$I$89,3,0)*0.475*44/12</f>
        <v>4.8760801044218764</v>
      </c>
      <c r="AB72" s="21">
        <f>EXP(-LN(2)/2)*AB71+(1-EXP(-LN(2)/2))/(LN(2)/2)*V72*Y72*VLOOKUP('Données projet'!$B$9,Paramètres!$A$1:$I$89,3,0)*0.475*44/12</f>
        <v>6.0640219383538854E-8</v>
      </c>
      <c r="AC72" s="22">
        <f t="shared" si="57"/>
        <v>61.927730961123906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9.2624999999999993</v>
      </c>
      <c r="AI72" s="13">
        <f>IF('Données projet'!$A$62&gt;35,AI71+AH72-AQ71,IF(A72&lt;'Données projet'!$A$62,$AF$205^A72,IF(A72='Données projet'!$A$62,'Données projet'!$B$62,AI71+AH72-AQ71)))</f>
        <v>264.64750000000004</v>
      </c>
      <c r="AJ72" s="13">
        <f>AI72*VLOOKUP('Données projet'!$B$10,Paramètres!$A$1:$I$89,3,0)*VLOOKUP('Données projet'!$B$10,Paramètres!$A$1:$I$89,5,0)</f>
        <v>264.22406400000006</v>
      </c>
      <c r="AK72" s="13">
        <f t="shared" si="89"/>
        <v>63.621931441662191</v>
      </c>
      <c r="AL72" s="20">
        <f t="shared" si="58"/>
        <v>570.99844206089506</v>
      </c>
      <c r="AM72" s="59">
        <f t="shared" si="59"/>
        <v>864.33177539422832</v>
      </c>
      <c r="AN72" s="59">
        <f ca="1">AVERAGE(OFFSET($AM$3,0,0,'Données projet'!$E$10+1,1))-AVERAGE(OFFSET($H$3,0,0,'Données projet'!$E$10+1,1))</f>
        <v>525.29195699741149</v>
      </c>
      <c r="AO72" s="59">
        <f t="shared" si="90"/>
        <v>125.99812193007153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63.074419066858695</v>
      </c>
      <c r="AV72" s="21">
        <f>EXP(-LN(2)/25)*AV71+(1-EXP(-LN(2)/25))/(LN(2)/25)*Calculateur!AQ72*Calculateur!AS72*VLOOKUP('Données projet'!$B$10,Paramètres!$A$1:$I$89,3,0)*0.475*44/12</f>
        <v>0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63.074419066858695</v>
      </c>
      <c r="AY72" s="7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 t="e">
        <f>BD72*VLOOKUP('Données projet'!$B$11,Paramètres!$A$1:$I$89,3,0)*VLOOKUP('Données projet'!$B$11,Paramètres!$A$1:$I$89,5,0)</f>
        <v>#N/A</v>
      </c>
      <c r="BF72" s="13" t="e">
        <f t="shared" si="91"/>
        <v>#N/A</v>
      </c>
      <c r="BG72" s="20" t="e">
        <f t="shared" si="61"/>
        <v>#N/A</v>
      </c>
      <c r="BH72" s="59" t="e">
        <f t="shared" si="62"/>
        <v>#N/A</v>
      </c>
      <c r="BI72" s="59" t="e">
        <f ca="1">AVERAGE(OFFSET($BH$3,0,0,'Données projet'!$E$11+1,1))-AVERAGE(OFFSET($H$3,0,0,'Données projet'!$E$11+1,1))</f>
        <v>#N/A</v>
      </c>
      <c r="BJ72" s="59" t="e">
        <f t="shared" si="92"/>
        <v>#N/A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 t="e">
        <f>EXP(-LN(2)/35)*BP71+(1-EXP(-LN(2)/35))/(LN(2)/35)*BL72*BM72*VLOOKUP('Données projet'!$B$11,Paramètres!$A$1:$I$89,3,0)*0.475*44/12</f>
        <v>#N/A</v>
      </c>
      <c r="BQ72" s="21" t="e">
        <f>EXP(-LN(2)/25)*BQ71+(1-EXP(-LN(2)/25))/(LN(2)/25)*Calculateur!BL72*Calculateur!BN72*VLOOKUP('Données projet'!$B$11,Paramètres!$A$1:$I$89,3,0)*0.475*44/12</f>
        <v>#N/A</v>
      </c>
      <c r="BR72" s="21" t="e">
        <f>EXP(-LN(2)/2)*BR71+(1-EXP(-LN(2)/2))/(LN(2)/2)*BL72*BO72*VLOOKUP('Données projet'!$B$11,Paramètres!$A$1:$I$89,3,0)*0.475*44/12</f>
        <v>#N/A</v>
      </c>
      <c r="BS72" s="22" t="e">
        <f t="shared" si="63"/>
        <v>#N/A</v>
      </c>
      <c r="BT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">
      <c r="A73" s="10">
        <f t="shared" si="85"/>
        <v>70</v>
      </c>
      <c r="B73" s="72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41.859999999999964</v>
      </c>
      <c r="D73" s="11">
        <f t="shared" si="86"/>
        <v>12.490328459088207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419.5463951227859</v>
      </c>
      <c r="H73" s="66">
        <f t="shared" si="56"/>
        <v>387.99348873291189</v>
      </c>
      <c r="I73" s="6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0</v>
      </c>
      <c r="O73" s="13">
        <f>N73*VLOOKUP('Données projet'!$B$9,Paramètres!$A$1:$I$89,3,0)*VLOOKUP('Données projet'!$B$9,Paramètres!$A$1:$I$89,5,0)</f>
        <v>0</v>
      </c>
      <c r="P73" s="13" t="e">
        <f t="shared" si="87"/>
        <v>#NUM!</v>
      </c>
      <c r="Q73" s="20" t="e">
        <f t="shared" si="54"/>
        <v>#NUM!</v>
      </c>
      <c r="R73" s="59" t="e">
        <f t="shared" si="55"/>
        <v>#NUM!</v>
      </c>
      <c r="S73" s="59">
        <f ca="1">AVERAGE(OFFSET($R$3,0,0,'Données projet'!$E$9+1,1))-AVERAGE(OFFSET($H$3,0,0,'Données projet'!$E$9+1,1))</f>
        <v>148.39628895278571</v>
      </c>
      <c r="T73" s="59">
        <f t="shared" si="88"/>
        <v>361.07991692964788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55.932902722022007</v>
      </c>
      <c r="AA73" s="21">
        <f>EXP(-LN(2)/25)*AA72+(1-EXP(-LN(2)/25))/(LN(2)/25)*Calculateur!V73*Calculateur!X73*VLOOKUP('Données projet'!$B$9,Paramètres!$A$1:$I$89,3,0)*0.475*44/12</f>
        <v>4.7427434375445516</v>
      </c>
      <c r="AB73" s="21">
        <f>EXP(-LN(2)/2)*AB72+(1-EXP(-LN(2)/2))/(LN(2)/2)*V73*Y73*VLOOKUP('Données projet'!$B$9,Paramètres!$A$1:$I$89,3,0)*0.475*44/12</f>
        <v>4.2879110338740246E-8</v>
      </c>
      <c r="AC73" s="22">
        <f t="shared" si="57"/>
        <v>60.67564620244567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9.2624999999999993</v>
      </c>
      <c r="AI73" s="13">
        <f>IF('Données projet'!$A$62&gt;35,AI72+AH73-AQ72,IF(A73&lt;'Données projet'!$A$62,$AF$205^A73,IF(A73='Données projet'!$A$62,'Données projet'!$B$62,AI72+AH73-AQ72)))</f>
        <v>273.91000000000003</v>
      </c>
      <c r="AJ73" s="13">
        <f>AI73*VLOOKUP('Données projet'!$B$10,Paramètres!$A$1:$I$89,3,0)*VLOOKUP('Données projet'!$B$10,Paramètres!$A$1:$I$89,5,0)</f>
        <v>273.471744</v>
      </c>
      <c r="AK73" s="13">
        <f t="shared" si="89"/>
        <v>65.58551222533309</v>
      </c>
      <c r="AL73" s="20">
        <f t="shared" si="58"/>
        <v>590.52472125912175</v>
      </c>
      <c r="AM73" s="59">
        <f t="shared" si="59"/>
        <v>883.85805459245512</v>
      </c>
      <c r="AN73" s="59">
        <f ca="1">AVERAGE(OFFSET($AM$3,0,0,'Données projet'!$E$10+1,1))-AVERAGE(OFFSET($H$3,0,0,'Données projet'!$E$10+1,1))</f>
        <v>525.29195699741149</v>
      </c>
      <c r="AO73" s="59">
        <f t="shared" si="90"/>
        <v>125.99812193007153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61.83756818055447</v>
      </c>
      <c r="AV73" s="21">
        <f>EXP(-LN(2)/25)*AV72+(1-EXP(-LN(2)/25))/(LN(2)/25)*Calculateur!AQ73*Calculateur!AS73*VLOOKUP('Données projet'!$B$10,Paramètres!$A$1:$I$89,3,0)*0.475*44/12</f>
        <v>0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61.83756818055447</v>
      </c>
      <c r="AY73" s="7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 t="e">
        <f>BD73*VLOOKUP('Données projet'!$B$11,Paramètres!$A$1:$I$89,3,0)*VLOOKUP('Données projet'!$B$11,Paramètres!$A$1:$I$89,5,0)</f>
        <v>#N/A</v>
      </c>
      <c r="BF73" s="13" t="e">
        <f t="shared" si="91"/>
        <v>#N/A</v>
      </c>
      <c r="BG73" s="20" t="e">
        <f t="shared" si="61"/>
        <v>#N/A</v>
      </c>
      <c r="BH73" s="59" t="e">
        <f t="shared" si="62"/>
        <v>#N/A</v>
      </c>
      <c r="BI73" s="59" t="e">
        <f ca="1">AVERAGE(OFFSET($BH$3,0,0,'Données projet'!$E$11+1,1))-AVERAGE(OFFSET($H$3,0,0,'Données projet'!$E$11+1,1))</f>
        <v>#N/A</v>
      </c>
      <c r="BJ73" s="59" t="e">
        <f t="shared" si="92"/>
        <v>#N/A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 t="e">
        <f>EXP(-LN(2)/35)*BP72+(1-EXP(-LN(2)/35))/(LN(2)/35)*BL73*BM73*VLOOKUP('Données projet'!$B$11,Paramètres!$A$1:$I$89,3,0)*0.475*44/12</f>
        <v>#N/A</v>
      </c>
      <c r="BQ73" s="21" t="e">
        <f>EXP(-LN(2)/25)*BQ72+(1-EXP(-LN(2)/25))/(LN(2)/25)*Calculateur!BL73*Calculateur!BN73*VLOOKUP('Données projet'!$B$11,Paramètres!$A$1:$I$89,3,0)*0.475*44/12</f>
        <v>#N/A</v>
      </c>
      <c r="BR73" s="21" t="e">
        <f>EXP(-LN(2)/2)*BR72+(1-EXP(-LN(2)/2))/(LN(2)/2)*BL73*BO73*VLOOKUP('Données projet'!$B$11,Paramètres!$A$1:$I$89,3,0)*0.475*44/12</f>
        <v>#N/A</v>
      </c>
      <c r="BS73" s="22" t="e">
        <f t="shared" si="63"/>
        <v>#N/A</v>
      </c>
      <c r="BT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">
      <c r="A74" s="10">
        <f t="shared" si="85"/>
        <v>71</v>
      </c>
      <c r="B74" s="72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42.457999999999963</v>
      </c>
      <c r="D74" s="11">
        <f t="shared" si="86"/>
        <v>12.64786169650392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425.37858151687209</v>
      </c>
      <c r="H74" s="66">
        <f t="shared" si="56"/>
        <v>389.30937578807755</v>
      </c>
      <c r="I74" s="6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0</v>
      </c>
      <c r="O74" s="13">
        <f>N74*VLOOKUP('Données projet'!$B$9,Paramètres!$A$1:$I$89,3,0)*VLOOKUP('Données projet'!$B$9,Paramètres!$A$1:$I$89,5,0)</f>
        <v>0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148.39628895278571</v>
      </c>
      <c r="T74" s="59">
        <f t="shared" si="88"/>
        <v>361.07991692964788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54.836092615345173</v>
      </c>
      <c r="AA74" s="21">
        <f>EXP(-LN(2)/25)*AA73+(1-EXP(-LN(2)/25))/(LN(2)/25)*Calculateur!V74*Calculateur!X74*VLOOKUP('Données projet'!$B$9,Paramètres!$A$1:$I$89,3,0)*0.475*44/12</f>
        <v>4.613052868834858</v>
      </c>
      <c r="AB74" s="21">
        <f>EXP(-LN(2)/2)*AB73+(1-EXP(-LN(2)/2))/(LN(2)/2)*V74*Y74*VLOOKUP('Données projet'!$B$9,Paramètres!$A$1:$I$89,3,0)*0.475*44/12</f>
        <v>3.0320109691769427E-8</v>
      </c>
      <c r="AC74" s="22">
        <f t="shared" si="57"/>
        <v>59.449145514500138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9.2624999999999993</v>
      </c>
      <c r="AI74" s="13">
        <f>IF('Données projet'!$A$62&gt;35,AI73+AH74-AQ73,IF(A74&lt;'Données projet'!$A$62,$AF$205^A74,IF(A74='Données projet'!$A$62,'Données projet'!$B$62,AI73+AH74-AQ73)))</f>
        <v>283.17250000000001</v>
      </c>
      <c r="AJ74" s="13">
        <f>AI74*VLOOKUP('Données projet'!$B$10,Paramètres!$A$1:$I$89,3,0)*VLOOKUP('Données projet'!$B$10,Paramètres!$A$1:$I$89,5,0)</f>
        <v>282.719424</v>
      </c>
      <c r="AK74" s="13">
        <f t="shared" si="89"/>
        <v>67.541377668676276</v>
      </c>
      <c r="AL74" s="20">
        <f t="shared" si="58"/>
        <v>610.0375629062778</v>
      </c>
      <c r="AM74" s="59">
        <f t="shared" si="59"/>
        <v>903.37089623961106</v>
      </c>
      <c r="AN74" s="59">
        <f ca="1">AVERAGE(OFFSET($AM$3,0,0,'Données projet'!$E$10+1,1))-AVERAGE(OFFSET($H$3,0,0,'Données projet'!$E$10+1,1))</f>
        <v>525.29195699741149</v>
      </c>
      <c r="AO74" s="59">
        <f t="shared" si="90"/>
        <v>125.99812193007153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60.624971185726125</v>
      </c>
      <c r="AV74" s="21">
        <f>EXP(-LN(2)/25)*AV73+(1-EXP(-LN(2)/25))/(LN(2)/25)*Calculateur!AQ74*Calculateur!AS74*VLOOKUP('Données projet'!$B$10,Paramètres!$A$1:$I$89,3,0)*0.475*44/12</f>
        <v>0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60.624971185726125</v>
      </c>
      <c r="AY74" s="7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 t="e">
        <f>BD74*VLOOKUP('Données projet'!$B$11,Paramètres!$A$1:$I$89,3,0)*VLOOKUP('Données projet'!$B$11,Paramètres!$A$1:$I$89,5,0)</f>
        <v>#N/A</v>
      </c>
      <c r="BF74" s="13" t="e">
        <f t="shared" si="91"/>
        <v>#N/A</v>
      </c>
      <c r="BG74" s="20" t="e">
        <f t="shared" si="61"/>
        <v>#N/A</v>
      </c>
      <c r="BH74" s="59" t="e">
        <f t="shared" si="62"/>
        <v>#N/A</v>
      </c>
      <c r="BI74" s="59" t="e">
        <f ca="1">AVERAGE(OFFSET($BH$3,0,0,'Données projet'!$E$11+1,1))-AVERAGE(OFFSET($H$3,0,0,'Données projet'!$E$11+1,1))</f>
        <v>#N/A</v>
      </c>
      <c r="BJ74" s="59" t="e">
        <f t="shared" si="92"/>
        <v>#N/A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 t="e">
        <f>EXP(-LN(2)/35)*BP73+(1-EXP(-LN(2)/35))/(LN(2)/35)*BL74*BM74*VLOOKUP('Données projet'!$B$11,Paramètres!$A$1:$I$89,3,0)*0.475*44/12</f>
        <v>#N/A</v>
      </c>
      <c r="BQ74" s="21" t="e">
        <f>EXP(-LN(2)/25)*BQ73+(1-EXP(-LN(2)/25))/(LN(2)/25)*Calculateur!BL74*Calculateur!BN74*VLOOKUP('Données projet'!$B$11,Paramètres!$A$1:$I$89,3,0)*0.475*44/12</f>
        <v>#N/A</v>
      </c>
      <c r="BR74" s="21" t="e">
        <f>EXP(-LN(2)/2)*BR73+(1-EXP(-LN(2)/2))/(LN(2)/2)*BL74*BO74*VLOOKUP('Données projet'!$B$11,Paramètres!$A$1:$I$89,3,0)*0.475*44/12</f>
        <v>#N/A</v>
      </c>
      <c r="BS74" s="22" t="e">
        <f t="shared" si="63"/>
        <v>#N/A</v>
      </c>
      <c r="BT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">
      <c r="A75" s="10">
        <f t="shared" si="85"/>
        <v>72</v>
      </c>
      <c r="B75" s="72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43.055999999999962</v>
      </c>
      <c r="D75" s="11">
        <f t="shared" si="86"/>
        <v>12.80513687072917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431.20877584422487</v>
      </c>
      <c r="H75" s="66">
        <f t="shared" si="56"/>
        <v>390.62481338318656</v>
      </c>
      <c r="I75" s="6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0</v>
      </c>
      <c r="O75" s="13">
        <f>N75*VLOOKUP('Données projet'!$B$9,Paramètres!$A$1:$I$89,3,0)*VLOOKUP('Données projet'!$B$9,Paramètres!$A$1:$I$89,5,0)</f>
        <v>0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148.39628895278571</v>
      </c>
      <c r="T75" s="59">
        <f t="shared" si="88"/>
        <v>361.07991692964788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53.760790285872162</v>
      </c>
      <c r="AA75" s="21">
        <f>EXP(-LN(2)/25)*AA74+(1-EXP(-LN(2)/25))/(LN(2)/25)*Calculateur!V75*Calculateur!X75*VLOOKUP('Données projet'!$B$9,Paramètres!$A$1:$I$89,3,0)*0.475*44/12</f>
        <v>4.4869086955466617</v>
      </c>
      <c r="AB75" s="21">
        <f>EXP(-LN(2)/2)*AB74+(1-EXP(-LN(2)/2))/(LN(2)/2)*V75*Y75*VLOOKUP('Données projet'!$B$9,Paramètres!$A$1:$I$89,3,0)*0.475*44/12</f>
        <v>2.1439555169370123E-8</v>
      </c>
      <c r="AC75" s="22">
        <f t="shared" si="57"/>
        <v>58.247699002858376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9.2624999999999993</v>
      </c>
      <c r="AI75" s="13">
        <f>IF('Données projet'!$A$62&gt;35,AI74+AH75-AQ74,IF(A75&lt;'Données projet'!$A$62,$AF$205^A75,IF(A75='Données projet'!$A$62,'Données projet'!$B$62,AI74+AH75-AQ74)))</f>
        <v>292.435</v>
      </c>
      <c r="AJ75" s="13">
        <f>AI75*VLOOKUP('Données projet'!$B$10,Paramètres!$A$1:$I$89,3,0)*VLOOKUP('Données projet'!$B$10,Paramètres!$A$1:$I$89,5,0)</f>
        <v>291.96710400000001</v>
      </c>
      <c r="AK75" s="13">
        <f t="shared" si="89"/>
        <v>69.489809080179583</v>
      </c>
      <c r="AL75" s="20">
        <f t="shared" si="58"/>
        <v>629.53745694797942</v>
      </c>
      <c r="AM75" s="59">
        <f t="shared" si="59"/>
        <v>922.87079028131279</v>
      </c>
      <c r="AN75" s="59">
        <f ca="1">AVERAGE(OFFSET($AM$3,0,0,'Données projet'!$E$10+1,1))-AVERAGE(OFFSET($H$3,0,0,'Données projet'!$E$10+1,1))</f>
        <v>525.29195699741149</v>
      </c>
      <c r="AO75" s="59">
        <f t="shared" si="90"/>
        <v>125.99812193007153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59.436152478355226</v>
      </c>
      <c r="AV75" s="21">
        <f>EXP(-LN(2)/25)*AV74+(1-EXP(-LN(2)/25))/(LN(2)/25)*Calculateur!AQ75*Calculateur!AS75*VLOOKUP('Données projet'!$B$10,Paramètres!$A$1:$I$89,3,0)*0.475*44/12</f>
        <v>0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59.436152478355226</v>
      </c>
      <c r="AY75" s="7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 t="e">
        <f>BD75*VLOOKUP('Données projet'!$B$11,Paramètres!$A$1:$I$89,3,0)*VLOOKUP('Données projet'!$B$11,Paramètres!$A$1:$I$89,5,0)</f>
        <v>#N/A</v>
      </c>
      <c r="BF75" s="13" t="e">
        <f t="shared" si="91"/>
        <v>#N/A</v>
      </c>
      <c r="BG75" s="20" t="e">
        <f t="shared" si="61"/>
        <v>#N/A</v>
      </c>
      <c r="BH75" s="59" t="e">
        <f t="shared" si="62"/>
        <v>#N/A</v>
      </c>
      <c r="BI75" s="59" t="e">
        <f ca="1">AVERAGE(OFFSET($BH$3,0,0,'Données projet'!$E$11+1,1))-AVERAGE(OFFSET($H$3,0,0,'Données projet'!$E$11+1,1))</f>
        <v>#N/A</v>
      </c>
      <c r="BJ75" s="59" t="e">
        <f t="shared" si="92"/>
        <v>#N/A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 t="e">
        <f>EXP(-LN(2)/35)*BP74+(1-EXP(-LN(2)/35))/(LN(2)/35)*BL75*BM75*VLOOKUP('Données projet'!$B$11,Paramètres!$A$1:$I$89,3,0)*0.475*44/12</f>
        <v>#N/A</v>
      </c>
      <c r="BQ75" s="21" t="e">
        <f>EXP(-LN(2)/25)*BQ74+(1-EXP(-LN(2)/25))/(LN(2)/25)*Calculateur!BL75*Calculateur!BN75*VLOOKUP('Données projet'!$B$11,Paramètres!$A$1:$I$89,3,0)*0.475*44/12</f>
        <v>#N/A</v>
      </c>
      <c r="BR75" s="21" t="e">
        <f>EXP(-LN(2)/2)*BR74+(1-EXP(-LN(2)/2))/(LN(2)/2)*BL75*BO75*VLOOKUP('Données projet'!$B$11,Paramètres!$A$1:$I$89,3,0)*0.475*44/12</f>
        <v>#N/A</v>
      </c>
      <c r="BS75" s="22" t="e">
        <f t="shared" si="63"/>
        <v>#N/A</v>
      </c>
      <c r="BT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">
      <c r="A76" s="10">
        <f t="shared" si="85"/>
        <v>73</v>
      </c>
      <c r="B76" s="72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43.653999999999961</v>
      </c>
      <c r="D76" s="11">
        <f t="shared" si="86"/>
        <v>12.962157980203079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437.03700896998839</v>
      </c>
      <c r="H76" s="66">
        <f t="shared" si="56"/>
        <v>391.93980848218695</v>
      </c>
      <c r="I76" s="6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0</v>
      </c>
      <c r="O76" s="13">
        <f>N76*VLOOKUP('Données projet'!$B$9,Paramètres!$A$1:$I$89,3,0)*VLOOKUP('Données projet'!$B$9,Paramètres!$A$1:$I$89,5,0)</f>
        <v>0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148.39628895278571</v>
      </c>
      <c r="T76" s="59">
        <f t="shared" si="88"/>
        <v>361.07991692964788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52.706573979210454</v>
      </c>
      <c r="AA76" s="21">
        <f>EXP(-LN(2)/25)*AA75+(1-EXP(-LN(2)/25))/(LN(2)/25)*Calculateur!V76*Calculateur!X76*VLOOKUP('Données projet'!$B$9,Paramètres!$A$1:$I$89,3,0)*0.475*44/12</f>
        <v>4.3642139413106653</v>
      </c>
      <c r="AB76" s="21">
        <f>EXP(-LN(2)/2)*AB75+(1-EXP(-LN(2)/2))/(LN(2)/2)*V76*Y76*VLOOKUP('Données projet'!$B$9,Paramètres!$A$1:$I$89,3,0)*0.475*44/12</f>
        <v>1.5160054845884713E-8</v>
      </c>
      <c r="AC76" s="22">
        <f t="shared" si="57"/>
        <v>57.070787935681174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9.2624999999999993</v>
      </c>
      <c r="AI76" s="13">
        <f>IF('Données projet'!$A$62&gt;35,AI75+AH76-AQ75,IF(A76&lt;'Données projet'!$A$62,$AF$205^A76,IF(A76='Données projet'!$A$62,'Données projet'!$B$62,AI75+AH76-AQ75)))</f>
        <v>301.69749999999999</v>
      </c>
      <c r="AJ76" s="13">
        <f>AI76*VLOOKUP('Données projet'!$B$10,Paramètres!$A$1:$I$89,3,0)*VLOOKUP('Données projet'!$B$10,Paramètres!$A$1:$I$89,5,0)</f>
        <v>301.21478400000001</v>
      </c>
      <c r="AK76" s="13">
        <f t="shared" si="89"/>
        <v>71.431068936193583</v>
      </c>
      <c r="AL76" s="20">
        <f t="shared" si="58"/>
        <v>649.02486053053724</v>
      </c>
      <c r="AM76" s="59">
        <f t="shared" si="59"/>
        <v>942.35819386387061</v>
      </c>
      <c r="AN76" s="59">
        <f ca="1">AVERAGE(OFFSET($AM$3,0,0,'Données projet'!$E$10+1,1))-AVERAGE(OFFSET($H$3,0,0,'Données projet'!$E$10+1,1))</f>
        <v>525.29195699741149</v>
      </c>
      <c r="AO76" s="59">
        <f t="shared" si="90"/>
        <v>125.99812193007153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58.27064578072806</v>
      </c>
      <c r="AV76" s="21">
        <f>EXP(-LN(2)/25)*AV75+(1-EXP(-LN(2)/25))/(LN(2)/25)*Calculateur!AQ76*Calculateur!AS76*VLOOKUP('Données projet'!$B$10,Paramètres!$A$1:$I$89,3,0)*0.475*44/12</f>
        <v>0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58.27064578072806</v>
      </c>
      <c r="AY76" s="7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 t="e">
        <f>BD76*VLOOKUP('Données projet'!$B$11,Paramètres!$A$1:$I$89,3,0)*VLOOKUP('Données projet'!$B$11,Paramètres!$A$1:$I$89,5,0)</f>
        <v>#N/A</v>
      </c>
      <c r="BF76" s="13" t="e">
        <f t="shared" si="91"/>
        <v>#N/A</v>
      </c>
      <c r="BG76" s="20" t="e">
        <f t="shared" si="61"/>
        <v>#N/A</v>
      </c>
      <c r="BH76" s="59" t="e">
        <f t="shared" si="62"/>
        <v>#N/A</v>
      </c>
      <c r="BI76" s="59" t="e">
        <f ca="1">AVERAGE(OFFSET($BH$3,0,0,'Données projet'!$E$11+1,1))-AVERAGE(OFFSET($H$3,0,0,'Données projet'!$E$11+1,1))</f>
        <v>#N/A</v>
      </c>
      <c r="BJ76" s="59" t="e">
        <f t="shared" si="92"/>
        <v>#N/A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 t="e">
        <f>EXP(-LN(2)/35)*BP75+(1-EXP(-LN(2)/35))/(LN(2)/35)*BL76*BM76*VLOOKUP('Données projet'!$B$11,Paramètres!$A$1:$I$89,3,0)*0.475*44/12</f>
        <v>#N/A</v>
      </c>
      <c r="BQ76" s="21" t="e">
        <f>EXP(-LN(2)/25)*BQ75+(1-EXP(-LN(2)/25))/(LN(2)/25)*Calculateur!BL76*Calculateur!BN76*VLOOKUP('Données projet'!$B$11,Paramètres!$A$1:$I$89,3,0)*0.475*44/12</f>
        <v>#N/A</v>
      </c>
      <c r="BR76" s="21" t="e">
        <f>EXP(-LN(2)/2)*BR75+(1-EXP(-LN(2)/2))/(LN(2)/2)*BL76*BO76*VLOOKUP('Données projet'!$B$11,Paramètres!$A$1:$I$89,3,0)*0.475*44/12</f>
        <v>#N/A</v>
      </c>
      <c r="BS76" s="22" t="e">
        <f t="shared" si="63"/>
        <v>#N/A</v>
      </c>
      <c r="BT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">
      <c r="A77" s="10">
        <f t="shared" si="85"/>
        <v>74</v>
      </c>
      <c r="B77" s="72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44.25199999999996</v>
      </c>
      <c r="D77" s="11">
        <f t="shared" si="86"/>
        <v>13.118928907524445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442.86331086510063</v>
      </c>
      <c r="H77" s="66">
        <f t="shared" si="56"/>
        <v>393.25436784727162</v>
      </c>
      <c r="I77" s="6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0</v>
      </c>
      <c r="O77" s="13">
        <f>N77*VLOOKUP('Données projet'!$B$9,Paramètres!$A$1:$I$89,3,0)*VLOOKUP('Données projet'!$B$9,Paramètres!$A$1:$I$89,5,0)</f>
        <v>0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148.39628895278571</v>
      </c>
      <c r="T77" s="59">
        <f t="shared" si="88"/>
        <v>361.07991692964788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51.673030211313929</v>
      </c>
      <c r="AA77" s="21">
        <f>EXP(-LN(2)/25)*AA76+(1-EXP(-LN(2)/25))/(LN(2)/25)*Calculateur!V77*Calculateur!X77*VLOOKUP('Données projet'!$B$9,Paramètres!$A$1:$I$89,3,0)*0.475*44/12</f>
        <v>4.2448742815814882</v>
      </c>
      <c r="AB77" s="21">
        <f>EXP(-LN(2)/2)*AB76+(1-EXP(-LN(2)/2))/(LN(2)/2)*V77*Y77*VLOOKUP('Données projet'!$B$9,Paramètres!$A$1:$I$89,3,0)*0.475*44/12</f>
        <v>1.0719777584685062E-8</v>
      </c>
      <c r="AC77" s="22">
        <f t="shared" si="57"/>
        <v>55.917904503615198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>
        <f>VLOOKUP(A77,'Données projet'!$A$61:$I$81,2,0)</f>
        <v>310.95999999999998</v>
      </c>
      <c r="AG77" s="12">
        <f>VLOOKUP(A77,'Données projet'!$A$61:$I$81,9,0)</f>
        <v>9.2624999999999993</v>
      </c>
      <c r="AH77" s="12">
        <f t="array" ref="AH77">INDEX(AG:AG,MIN(IF(ISNUMBER(AG77:AG273),ROW(AG77:AG273),"")))</f>
        <v>9.2624999999999993</v>
      </c>
      <c r="AI77" s="13">
        <f>IF('Données projet'!$A$62&gt;35,AI76+AH77-AQ76,IF(A77&lt;'Données projet'!$A$62,$AF$205^A77,IF(A77='Données projet'!$A$62,'Données projet'!$B$62,AI76+AH77-AQ76)))</f>
        <v>310.95999999999998</v>
      </c>
      <c r="AJ77" s="13">
        <f>AI77*VLOOKUP('Données projet'!$B$10,Paramètres!$A$1:$I$89,3,0)*VLOOKUP('Données projet'!$B$10,Paramètres!$A$1:$I$89,5,0)</f>
        <v>310.46246400000001</v>
      </c>
      <c r="AK77" s="13">
        <f t="shared" si="89"/>
        <v>73.365402680678272</v>
      </c>
      <c r="AL77" s="20">
        <f t="shared" si="58"/>
        <v>668.50020113551466</v>
      </c>
      <c r="AM77" s="59">
        <f t="shared" si="59"/>
        <v>961.83353446884803</v>
      </c>
      <c r="AN77" s="59">
        <f ca="1">AVERAGE(OFFSET($AM$3,0,0,'Données projet'!$E$10+1,1))-AVERAGE(OFFSET($H$3,0,0,'Données projet'!$E$10+1,1))</f>
        <v>525.29195699741149</v>
      </c>
      <c r="AO77" s="59">
        <f t="shared" si="90"/>
        <v>125.99812193007153</v>
      </c>
      <c r="AP77" s="15">
        <f>IF(ISNA(VLOOKUP(A77,'Données projet'!$A$61:$I$81,3,0)),0,VLOOKUP(A77,'Données projet'!$A$61:$I$81,3,0))</f>
        <v>5</v>
      </c>
      <c r="AQ77" s="15">
        <f>IF(ISNA(VLOOKUP(A77,'Données projet'!$A$61:$I$81,4,0)),0,VLOOKUP(A77,'Données projet'!$A$61:$I$81,4,0))</f>
        <v>47.4</v>
      </c>
      <c r="AR77" s="16">
        <f>IF(ISNA(VLOOKUP(A77,'Données projet'!$A$61:$I$81,5,0)),0%,VLOOKUP(A77,'Données projet'!$A$61:$I$81,5,0)*VLOOKUP('Données projet'!$B$10,Paramètres!$A$1:$I$89,7,0))</f>
        <v>0.43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79.623640518552023</v>
      </c>
      <c r="AV77" s="21">
        <f>EXP(-LN(2)/25)*AV76+(1-EXP(-LN(2)/25))/(LN(2)/25)*Calculateur!AQ77*Calculateur!AS77*VLOOKUP('Données projet'!$B$10,Paramètres!$A$1:$I$89,3,0)*0.475*44/12</f>
        <v>0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79.623640518552023</v>
      </c>
      <c r="AY77" s="7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 t="e">
        <f>BD77*VLOOKUP('Données projet'!$B$11,Paramètres!$A$1:$I$89,3,0)*VLOOKUP('Données projet'!$B$11,Paramètres!$A$1:$I$89,5,0)</f>
        <v>#N/A</v>
      </c>
      <c r="BF77" s="13" t="e">
        <f t="shared" si="91"/>
        <v>#N/A</v>
      </c>
      <c r="BG77" s="20" t="e">
        <f t="shared" si="61"/>
        <v>#N/A</v>
      </c>
      <c r="BH77" s="59" t="e">
        <f t="shared" si="62"/>
        <v>#N/A</v>
      </c>
      <c r="BI77" s="59" t="e">
        <f ca="1">AVERAGE(OFFSET($BH$3,0,0,'Données projet'!$E$11+1,1))-AVERAGE(OFFSET($H$3,0,0,'Données projet'!$E$11+1,1))</f>
        <v>#N/A</v>
      </c>
      <c r="BJ77" s="59" t="e">
        <f t="shared" si="92"/>
        <v>#N/A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 t="e">
        <f>EXP(-LN(2)/35)*BP76+(1-EXP(-LN(2)/35))/(LN(2)/35)*BL77*BM77*VLOOKUP('Données projet'!$B$11,Paramètres!$A$1:$I$89,3,0)*0.475*44/12</f>
        <v>#N/A</v>
      </c>
      <c r="BQ77" s="21" t="e">
        <f>EXP(-LN(2)/25)*BQ76+(1-EXP(-LN(2)/25))/(LN(2)/25)*Calculateur!BL77*Calculateur!BN77*VLOOKUP('Données projet'!$B$11,Paramètres!$A$1:$I$89,3,0)*0.475*44/12</f>
        <v>#N/A</v>
      </c>
      <c r="BR77" s="21" t="e">
        <f>EXP(-LN(2)/2)*BR76+(1-EXP(-LN(2)/2))/(LN(2)/2)*BL77*BO77*VLOOKUP('Données projet'!$B$11,Paramètres!$A$1:$I$89,3,0)*0.475*44/12</f>
        <v>#N/A</v>
      </c>
      <c r="BS77" s="22" t="e">
        <f t="shared" si="63"/>
        <v>#N/A</v>
      </c>
      <c r="BT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">
      <c r="A78" s="10">
        <f t="shared" si="85"/>
        <v>75</v>
      </c>
      <c r="B78" s="72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44.849999999999959</v>
      </c>
      <c r="D78" s="11">
        <f t="shared" si="86"/>
        <v>13.275453424326999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448.6877106439274</v>
      </c>
      <c r="H78" s="66">
        <f t="shared" si="56"/>
        <v>394.56849804736942</v>
      </c>
      <c r="I78" s="6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0</v>
      </c>
      <c r="O78" s="13">
        <f>N78*VLOOKUP('Données projet'!$B$9,Paramètres!$A$1:$I$89,3,0)*VLOOKUP('Données projet'!$B$9,Paramètres!$A$1:$I$89,5,0)</f>
        <v>0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148.39628895278571</v>
      </c>
      <c r="T78" s="59">
        <f t="shared" si="88"/>
        <v>361.07991692964788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50.659753606306403</v>
      </c>
      <c r="AA78" s="21">
        <f>EXP(-LN(2)/25)*AA77+(1-EXP(-LN(2)/25))/(LN(2)/25)*Calculateur!V78*Calculateur!X78*VLOOKUP('Données projet'!$B$9,Paramètres!$A$1:$I$89,3,0)*0.475*44/12</f>
        <v>4.1287979711234053</v>
      </c>
      <c r="AB78" s="21">
        <f>EXP(-LN(2)/2)*AB77+(1-EXP(-LN(2)/2))/(LN(2)/2)*V78*Y78*VLOOKUP('Données projet'!$B$9,Paramètres!$A$1:$I$89,3,0)*0.475*44/12</f>
        <v>7.5800274229423567E-9</v>
      </c>
      <c r="AC78" s="22">
        <f t="shared" si="57"/>
        <v>54.788551585009834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9.1529999999999969</v>
      </c>
      <c r="AI78" s="13">
        <f>IF('Données projet'!$A$62&gt;35,AI77+AH78-AQ77,IF(A78&lt;'Données projet'!$A$62,$AF$205^A78,IF(A78='Données projet'!$A$62,'Données projet'!$B$62,AI77+AH78-AQ77)))</f>
        <v>272.71300000000002</v>
      </c>
      <c r="AJ78" s="13">
        <f>AI78*VLOOKUP('Données projet'!$B$10,Paramètres!$A$1:$I$89,3,0)*VLOOKUP('Données projet'!$B$10,Paramètres!$A$1:$I$89,5,0)</f>
        <v>272.27665920000004</v>
      </c>
      <c r="AK78" s="13">
        <f t="shared" si="89"/>
        <v>65.332197458493837</v>
      </c>
      <c r="AL78" s="20">
        <f t="shared" si="58"/>
        <v>588.00209201354357</v>
      </c>
      <c r="AM78" s="59">
        <f t="shared" si="59"/>
        <v>881.33542534687695</v>
      </c>
      <c r="AN78" s="59">
        <f ca="1">AVERAGE(OFFSET($AM$3,0,0,'Données projet'!$E$10+1,1))-AVERAGE(OFFSET($H$3,0,0,'Données projet'!$E$10+1,1))</f>
        <v>525.29195699741149</v>
      </c>
      <c r="AO78" s="59">
        <f t="shared" si="90"/>
        <v>125.99812193007153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78.062269493608483</v>
      </c>
      <c r="AV78" s="21">
        <f>EXP(-LN(2)/25)*AV77+(1-EXP(-LN(2)/25))/(LN(2)/25)*Calculateur!AQ78*Calculateur!AS78*VLOOKUP('Données projet'!$B$10,Paramètres!$A$1:$I$89,3,0)*0.475*44/12</f>
        <v>0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78.062269493608483</v>
      </c>
      <c r="AY78" s="7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 t="e">
        <f>BD78*VLOOKUP('Données projet'!$B$11,Paramètres!$A$1:$I$89,3,0)*VLOOKUP('Données projet'!$B$11,Paramètres!$A$1:$I$89,5,0)</f>
        <v>#N/A</v>
      </c>
      <c r="BF78" s="13" t="e">
        <f t="shared" si="91"/>
        <v>#N/A</v>
      </c>
      <c r="BG78" s="20" t="e">
        <f t="shared" si="61"/>
        <v>#N/A</v>
      </c>
      <c r="BH78" s="59" t="e">
        <f t="shared" si="62"/>
        <v>#N/A</v>
      </c>
      <c r="BI78" s="59" t="e">
        <f ca="1">AVERAGE(OFFSET($BH$3,0,0,'Données projet'!$E$11+1,1))-AVERAGE(OFFSET($H$3,0,0,'Données projet'!$E$11+1,1))</f>
        <v>#N/A</v>
      </c>
      <c r="BJ78" s="59" t="e">
        <f t="shared" si="92"/>
        <v>#N/A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 t="e">
        <f>EXP(-LN(2)/35)*BP77+(1-EXP(-LN(2)/35))/(LN(2)/35)*BL78*BM78*VLOOKUP('Données projet'!$B$11,Paramètres!$A$1:$I$89,3,0)*0.475*44/12</f>
        <v>#N/A</v>
      </c>
      <c r="BQ78" s="21" t="e">
        <f>EXP(-LN(2)/25)*BQ77+(1-EXP(-LN(2)/25))/(LN(2)/25)*Calculateur!BL78*Calculateur!BN78*VLOOKUP('Données projet'!$B$11,Paramètres!$A$1:$I$89,3,0)*0.475*44/12</f>
        <v>#N/A</v>
      </c>
      <c r="BR78" s="21" t="e">
        <f>EXP(-LN(2)/2)*BR77+(1-EXP(-LN(2)/2))/(LN(2)/2)*BL78*BO78*VLOOKUP('Données projet'!$B$11,Paramètres!$A$1:$I$89,3,0)*0.475*44/12</f>
        <v>#N/A</v>
      </c>
      <c r="BS78" s="22" t="e">
        <f t="shared" si="63"/>
        <v>#N/A</v>
      </c>
      <c r="BT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">
      <c r="A79" s="10">
        <f t="shared" si="85"/>
        <v>76</v>
      </c>
      <c r="B79" s="72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45.447999999999958</v>
      </c>
      <c r="D79" s="11">
        <f t="shared" si="86"/>
        <v>13.431735195887123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454.51023659983008</v>
      </c>
      <c r="H79" s="66">
        <f t="shared" si="56"/>
        <v>395.88220546616998</v>
      </c>
      <c r="I79" s="6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0</v>
      </c>
      <c r="O79" s="13">
        <f>N79*VLOOKUP('Données projet'!$B$9,Paramètres!$A$1:$I$89,3,0)*VLOOKUP('Données projet'!$B$9,Paramètres!$A$1:$I$89,5,0)</f>
        <v>0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148.39628895278571</v>
      </c>
      <c r="T79" s="59">
        <f t="shared" si="88"/>
        <v>361.07991692964788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49.66634673748537</v>
      </c>
      <c r="AA79" s="21">
        <f>EXP(-LN(2)/25)*AA78+(1-EXP(-LN(2)/25))/(LN(2)/25)*Calculateur!V79*Calculateur!X79*VLOOKUP('Données projet'!$B$9,Paramètres!$A$1:$I$89,3,0)*0.475*44/12</f>
        <v>4.0158957734789871</v>
      </c>
      <c r="AB79" s="21">
        <f>EXP(-LN(2)/2)*AB78+(1-EXP(-LN(2)/2))/(LN(2)/2)*V79*Y79*VLOOKUP('Données projet'!$B$9,Paramètres!$A$1:$I$89,3,0)*0.475*44/12</f>
        <v>5.3598887923425308E-9</v>
      </c>
      <c r="AC79" s="22">
        <f t="shared" si="57"/>
        <v>53.682242516324244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9.1529999999999969</v>
      </c>
      <c r="AI79" s="13">
        <f>IF('Données projet'!$A$62&gt;35,AI78+AH79-AQ78,IF(A79&lt;'Données projet'!$A$62,$AF$205^A79,IF(A79='Données projet'!$A$62,'Données projet'!$B$62,AI78+AH79-AQ78)))</f>
        <v>281.86600000000004</v>
      </c>
      <c r="AJ79" s="13">
        <f>AI79*VLOOKUP('Données projet'!$B$10,Paramètres!$A$1:$I$89,3,0)*VLOOKUP('Données projet'!$B$10,Paramètres!$A$1:$I$89,5,0)</f>
        <v>281.41501440000008</v>
      </c>
      <c r="AK79" s="13">
        <f t="shared" si="89"/>
        <v>67.265954313736245</v>
      </c>
      <c r="AL79" s="20">
        <f t="shared" si="58"/>
        <v>607.28602050975746</v>
      </c>
      <c r="AM79" s="59">
        <f t="shared" si="59"/>
        <v>900.61935384309072</v>
      </c>
      <c r="AN79" s="59">
        <f ca="1">AVERAGE(OFFSET($AM$3,0,0,'Données projet'!$E$10+1,1))-AVERAGE(OFFSET($H$3,0,0,'Données projet'!$E$10+1,1))</f>
        <v>525.29195699741149</v>
      </c>
      <c r="AO79" s="59">
        <f t="shared" si="90"/>
        <v>125.99812193007153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76.531516002121791</v>
      </c>
      <c r="AV79" s="21">
        <f>EXP(-LN(2)/25)*AV78+(1-EXP(-LN(2)/25))/(LN(2)/25)*Calculateur!AQ79*Calculateur!AS79*VLOOKUP('Données projet'!$B$10,Paramètres!$A$1:$I$89,3,0)*0.475*44/12</f>
        <v>0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76.531516002121791</v>
      </c>
      <c r="AY79" s="7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 t="e">
        <f>BD79*VLOOKUP('Données projet'!$B$11,Paramètres!$A$1:$I$89,3,0)*VLOOKUP('Données projet'!$B$11,Paramètres!$A$1:$I$89,5,0)</f>
        <v>#N/A</v>
      </c>
      <c r="BF79" s="13" t="e">
        <f t="shared" si="91"/>
        <v>#N/A</v>
      </c>
      <c r="BG79" s="20" t="e">
        <f t="shared" si="61"/>
        <v>#N/A</v>
      </c>
      <c r="BH79" s="59" t="e">
        <f t="shared" si="62"/>
        <v>#N/A</v>
      </c>
      <c r="BI79" s="59" t="e">
        <f ca="1">AVERAGE(OFFSET($BH$3,0,0,'Données projet'!$E$11+1,1))-AVERAGE(OFFSET($H$3,0,0,'Données projet'!$E$11+1,1))</f>
        <v>#N/A</v>
      </c>
      <c r="BJ79" s="59" t="e">
        <f t="shared" si="92"/>
        <v>#N/A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 t="e">
        <f>EXP(-LN(2)/35)*BP78+(1-EXP(-LN(2)/35))/(LN(2)/35)*BL79*BM79*VLOOKUP('Données projet'!$B$11,Paramètres!$A$1:$I$89,3,0)*0.475*44/12</f>
        <v>#N/A</v>
      </c>
      <c r="BQ79" s="21" t="e">
        <f>EXP(-LN(2)/25)*BQ78+(1-EXP(-LN(2)/25))/(LN(2)/25)*Calculateur!BL79*Calculateur!BN79*VLOOKUP('Données projet'!$B$11,Paramètres!$A$1:$I$89,3,0)*0.475*44/12</f>
        <v>#N/A</v>
      </c>
      <c r="BR79" s="21" t="e">
        <f>EXP(-LN(2)/2)*BR78+(1-EXP(-LN(2)/2))/(LN(2)/2)*BL79*BO79*VLOOKUP('Données projet'!$B$11,Paramètres!$A$1:$I$89,3,0)*0.475*44/12</f>
        <v>#N/A</v>
      </c>
      <c r="BS79" s="22" t="e">
        <f t="shared" si="63"/>
        <v>#N/A</v>
      </c>
      <c r="BT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">
      <c r="A80" s="10">
        <f t="shared" si="85"/>
        <v>77</v>
      </c>
      <c r="B80" s="72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46.045999999999957</v>
      </c>
      <c r="D80" s="11">
        <f t="shared" si="86"/>
        <v>13.587777785482281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460.33091623881029</v>
      </c>
      <c r="H80" s="66">
        <f t="shared" si="56"/>
        <v>397.19549630971488</v>
      </c>
      <c r="I80" s="6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0</v>
      </c>
      <c r="O80" s="13">
        <f>N80*VLOOKUP('Données projet'!$B$9,Paramètres!$A$1:$I$89,3,0)*VLOOKUP('Données projet'!$B$9,Paramètres!$A$1:$I$89,5,0)</f>
        <v>0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148.39628895278571</v>
      </c>
      <c r="T80" s="59">
        <f t="shared" si="88"/>
        <v>361.07991692964788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48.692419971443556</v>
      </c>
      <c r="AA80" s="21">
        <f>EXP(-LN(2)/25)*AA79+(1-EXP(-LN(2)/25))/(LN(2)/25)*Calculateur!V80*Calculateur!X80*VLOOKUP('Données projet'!$B$9,Paramètres!$A$1:$I$89,3,0)*0.475*44/12</f>
        <v>3.9060808923664241</v>
      </c>
      <c r="AB80" s="21">
        <f>EXP(-LN(2)/2)*AB79+(1-EXP(-LN(2)/2))/(LN(2)/2)*V80*Y80*VLOOKUP('Données projet'!$B$9,Paramètres!$A$1:$I$89,3,0)*0.475*44/12</f>
        <v>3.7900137114711784E-9</v>
      </c>
      <c r="AC80" s="22">
        <f t="shared" si="57"/>
        <v>52.598500867599995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9.1529999999999969</v>
      </c>
      <c r="AI80" s="13">
        <f>IF('Données projet'!$A$62&gt;35,AI79+AH80-AQ79,IF(A80&lt;'Données projet'!$A$62,$AF$205^A80,IF(A80='Données projet'!$A$62,'Données projet'!$B$62,AI79+AH80-AQ79)))</f>
        <v>291.01900000000006</v>
      </c>
      <c r="AJ80" s="13">
        <f>AI80*VLOOKUP('Données projet'!$B$10,Paramètres!$A$1:$I$89,3,0)*VLOOKUP('Données projet'!$B$10,Paramètres!$A$1:$I$89,5,0)</f>
        <v>290.55336960000005</v>
      </c>
      <c r="AK80" s="13">
        <f t="shared" si="89"/>
        <v>69.192414313633222</v>
      </c>
      <c r="AL80" s="20">
        <f t="shared" si="58"/>
        <v>626.55724031624459</v>
      </c>
      <c r="AM80" s="59">
        <f t="shared" si="59"/>
        <v>919.89057364957785</v>
      </c>
      <c r="AN80" s="59">
        <f ca="1">AVERAGE(OFFSET($AM$3,0,0,'Données projet'!$E$10+1,1))-AVERAGE(OFFSET($H$3,0,0,'Données projet'!$E$10+1,1))</f>
        <v>525.29195699741149</v>
      </c>
      <c r="AO80" s="59">
        <f t="shared" si="90"/>
        <v>125.99812193007153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75.03077965293572</v>
      </c>
      <c r="AV80" s="21">
        <f>EXP(-LN(2)/25)*AV79+(1-EXP(-LN(2)/25))/(LN(2)/25)*Calculateur!AQ80*Calculateur!AS80*VLOOKUP('Données projet'!$B$10,Paramètres!$A$1:$I$89,3,0)*0.475*44/12</f>
        <v>0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75.03077965293572</v>
      </c>
      <c r="AY80" s="7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 t="e">
        <f>BD80*VLOOKUP('Données projet'!$B$11,Paramètres!$A$1:$I$89,3,0)*VLOOKUP('Données projet'!$B$11,Paramètres!$A$1:$I$89,5,0)</f>
        <v>#N/A</v>
      </c>
      <c r="BF80" s="13" t="e">
        <f t="shared" si="91"/>
        <v>#N/A</v>
      </c>
      <c r="BG80" s="20" t="e">
        <f t="shared" si="61"/>
        <v>#N/A</v>
      </c>
      <c r="BH80" s="59" t="e">
        <f t="shared" si="62"/>
        <v>#N/A</v>
      </c>
      <c r="BI80" s="59" t="e">
        <f ca="1">AVERAGE(OFFSET($BH$3,0,0,'Données projet'!$E$11+1,1))-AVERAGE(OFFSET($H$3,0,0,'Données projet'!$E$11+1,1))</f>
        <v>#N/A</v>
      </c>
      <c r="BJ80" s="59" t="e">
        <f t="shared" si="92"/>
        <v>#N/A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 t="e">
        <f>EXP(-LN(2)/35)*BP79+(1-EXP(-LN(2)/35))/(LN(2)/35)*BL80*BM80*VLOOKUP('Données projet'!$B$11,Paramètres!$A$1:$I$89,3,0)*0.475*44/12</f>
        <v>#N/A</v>
      </c>
      <c r="BQ80" s="21" t="e">
        <f>EXP(-LN(2)/25)*BQ79+(1-EXP(-LN(2)/25))/(LN(2)/25)*Calculateur!BL80*Calculateur!BN80*VLOOKUP('Données projet'!$B$11,Paramètres!$A$1:$I$89,3,0)*0.475*44/12</f>
        <v>#N/A</v>
      </c>
      <c r="BR80" s="21" t="e">
        <f>EXP(-LN(2)/2)*BR79+(1-EXP(-LN(2)/2))/(LN(2)/2)*BL80*BO80*VLOOKUP('Données projet'!$B$11,Paramètres!$A$1:$I$89,3,0)*0.475*44/12</f>
        <v>#N/A</v>
      </c>
      <c r="BS80" s="22" t="e">
        <f t="shared" si="63"/>
        <v>#N/A</v>
      </c>
      <c r="BT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">
      <c r="A81" s="10">
        <f t="shared" si="85"/>
        <v>78</v>
      </c>
      <c r="B81" s="72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46.643999999999956</v>
      </c>
      <c r="D81" s="11">
        <f t="shared" si="86"/>
        <v>13.74358465851647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466.14977631135486</v>
      </c>
      <c r="H81" s="66">
        <f t="shared" si="56"/>
        <v>398.50837661358275</v>
      </c>
      <c r="I81" s="6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0</v>
      </c>
      <c r="O81" s="13">
        <f>N81*VLOOKUP('Données projet'!$B$9,Paramètres!$A$1:$I$89,3,0)*VLOOKUP('Données projet'!$B$9,Paramètres!$A$1:$I$89,5,0)</f>
        <v>0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148.39628895278571</v>
      </c>
      <c r="T81" s="59">
        <f t="shared" si="88"/>
        <v>361.07991692964788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47.737591315247151</v>
      </c>
      <c r="AA81" s="21">
        <f>EXP(-LN(2)/25)*AA80+(1-EXP(-LN(2)/25))/(LN(2)/25)*Calculateur!V81*Calculateur!X81*VLOOKUP('Données projet'!$B$9,Paramètres!$A$1:$I$89,3,0)*0.475*44/12</f>
        <v>3.7992689049527977</v>
      </c>
      <c r="AB81" s="21">
        <f>EXP(-LN(2)/2)*AB80+(1-EXP(-LN(2)/2))/(LN(2)/2)*V81*Y81*VLOOKUP('Données projet'!$B$9,Paramètres!$A$1:$I$89,3,0)*0.475*44/12</f>
        <v>2.6799443961712654E-9</v>
      </c>
      <c r="AC81" s="22">
        <f t="shared" si="57"/>
        <v>51.536860222879895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9.1529999999999969</v>
      </c>
      <c r="AI81" s="13">
        <f>IF('Données projet'!$A$62&gt;35,AI80+AH81-AQ80,IF(A81&lt;'Données projet'!$A$62,$AF$205^A81,IF(A81='Données projet'!$A$62,'Données projet'!$B$62,AI80+AH81-AQ80)))</f>
        <v>300.17200000000008</v>
      </c>
      <c r="AJ81" s="13">
        <f>AI81*VLOOKUP('Données projet'!$B$10,Paramètres!$A$1:$I$89,3,0)*VLOOKUP('Données projet'!$B$10,Paramètres!$A$1:$I$89,5,0)</f>
        <v>299.69172480000009</v>
      </c>
      <c r="AK81" s="13">
        <f t="shared" si="89"/>
        <v>71.111833286306094</v>
      </c>
      <c r="AL81" s="20">
        <f t="shared" si="58"/>
        <v>645.81619700031649</v>
      </c>
      <c r="AM81" s="59">
        <f t="shared" si="59"/>
        <v>939.14953033364986</v>
      </c>
      <c r="AN81" s="59">
        <f ca="1">AVERAGE(OFFSET($AM$3,0,0,'Données projet'!$E$10+1,1))-AVERAGE(OFFSET($H$3,0,0,'Données projet'!$E$10+1,1))</f>
        <v>525.29195699741149</v>
      </c>
      <c r="AO81" s="59">
        <f t="shared" si="90"/>
        <v>125.99812193007153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73.559471828198397</v>
      </c>
      <c r="AV81" s="21">
        <f>EXP(-LN(2)/25)*AV80+(1-EXP(-LN(2)/25))/(LN(2)/25)*Calculateur!AQ81*Calculateur!AS81*VLOOKUP('Données projet'!$B$10,Paramètres!$A$1:$I$89,3,0)*0.475*44/12</f>
        <v>0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73.559471828198397</v>
      </c>
      <c r="AY81" s="7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 t="e">
        <f>BD81*VLOOKUP('Données projet'!$B$11,Paramètres!$A$1:$I$89,3,0)*VLOOKUP('Données projet'!$B$11,Paramètres!$A$1:$I$89,5,0)</f>
        <v>#N/A</v>
      </c>
      <c r="BF81" s="13" t="e">
        <f t="shared" si="91"/>
        <v>#N/A</v>
      </c>
      <c r="BG81" s="20" t="e">
        <f t="shared" si="61"/>
        <v>#N/A</v>
      </c>
      <c r="BH81" s="59" t="e">
        <f t="shared" si="62"/>
        <v>#N/A</v>
      </c>
      <c r="BI81" s="59" t="e">
        <f ca="1">AVERAGE(OFFSET($BH$3,0,0,'Données projet'!$E$11+1,1))-AVERAGE(OFFSET($H$3,0,0,'Données projet'!$E$11+1,1))</f>
        <v>#N/A</v>
      </c>
      <c r="BJ81" s="59" t="e">
        <f t="shared" si="92"/>
        <v>#N/A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 t="e">
        <f>EXP(-LN(2)/35)*BP80+(1-EXP(-LN(2)/35))/(LN(2)/35)*BL81*BM81*VLOOKUP('Données projet'!$B$11,Paramètres!$A$1:$I$89,3,0)*0.475*44/12</f>
        <v>#N/A</v>
      </c>
      <c r="BQ81" s="21" t="e">
        <f>EXP(-LN(2)/25)*BQ80+(1-EXP(-LN(2)/25))/(LN(2)/25)*Calculateur!BL81*Calculateur!BN81*VLOOKUP('Données projet'!$B$11,Paramètres!$A$1:$I$89,3,0)*0.475*44/12</f>
        <v>#N/A</v>
      </c>
      <c r="BR81" s="21" t="e">
        <f>EXP(-LN(2)/2)*BR80+(1-EXP(-LN(2)/2))/(LN(2)/2)*BL81*BO81*VLOOKUP('Données projet'!$B$11,Paramètres!$A$1:$I$89,3,0)*0.475*44/12</f>
        <v>#N/A</v>
      </c>
      <c r="BS81" s="22" t="e">
        <f t="shared" si="63"/>
        <v>#N/A</v>
      </c>
      <c r="BT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">
      <c r="A82" s="10">
        <f t="shared" si="85"/>
        <v>79</v>
      </c>
      <c r="B82" s="72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47.241999999999955</v>
      </c>
      <c r="D82" s="11">
        <f t="shared" si="86"/>
        <v>13.899159186428221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471.96684284260351</v>
      </c>
      <c r="H82" s="66">
        <f t="shared" si="56"/>
        <v>399.82085224969569</v>
      </c>
      <c r="I82" s="6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0</v>
      </c>
      <c r="O82" s="13">
        <f>N82*VLOOKUP('Données projet'!$B$9,Paramètres!$A$1:$I$89,3,0)*VLOOKUP('Données projet'!$B$9,Paramètres!$A$1:$I$89,5,0)</f>
        <v>0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148.39628895278571</v>
      </c>
      <c r="T82" s="59">
        <f t="shared" si="88"/>
        <v>361.07991692964788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46.801486266610787</v>
      </c>
      <c r="AA82" s="21">
        <f>EXP(-LN(2)/25)*AA81+(1-EXP(-LN(2)/25))/(LN(2)/25)*Calculateur!V82*Calculateur!X82*VLOOKUP('Données projet'!$B$9,Paramètres!$A$1:$I$89,3,0)*0.475*44/12</f>
        <v>3.6953776969519949</v>
      </c>
      <c r="AB82" s="21">
        <f>EXP(-LN(2)/2)*AB81+(1-EXP(-LN(2)/2))/(LN(2)/2)*V82*Y82*VLOOKUP('Données projet'!$B$9,Paramètres!$A$1:$I$89,3,0)*0.475*44/12</f>
        <v>1.8950068557355892E-9</v>
      </c>
      <c r="AC82" s="22">
        <f t="shared" si="57"/>
        <v>50.496863965457791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9.1529999999999969</v>
      </c>
      <c r="AI82" s="13">
        <f>IF('Données projet'!$A$62&gt;35,AI81+AH82-AQ81,IF(A82&lt;'Données projet'!$A$62,$AF$205^A82,IF(A82='Données projet'!$A$62,'Données projet'!$B$62,AI81+AH82-AQ81)))</f>
        <v>309.3250000000001</v>
      </c>
      <c r="AJ82" s="13">
        <f>AI82*VLOOKUP('Données projet'!$B$10,Paramètres!$A$1:$I$89,3,0)*VLOOKUP('Données projet'!$B$10,Paramètres!$A$1:$I$89,5,0)</f>
        <v>308.83008000000012</v>
      </c>
      <c r="AK82" s="13">
        <f t="shared" si="89"/>
        <v>73.024450571688959</v>
      </c>
      <c r="AL82" s="20">
        <f t="shared" si="58"/>
        <v>665.06330741235854</v>
      </c>
      <c r="AM82" s="59">
        <f t="shared" si="59"/>
        <v>958.39664074569191</v>
      </c>
      <c r="AN82" s="59">
        <f ca="1">AVERAGE(OFFSET($AM$3,0,0,'Données projet'!$E$10+1,1))-AVERAGE(OFFSET($H$3,0,0,'Données projet'!$E$10+1,1))</f>
        <v>525.29195699741149</v>
      </c>
      <c r="AO82" s="59">
        <f t="shared" si="90"/>
        <v>125.99812193007153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72.117015452495011</v>
      </c>
      <c r="AV82" s="21">
        <f>EXP(-LN(2)/25)*AV81+(1-EXP(-LN(2)/25))/(LN(2)/25)*Calculateur!AQ82*Calculateur!AS82*VLOOKUP('Données projet'!$B$10,Paramètres!$A$1:$I$89,3,0)*0.475*44/12</f>
        <v>0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72.117015452495011</v>
      </c>
      <c r="AY82" s="7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 t="e">
        <f>BD82*VLOOKUP('Données projet'!$B$11,Paramètres!$A$1:$I$89,3,0)*VLOOKUP('Données projet'!$B$11,Paramètres!$A$1:$I$89,5,0)</f>
        <v>#N/A</v>
      </c>
      <c r="BF82" s="13" t="e">
        <f t="shared" si="91"/>
        <v>#N/A</v>
      </c>
      <c r="BG82" s="20" t="e">
        <f t="shared" si="61"/>
        <v>#N/A</v>
      </c>
      <c r="BH82" s="59" t="e">
        <f t="shared" si="62"/>
        <v>#N/A</v>
      </c>
      <c r="BI82" s="59" t="e">
        <f ca="1">AVERAGE(OFFSET($BH$3,0,0,'Données projet'!$E$11+1,1))-AVERAGE(OFFSET($H$3,0,0,'Données projet'!$E$11+1,1))</f>
        <v>#N/A</v>
      </c>
      <c r="BJ82" s="59" t="e">
        <f t="shared" si="92"/>
        <v>#N/A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 t="e">
        <f>EXP(-LN(2)/35)*BP81+(1-EXP(-LN(2)/35))/(LN(2)/35)*BL82*BM82*VLOOKUP('Données projet'!$B$11,Paramètres!$A$1:$I$89,3,0)*0.475*44/12</f>
        <v>#N/A</v>
      </c>
      <c r="BQ82" s="21" t="e">
        <f>EXP(-LN(2)/25)*BQ81+(1-EXP(-LN(2)/25))/(LN(2)/25)*Calculateur!BL82*Calculateur!BN82*VLOOKUP('Données projet'!$B$11,Paramètres!$A$1:$I$89,3,0)*0.475*44/12</f>
        <v>#N/A</v>
      </c>
      <c r="BR82" s="21" t="e">
        <f>EXP(-LN(2)/2)*BR81+(1-EXP(-LN(2)/2))/(LN(2)/2)*BL82*BO82*VLOOKUP('Données projet'!$B$11,Paramètres!$A$1:$I$89,3,0)*0.475*44/12</f>
        <v>#N/A</v>
      </c>
      <c r="BS82" s="22" t="e">
        <f t="shared" si="63"/>
        <v>#N/A</v>
      </c>
      <c r="BT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">
      <c r="A83" s="10">
        <f t="shared" si="85"/>
        <v>80</v>
      </c>
      <c r="B83" s="72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47.839999999999954</v>
      </c>
      <c r="D83" s="11">
        <f t="shared" si="86"/>
        <v>14.054504650394959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477.78214116094318</v>
      </c>
      <c r="H83" s="66">
        <f t="shared" si="56"/>
        <v>401.13292893277111</v>
      </c>
      <c r="I83" s="6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0</v>
      </c>
      <c r="O83" s="13">
        <f>N83*VLOOKUP('Données projet'!$B$9,Paramètres!$A$1:$I$89,3,0)*VLOOKUP('Données projet'!$B$9,Paramètres!$A$1:$I$89,5,0)</f>
        <v>0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148.39628895278571</v>
      </c>
      <c r="T83" s="59">
        <f t="shared" si="88"/>
        <v>361.07991692964788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45.883737667010479</v>
      </c>
      <c r="AA83" s="21">
        <f>EXP(-LN(2)/25)*AA82+(1-EXP(-LN(2)/25))/(LN(2)/25)*Calculateur!V83*Calculateur!X83*VLOOKUP('Données projet'!$B$9,Paramètres!$A$1:$I$89,3,0)*0.475*44/12</f>
        <v>3.5943273994973755</v>
      </c>
      <c r="AB83" s="21">
        <f>EXP(-LN(2)/2)*AB82+(1-EXP(-LN(2)/2))/(LN(2)/2)*V83*Y83*VLOOKUP('Données projet'!$B$9,Paramètres!$A$1:$I$89,3,0)*0.475*44/12</f>
        <v>1.3399721980856327E-9</v>
      </c>
      <c r="AC83" s="22">
        <f t="shared" si="57"/>
        <v>49.478065067847822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9.1529999999999969</v>
      </c>
      <c r="AI83" s="13">
        <f>IF('Données projet'!$A$62&gt;35,AI82+AH83-AQ82,IF(A83&lt;'Données projet'!$A$62,$AF$205^A83,IF(A83='Données projet'!$A$62,'Données projet'!$B$62,AI82+AH83-AQ82)))</f>
        <v>318.47800000000012</v>
      </c>
      <c r="AJ83" s="13">
        <f>AI83*VLOOKUP('Données projet'!$B$10,Paramètres!$A$1:$I$89,3,0)*VLOOKUP('Données projet'!$B$10,Paramètres!$A$1:$I$89,5,0)</f>
        <v>317.96843520000016</v>
      </c>
      <c r="AK83" s="13">
        <f t="shared" si="89"/>
        <v>74.93049054027199</v>
      </c>
      <c r="AL83" s="20">
        <f t="shared" si="58"/>
        <v>684.29896233097395</v>
      </c>
      <c r="AM83" s="59">
        <f t="shared" si="59"/>
        <v>977.63229566430732</v>
      </c>
      <c r="AN83" s="59">
        <f ca="1">AVERAGE(OFFSET($AM$3,0,0,'Données projet'!$E$10+1,1))-AVERAGE(OFFSET($H$3,0,0,'Données projet'!$E$10+1,1))</f>
        <v>525.29195699741149</v>
      </c>
      <c r="AO83" s="59">
        <f t="shared" si="90"/>
        <v>125.99812193007153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70.702844766507653</v>
      </c>
      <c r="AV83" s="21">
        <f>EXP(-LN(2)/25)*AV82+(1-EXP(-LN(2)/25))/(LN(2)/25)*Calculateur!AQ83*Calculateur!AS83*VLOOKUP('Données projet'!$B$10,Paramètres!$A$1:$I$89,3,0)*0.475*44/12</f>
        <v>0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70.702844766507653</v>
      </c>
      <c r="AY83" s="7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 t="e">
        <f>BD83*VLOOKUP('Données projet'!$B$11,Paramètres!$A$1:$I$89,3,0)*VLOOKUP('Données projet'!$B$11,Paramètres!$A$1:$I$89,5,0)</f>
        <v>#N/A</v>
      </c>
      <c r="BF83" s="13" t="e">
        <f t="shared" si="91"/>
        <v>#N/A</v>
      </c>
      <c r="BG83" s="20" t="e">
        <f t="shared" si="61"/>
        <v>#N/A</v>
      </c>
      <c r="BH83" s="59" t="e">
        <f t="shared" si="62"/>
        <v>#N/A</v>
      </c>
      <c r="BI83" s="59" t="e">
        <f ca="1">AVERAGE(OFFSET($BH$3,0,0,'Données projet'!$E$11+1,1))-AVERAGE(OFFSET($H$3,0,0,'Données projet'!$E$11+1,1))</f>
        <v>#N/A</v>
      </c>
      <c r="BJ83" s="59" t="e">
        <f t="shared" si="92"/>
        <v>#N/A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 t="e">
        <f>EXP(-LN(2)/35)*BP82+(1-EXP(-LN(2)/35))/(LN(2)/35)*BL83*BM83*VLOOKUP('Données projet'!$B$11,Paramètres!$A$1:$I$89,3,0)*0.475*44/12</f>
        <v>#N/A</v>
      </c>
      <c r="BQ83" s="21" t="e">
        <f>EXP(-LN(2)/25)*BQ82+(1-EXP(-LN(2)/25))/(LN(2)/25)*Calculateur!BL83*Calculateur!BN83*VLOOKUP('Données projet'!$B$11,Paramètres!$A$1:$I$89,3,0)*0.475*44/12</f>
        <v>#N/A</v>
      </c>
      <c r="BR83" s="21" t="e">
        <f>EXP(-LN(2)/2)*BR82+(1-EXP(-LN(2)/2))/(LN(2)/2)*BL83*BO83*VLOOKUP('Données projet'!$B$11,Paramètres!$A$1:$I$89,3,0)*0.475*44/12</f>
        <v>#N/A</v>
      </c>
      <c r="BS83" s="22" t="e">
        <f t="shared" si="63"/>
        <v>#N/A</v>
      </c>
      <c r="BT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">
      <c r="A84" s="10">
        <f t="shared" si="85"/>
        <v>81</v>
      </c>
      <c r="B84" s="72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48.437999999999953</v>
      </c>
      <c r="D84" s="11">
        <f t="shared" si="86"/>
        <v>14.209624244846959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483.59569592513407</v>
      </c>
      <c r="H84" s="66">
        <f t="shared" si="56"/>
        <v>402.44461222644168</v>
      </c>
      <c r="I84" s="6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0</v>
      </c>
      <c r="O84" s="13">
        <f>N84*VLOOKUP('Données projet'!$B$9,Paramètres!$A$1:$I$89,3,0)*VLOOKUP('Données projet'!$B$9,Paramètres!$A$1:$I$89,5,0)</f>
        <v>0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148.39628895278571</v>
      </c>
      <c r="T84" s="59">
        <f t="shared" si="88"/>
        <v>361.07991692964788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44.983985557676959</v>
      </c>
      <c r="AA84" s="21">
        <f>EXP(-LN(2)/25)*AA83+(1-EXP(-LN(2)/25))/(LN(2)/25)*Calculateur!V84*Calculateur!X84*VLOOKUP('Données projet'!$B$9,Paramètres!$A$1:$I$89,3,0)*0.475*44/12</f>
        <v>3.4960403277406567</v>
      </c>
      <c r="AB84" s="21">
        <f>EXP(-LN(2)/2)*AB83+(1-EXP(-LN(2)/2))/(LN(2)/2)*V84*Y84*VLOOKUP('Données projet'!$B$9,Paramètres!$A$1:$I$89,3,0)*0.475*44/12</f>
        <v>9.4750342786779459E-10</v>
      </c>
      <c r="AC84" s="22">
        <f t="shared" si="57"/>
        <v>48.480025886365119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9.1529999999999969</v>
      </c>
      <c r="AI84" s="13">
        <f>IF('Données projet'!$A$62&gt;35,AI83+AH84-AQ83,IF(A84&lt;'Données projet'!$A$62,$AF$205^A84,IF(A84='Données projet'!$A$62,'Données projet'!$B$62,AI83+AH84-AQ83)))</f>
        <v>327.63100000000014</v>
      </c>
      <c r="AJ84" s="13">
        <f>AI84*VLOOKUP('Données projet'!$B$10,Paramètres!$A$1:$I$89,3,0)*VLOOKUP('Données projet'!$B$10,Paramètres!$A$1:$I$89,5,0)</f>
        <v>327.10679040000014</v>
      </c>
      <c r="AK84" s="13">
        <f t="shared" si="89"/>
        <v>76.830163932344675</v>
      </c>
      <c r="AL84" s="20">
        <f t="shared" si="58"/>
        <v>703.52352879550062</v>
      </c>
      <c r="AM84" s="59">
        <f t="shared" si="59"/>
        <v>996.85686212883388</v>
      </c>
      <c r="AN84" s="59">
        <f ca="1">AVERAGE(OFFSET($AM$3,0,0,'Données projet'!$E$10+1,1))-AVERAGE(OFFSET($H$3,0,0,'Données projet'!$E$10+1,1))</f>
        <v>525.29195699741149</v>
      </c>
      <c r="AO84" s="59">
        <f t="shared" si="90"/>
        <v>125.99812193007153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69.31640510511356</v>
      </c>
      <c r="AV84" s="21">
        <f>EXP(-LN(2)/25)*AV83+(1-EXP(-LN(2)/25))/(LN(2)/25)*Calculateur!AQ84*Calculateur!AS84*VLOOKUP('Données projet'!$B$10,Paramètres!$A$1:$I$89,3,0)*0.475*44/12</f>
        <v>0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69.31640510511356</v>
      </c>
      <c r="AY84" s="7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 t="e">
        <f>BD84*VLOOKUP('Données projet'!$B$11,Paramètres!$A$1:$I$89,3,0)*VLOOKUP('Données projet'!$B$11,Paramètres!$A$1:$I$89,5,0)</f>
        <v>#N/A</v>
      </c>
      <c r="BF84" s="13" t="e">
        <f t="shared" si="91"/>
        <v>#N/A</v>
      </c>
      <c r="BG84" s="20" t="e">
        <f t="shared" si="61"/>
        <v>#N/A</v>
      </c>
      <c r="BH84" s="59" t="e">
        <f t="shared" si="62"/>
        <v>#N/A</v>
      </c>
      <c r="BI84" s="59" t="e">
        <f ca="1">AVERAGE(OFFSET($BH$3,0,0,'Données projet'!$E$11+1,1))-AVERAGE(OFFSET($H$3,0,0,'Données projet'!$E$11+1,1))</f>
        <v>#N/A</v>
      </c>
      <c r="BJ84" s="59" t="e">
        <f t="shared" si="92"/>
        <v>#N/A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 t="e">
        <f>EXP(-LN(2)/35)*BP83+(1-EXP(-LN(2)/35))/(LN(2)/35)*BL84*BM84*VLOOKUP('Données projet'!$B$11,Paramètres!$A$1:$I$89,3,0)*0.475*44/12</f>
        <v>#N/A</v>
      </c>
      <c r="BQ84" s="21" t="e">
        <f>EXP(-LN(2)/25)*BQ83+(1-EXP(-LN(2)/25))/(LN(2)/25)*Calculateur!BL84*Calculateur!BN84*VLOOKUP('Données projet'!$B$11,Paramètres!$A$1:$I$89,3,0)*0.475*44/12</f>
        <v>#N/A</v>
      </c>
      <c r="BR84" s="21" t="e">
        <f>EXP(-LN(2)/2)*BR83+(1-EXP(-LN(2)/2))/(LN(2)/2)*BL84*BO84*VLOOKUP('Données projet'!$B$11,Paramètres!$A$1:$I$89,3,0)*0.475*44/12</f>
        <v>#N/A</v>
      </c>
      <c r="BS84" s="22" t="e">
        <f t="shared" si="63"/>
        <v>#N/A</v>
      </c>
      <c r="BT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">
      <c r="A85" s="10">
        <f t="shared" si="85"/>
        <v>82</v>
      </c>
      <c r="B85" s="72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49.035999999999952</v>
      </c>
      <c r="D85" s="11">
        <f t="shared" si="86"/>
        <v>14.364521080802797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489.40753115005629</v>
      </c>
      <c r="H85" s="66">
        <f t="shared" si="56"/>
        <v>403.75590754906477</v>
      </c>
      <c r="I85" s="6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0</v>
      </c>
      <c r="O85" s="13">
        <f>N85*VLOOKUP('Données projet'!$B$9,Paramètres!$A$1:$I$89,3,0)*VLOOKUP('Données projet'!$B$9,Paramètres!$A$1:$I$89,5,0)</f>
        <v>0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148.39628895278571</v>
      </c>
      <c r="T85" s="59">
        <f t="shared" si="88"/>
        <v>361.07991692964788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44.101877038412873</v>
      </c>
      <c r="AA85" s="21">
        <f>EXP(-LN(2)/25)*AA84+(1-EXP(-LN(2)/25))/(LN(2)/25)*Calculateur!V85*Calculateur!X85*VLOOKUP('Données projet'!$B$9,Paramètres!$A$1:$I$89,3,0)*0.475*44/12</f>
        <v>3.4004409211298179</v>
      </c>
      <c r="AB85" s="21">
        <f>EXP(-LN(2)/2)*AB84+(1-EXP(-LN(2)/2))/(LN(2)/2)*V85*Y85*VLOOKUP('Données projet'!$B$9,Paramètres!$A$1:$I$89,3,0)*0.475*44/12</f>
        <v>6.6998609904281635E-10</v>
      </c>
      <c r="AC85" s="22">
        <f t="shared" si="57"/>
        <v>47.502317960212679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9.1529999999999969</v>
      </c>
      <c r="AI85" s="13">
        <f>IF('Données projet'!$A$62&gt;35,AI84+AH85-AQ84,IF(A85&lt;'Données projet'!$A$62,$AF$205^A85,IF(A85='Données projet'!$A$62,'Données projet'!$B$62,AI84+AH85-AQ84)))</f>
        <v>336.78400000000016</v>
      </c>
      <c r="AJ85" s="13">
        <f>AI85*VLOOKUP('Données projet'!$B$10,Paramètres!$A$1:$I$89,3,0)*VLOOKUP('Données projet'!$B$10,Paramètres!$A$1:$I$89,5,0)</f>
        <v>336.24514560000017</v>
      </c>
      <c r="AK85" s="13">
        <f t="shared" si="89"/>
        <v>78.723669043373661</v>
      </c>
      <c r="AL85" s="20">
        <f t="shared" si="58"/>
        <v>722.73735217054275</v>
      </c>
      <c r="AM85" s="59">
        <f t="shared" si="59"/>
        <v>1016.0706855038761</v>
      </c>
      <c r="AN85" s="59">
        <f ca="1">AVERAGE(OFFSET($AM$3,0,0,'Données projet'!$E$10+1,1))-AVERAGE(OFFSET($H$3,0,0,'Données projet'!$E$10+1,1))</f>
        <v>525.29195699741149</v>
      </c>
      <c r="AO85" s="59">
        <f t="shared" si="90"/>
        <v>125.99812193007153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67.957152679834707</v>
      </c>
      <c r="AV85" s="21">
        <f>EXP(-LN(2)/25)*AV84+(1-EXP(-LN(2)/25))/(LN(2)/25)*Calculateur!AQ85*Calculateur!AS85*VLOOKUP('Données projet'!$B$10,Paramètres!$A$1:$I$89,3,0)*0.475*44/12</f>
        <v>0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67.957152679834707</v>
      </c>
      <c r="AY85" s="7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 t="e">
        <f>BD85*VLOOKUP('Données projet'!$B$11,Paramètres!$A$1:$I$89,3,0)*VLOOKUP('Données projet'!$B$11,Paramètres!$A$1:$I$89,5,0)</f>
        <v>#N/A</v>
      </c>
      <c r="BF85" s="13" t="e">
        <f t="shared" si="91"/>
        <v>#N/A</v>
      </c>
      <c r="BG85" s="20" t="e">
        <f t="shared" si="61"/>
        <v>#N/A</v>
      </c>
      <c r="BH85" s="59" t="e">
        <f t="shared" si="62"/>
        <v>#N/A</v>
      </c>
      <c r="BI85" s="59" t="e">
        <f ca="1">AVERAGE(OFFSET($BH$3,0,0,'Données projet'!$E$11+1,1))-AVERAGE(OFFSET($H$3,0,0,'Données projet'!$E$11+1,1))</f>
        <v>#N/A</v>
      </c>
      <c r="BJ85" s="59" t="e">
        <f t="shared" si="92"/>
        <v>#N/A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 t="e">
        <f>EXP(-LN(2)/35)*BP84+(1-EXP(-LN(2)/35))/(LN(2)/35)*BL85*BM85*VLOOKUP('Données projet'!$B$11,Paramètres!$A$1:$I$89,3,0)*0.475*44/12</f>
        <v>#N/A</v>
      </c>
      <c r="BQ85" s="21" t="e">
        <f>EXP(-LN(2)/25)*BQ84+(1-EXP(-LN(2)/25))/(LN(2)/25)*Calculateur!BL85*Calculateur!BN85*VLOOKUP('Données projet'!$B$11,Paramètres!$A$1:$I$89,3,0)*0.475*44/12</f>
        <v>#N/A</v>
      </c>
      <c r="BR85" s="21" t="e">
        <f>EXP(-LN(2)/2)*BR84+(1-EXP(-LN(2)/2))/(LN(2)/2)*BL85*BO85*VLOOKUP('Données projet'!$B$11,Paramètres!$A$1:$I$89,3,0)*0.475*44/12</f>
        <v>#N/A</v>
      </c>
      <c r="BS85" s="22" t="e">
        <f t="shared" si="63"/>
        <v>#N/A</v>
      </c>
      <c r="BT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">
      <c r="A86" s="10">
        <f t="shared" si="85"/>
        <v>83</v>
      </c>
      <c r="B86" s="72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49.633999999999951</v>
      </c>
      <c r="D86" s="11">
        <f t="shared" si="86"/>
        <v>14.519198189037443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495.21767023116581</v>
      </c>
      <c r="H86" s="66">
        <f t="shared" si="56"/>
        <v>405.0668201792401</v>
      </c>
      <c r="I86" s="6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0</v>
      </c>
      <c r="O86" s="13">
        <f>N86*VLOOKUP('Données projet'!$B$9,Paramètres!$A$1:$I$89,3,0)*VLOOKUP('Données projet'!$B$9,Paramètres!$A$1:$I$89,5,0)</f>
        <v>0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148.39628895278571</v>
      </c>
      <c r="T86" s="59">
        <f t="shared" si="88"/>
        <v>361.07991692964788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43.237066129178487</v>
      </c>
      <c r="AA86" s="21">
        <f>EXP(-LN(2)/25)*AA85+(1-EXP(-LN(2)/25))/(LN(2)/25)*Calculateur!V86*Calculateur!X86*VLOOKUP('Données projet'!$B$9,Paramètres!$A$1:$I$89,3,0)*0.475*44/12</f>
        <v>3.3074556853201069</v>
      </c>
      <c r="AB86" s="21">
        <f>EXP(-LN(2)/2)*AB85+(1-EXP(-LN(2)/2))/(LN(2)/2)*V86*Y86*VLOOKUP('Données projet'!$B$9,Paramètres!$A$1:$I$89,3,0)*0.475*44/12</f>
        <v>4.737517139338973E-10</v>
      </c>
      <c r="AC86" s="22">
        <f t="shared" si="57"/>
        <v>46.544521814972349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9.1529999999999969</v>
      </c>
      <c r="AI86" s="13">
        <f>IF('Données projet'!$A$62&gt;35,AI85+AH86-AQ85,IF(A86&lt;'Données projet'!$A$62,$AF$205^A86,IF(A86='Données projet'!$A$62,'Données projet'!$B$62,AI85+AH86-AQ85)))</f>
        <v>345.93700000000018</v>
      </c>
      <c r="AJ86" s="13">
        <f>AI86*VLOOKUP('Données projet'!$B$10,Paramètres!$A$1:$I$89,3,0)*VLOOKUP('Données projet'!$B$10,Paramètres!$A$1:$I$89,5,0)</f>
        <v>345.38350080000021</v>
      </c>
      <c r="AK86" s="13">
        <f t="shared" si="89"/>
        <v>80.611192776894242</v>
      </c>
      <c r="AL86" s="20">
        <f t="shared" si="58"/>
        <v>741.9407579797579</v>
      </c>
      <c r="AM86" s="59">
        <f t="shared" si="59"/>
        <v>1035.2740913130913</v>
      </c>
      <c r="AN86" s="59">
        <f ca="1">AVERAGE(OFFSET($AM$3,0,0,'Données projet'!$E$10+1,1))-AVERAGE(OFFSET($H$3,0,0,'Données projet'!$E$10+1,1))</f>
        <v>525.29195699741149</v>
      </c>
      <c r="AO86" s="59">
        <f t="shared" si="90"/>
        <v>125.99812193007153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66.624554365553465</v>
      </c>
      <c r="AV86" s="21">
        <f>EXP(-LN(2)/25)*AV85+(1-EXP(-LN(2)/25))/(LN(2)/25)*Calculateur!AQ86*Calculateur!AS86*VLOOKUP('Données projet'!$B$10,Paramètres!$A$1:$I$89,3,0)*0.475*44/12</f>
        <v>0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66.624554365553465</v>
      </c>
      <c r="AY86" s="7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 t="e">
        <f>BD86*VLOOKUP('Données projet'!$B$11,Paramètres!$A$1:$I$89,3,0)*VLOOKUP('Données projet'!$B$11,Paramètres!$A$1:$I$89,5,0)</f>
        <v>#N/A</v>
      </c>
      <c r="BF86" s="13" t="e">
        <f t="shared" si="91"/>
        <v>#N/A</v>
      </c>
      <c r="BG86" s="20" t="e">
        <f t="shared" si="61"/>
        <v>#N/A</v>
      </c>
      <c r="BH86" s="59" t="e">
        <f t="shared" si="62"/>
        <v>#N/A</v>
      </c>
      <c r="BI86" s="59" t="e">
        <f ca="1">AVERAGE(OFFSET($BH$3,0,0,'Données projet'!$E$11+1,1))-AVERAGE(OFFSET($H$3,0,0,'Données projet'!$E$11+1,1))</f>
        <v>#N/A</v>
      </c>
      <c r="BJ86" s="59" t="e">
        <f t="shared" si="92"/>
        <v>#N/A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 t="e">
        <f>EXP(-LN(2)/35)*BP85+(1-EXP(-LN(2)/35))/(LN(2)/35)*BL86*BM86*VLOOKUP('Données projet'!$B$11,Paramètres!$A$1:$I$89,3,0)*0.475*44/12</f>
        <v>#N/A</v>
      </c>
      <c r="BQ86" s="21" t="e">
        <f>EXP(-LN(2)/25)*BQ85+(1-EXP(-LN(2)/25))/(LN(2)/25)*Calculateur!BL86*Calculateur!BN86*VLOOKUP('Données projet'!$B$11,Paramètres!$A$1:$I$89,3,0)*0.475*44/12</f>
        <v>#N/A</v>
      </c>
      <c r="BR86" s="21" t="e">
        <f>EXP(-LN(2)/2)*BR85+(1-EXP(-LN(2)/2))/(LN(2)/2)*BL86*BO86*VLOOKUP('Données projet'!$B$11,Paramètres!$A$1:$I$89,3,0)*0.475*44/12</f>
        <v>#N/A</v>
      </c>
      <c r="BS86" s="22" t="e">
        <f t="shared" si="63"/>
        <v>#N/A</v>
      </c>
      <c r="BT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">
      <c r="A87" s="10">
        <f t="shared" si="85"/>
        <v>84</v>
      </c>
      <c r="B87" s="72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</v>
      </c>
      <c r="D87" s="11">
        <f t="shared" si="86"/>
        <v>14.673658523093403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501.02613596773813</v>
      </c>
      <c r="H87" s="66">
        <f t="shared" si="56"/>
        <v>406.37735526105422</v>
      </c>
      <c r="I87" s="6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0</v>
      </c>
      <c r="O87" s="13">
        <f>N87*VLOOKUP('Données projet'!$B$9,Paramètres!$A$1:$I$89,3,0)*VLOOKUP('Données projet'!$B$9,Paramètres!$A$1:$I$89,5,0)</f>
        <v>0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148.39628895278571</v>
      </c>
      <c r="T87" s="59">
        <f t="shared" si="88"/>
        <v>361.07991692964788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42.389213634391616</v>
      </c>
      <c r="AA87" s="21">
        <f>EXP(-LN(2)/25)*AA86+(1-EXP(-LN(2)/25))/(LN(2)/25)*Calculateur!V87*Calculateur!X87*VLOOKUP('Données projet'!$B$9,Paramètres!$A$1:$I$89,3,0)*0.475*44/12</f>
        <v>3.2170131356734935</v>
      </c>
      <c r="AB87" s="21">
        <f>EXP(-LN(2)/2)*AB86+(1-EXP(-LN(2)/2))/(LN(2)/2)*V87*Y87*VLOOKUP('Données projet'!$B$9,Paramètres!$A$1:$I$89,3,0)*0.475*44/12</f>
        <v>3.3499304952140817E-10</v>
      </c>
      <c r="AC87" s="22">
        <f t="shared" si="57"/>
        <v>45.606226770400099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>
        <f>VLOOKUP(A87,'Données projet'!$A$61:$I$81,2,0)</f>
        <v>355.09</v>
      </c>
      <c r="AG87" s="12">
        <f>VLOOKUP(A87,'Données projet'!$A$61:$I$81,9,0)</f>
        <v>9.1529999999999969</v>
      </c>
      <c r="AH87" s="12">
        <f t="array" ref="AH87">INDEX(AG:AG,MIN(IF(ISNUMBER(AG87:AG283),ROW(AG87:AG283),"")))</f>
        <v>9.1529999999999969</v>
      </c>
      <c r="AI87" s="13">
        <f>IF('Données projet'!$A$62&gt;35,AI86+AH87-AQ86,IF(A87&lt;'Données projet'!$A$62,$AF$205^A87,IF(A87='Données projet'!$A$62,'Données projet'!$B$62,AI86+AH87-AQ86)))</f>
        <v>355.0900000000002</v>
      </c>
      <c r="AJ87" s="13">
        <f>AI87*VLOOKUP('Données projet'!$B$10,Paramètres!$A$1:$I$89,3,0)*VLOOKUP('Données projet'!$B$10,Paramètres!$A$1:$I$89,5,0)</f>
        <v>354.52185600000024</v>
      </c>
      <c r="AK87" s="13">
        <f t="shared" si="89"/>
        <v>82.492911582835617</v>
      </c>
      <c r="AL87" s="20">
        <f t="shared" si="58"/>
        <v>761.13405354010581</v>
      </c>
      <c r="AM87" s="59">
        <f t="shared" si="59"/>
        <v>1054.4673868734392</v>
      </c>
      <c r="AN87" s="59">
        <f ca="1">AVERAGE(OFFSET($AM$3,0,0,'Données projet'!$E$10+1,1))-AVERAGE(OFFSET($H$3,0,0,'Données projet'!$E$10+1,1))</f>
        <v>525.29195699741149</v>
      </c>
      <c r="AO87" s="59">
        <f t="shared" si="90"/>
        <v>125.99812193007153</v>
      </c>
      <c r="AP87" s="15">
        <f>IF(ISNA(VLOOKUP(A87,'Données projet'!$A$61:$I$81,3,0)),0,VLOOKUP(A87,'Données projet'!$A$61:$I$81,3,0))</f>
        <v>6</v>
      </c>
      <c r="AQ87" s="15">
        <f>IF(ISNA(VLOOKUP(A87,'Données projet'!$A$61:$I$81,4,0)),0,VLOOKUP(A87,'Données projet'!$A$61:$I$81,4,0))</f>
        <v>61.47</v>
      </c>
      <c r="AR87" s="16">
        <f>IF(ISNA(VLOOKUP(A87,'Données projet'!$A$61:$I$81,5,0)),0%,VLOOKUP(A87,'Données projet'!$A$61:$I$81,5,0)*VLOOKUP('Données projet'!$B$10,Paramètres!$A$1:$I$89,7,0))</f>
        <v>0.43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94.491239264473279</v>
      </c>
      <c r="AV87" s="21">
        <f>EXP(-LN(2)/25)*AV86+(1-EXP(-LN(2)/25))/(LN(2)/25)*Calculateur!AQ87*Calculateur!AS87*VLOOKUP('Données projet'!$B$10,Paramètres!$A$1:$I$89,3,0)*0.475*44/12</f>
        <v>0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94.491239264473279</v>
      </c>
      <c r="AY87" s="7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 t="e">
        <f>BD87*VLOOKUP('Données projet'!$B$11,Paramètres!$A$1:$I$89,3,0)*VLOOKUP('Données projet'!$B$11,Paramètres!$A$1:$I$89,5,0)</f>
        <v>#N/A</v>
      </c>
      <c r="BF87" s="13" t="e">
        <f t="shared" si="91"/>
        <v>#N/A</v>
      </c>
      <c r="BG87" s="20" t="e">
        <f t="shared" si="61"/>
        <v>#N/A</v>
      </c>
      <c r="BH87" s="59" t="e">
        <f t="shared" si="62"/>
        <v>#N/A</v>
      </c>
      <c r="BI87" s="59" t="e">
        <f ca="1">AVERAGE(OFFSET($BH$3,0,0,'Données projet'!$E$11+1,1))-AVERAGE(OFFSET($H$3,0,0,'Données projet'!$E$11+1,1))</f>
        <v>#N/A</v>
      </c>
      <c r="BJ87" s="59" t="e">
        <f t="shared" si="92"/>
        <v>#N/A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 t="e">
        <f>EXP(-LN(2)/35)*BP86+(1-EXP(-LN(2)/35))/(LN(2)/35)*BL87*BM87*VLOOKUP('Données projet'!$B$11,Paramètres!$A$1:$I$89,3,0)*0.475*44/12</f>
        <v>#N/A</v>
      </c>
      <c r="BQ87" s="21" t="e">
        <f>EXP(-LN(2)/25)*BQ86+(1-EXP(-LN(2)/25))/(LN(2)/25)*Calculateur!BL87*Calculateur!BN87*VLOOKUP('Données projet'!$B$11,Paramètres!$A$1:$I$89,3,0)*0.475*44/12</f>
        <v>#N/A</v>
      </c>
      <c r="BR87" s="21" t="e">
        <f>EXP(-LN(2)/2)*BR86+(1-EXP(-LN(2)/2))/(LN(2)/2)*BL87*BO87*VLOOKUP('Données projet'!$B$11,Paramètres!$A$1:$I$89,3,0)*0.475*44/12</f>
        <v>#N/A</v>
      </c>
      <c r="BS87" s="22" t="e">
        <f t="shared" si="63"/>
        <v>#N/A</v>
      </c>
      <c r="BT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">
      <c r="A88" s="10">
        <f t="shared" si="85"/>
        <v>85</v>
      </c>
      <c r="B88" s="72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50.829999999999949</v>
      </c>
      <c r="D88" s="11">
        <f t="shared" si="86"/>
        <v>14.827904962144244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506.83295058497271</v>
      </c>
      <c r="H88" s="66">
        <f t="shared" si="56"/>
        <v>407.6875178090678</v>
      </c>
      <c r="I88" s="6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0</v>
      </c>
      <c r="O88" s="13">
        <f>N88*VLOOKUP('Données projet'!$B$9,Paramètres!$A$1:$I$89,3,0)*VLOOKUP('Données projet'!$B$9,Paramètres!$A$1:$I$89,5,0)</f>
        <v>0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148.39628895278571</v>
      </c>
      <c r="T88" s="59">
        <f t="shared" si="88"/>
        <v>361.07991692964788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41.557987009888556</v>
      </c>
      <c r="AA88" s="21">
        <f>EXP(-LN(2)/25)*AA87+(1-EXP(-LN(2)/25))/(LN(2)/25)*Calculateur!V88*Calculateur!X88*VLOOKUP('Données projet'!$B$9,Paramètres!$A$1:$I$89,3,0)*0.475*44/12</f>
        <v>3.1290437423031334</v>
      </c>
      <c r="AB88" s="21">
        <f>EXP(-LN(2)/2)*AB87+(1-EXP(-LN(2)/2))/(LN(2)/2)*V88*Y88*VLOOKUP('Données projet'!$B$9,Paramètres!$A$1:$I$89,3,0)*0.475*44/12</f>
        <v>2.3687585696694865E-10</v>
      </c>
      <c r="AC88" s="22">
        <f t="shared" si="57"/>
        <v>44.687030752428562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8.6509999999999998</v>
      </c>
      <c r="AI88" s="13">
        <f>IF('Données projet'!$A$62&gt;35,AI87+AH88-AQ87,IF(A88&lt;'Données projet'!$A$62,$AF$205^A88,IF(A88='Données projet'!$A$62,'Données projet'!$B$62,AI87+AH88-AQ87)))</f>
        <v>302.27100000000019</v>
      </c>
      <c r="AJ88" s="13">
        <f>AI88*VLOOKUP('Données projet'!$B$10,Paramètres!$A$1:$I$89,3,0)*VLOOKUP('Données projet'!$B$10,Paramètres!$A$1:$I$89,5,0)</f>
        <v>301.78736640000017</v>
      </c>
      <c r="AK88" s="13">
        <f t="shared" si="89"/>
        <v>71.551034486682923</v>
      </c>
      <c r="AL88" s="20">
        <f t="shared" si="58"/>
        <v>650.23104821097297</v>
      </c>
      <c r="AM88" s="59">
        <f t="shared" si="59"/>
        <v>943.56438154430634</v>
      </c>
      <c r="AN88" s="59">
        <f ca="1">AVERAGE(OFFSET($AM$3,0,0,'Données projet'!$E$10+1,1))-AVERAGE(OFFSET($H$3,0,0,'Données projet'!$E$10+1,1))</f>
        <v>525.29195699741149</v>
      </c>
      <c r="AO88" s="59">
        <f t="shared" si="90"/>
        <v>125.99812193007153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92.638323696462024</v>
      </c>
      <c r="AV88" s="21">
        <f>EXP(-LN(2)/25)*AV87+(1-EXP(-LN(2)/25))/(LN(2)/25)*Calculateur!AQ88*Calculateur!AS88*VLOOKUP('Données projet'!$B$10,Paramètres!$A$1:$I$89,3,0)*0.475*44/12</f>
        <v>0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92.638323696462024</v>
      </c>
      <c r="AY88" s="7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 t="e">
        <f>BD88*VLOOKUP('Données projet'!$B$11,Paramètres!$A$1:$I$89,3,0)*VLOOKUP('Données projet'!$B$11,Paramètres!$A$1:$I$89,5,0)</f>
        <v>#N/A</v>
      </c>
      <c r="BF88" s="13" t="e">
        <f t="shared" si="91"/>
        <v>#N/A</v>
      </c>
      <c r="BG88" s="20" t="e">
        <f t="shared" si="61"/>
        <v>#N/A</v>
      </c>
      <c r="BH88" s="59" t="e">
        <f t="shared" si="62"/>
        <v>#N/A</v>
      </c>
      <c r="BI88" s="59" t="e">
        <f ca="1">AVERAGE(OFFSET($BH$3,0,0,'Données projet'!$E$11+1,1))-AVERAGE(OFFSET($H$3,0,0,'Données projet'!$E$11+1,1))</f>
        <v>#N/A</v>
      </c>
      <c r="BJ88" s="59" t="e">
        <f t="shared" si="92"/>
        <v>#N/A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 t="e">
        <f>EXP(-LN(2)/35)*BP87+(1-EXP(-LN(2)/35))/(LN(2)/35)*BL88*BM88*VLOOKUP('Données projet'!$B$11,Paramètres!$A$1:$I$89,3,0)*0.475*44/12</f>
        <v>#N/A</v>
      </c>
      <c r="BQ88" s="21" t="e">
        <f>EXP(-LN(2)/25)*BQ87+(1-EXP(-LN(2)/25))/(LN(2)/25)*Calculateur!BL88*Calculateur!BN88*VLOOKUP('Données projet'!$B$11,Paramètres!$A$1:$I$89,3,0)*0.475*44/12</f>
        <v>#N/A</v>
      </c>
      <c r="BR88" s="21" t="e">
        <f>EXP(-LN(2)/2)*BR87+(1-EXP(-LN(2)/2))/(LN(2)/2)*BL88*BO88*VLOOKUP('Données projet'!$B$11,Paramètres!$A$1:$I$89,3,0)*0.475*44/12</f>
        <v>#N/A</v>
      </c>
      <c r="BS88" s="22" t="e">
        <f t="shared" si="63"/>
        <v>#N/A</v>
      </c>
      <c r="BT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">
      <c r="A89" s="10">
        <f t="shared" si="85"/>
        <v>86</v>
      </c>
      <c r="B89" s="72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51.427999999999948</v>
      </c>
      <c r="D89" s="11">
        <f t="shared" si="86"/>
        <v>14.981940313719663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512.63813575502866</v>
      </c>
      <c r="H89" s="66">
        <f t="shared" si="56"/>
        <v>408.99731271306166</v>
      </c>
      <c r="I89" s="6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0</v>
      </c>
      <c r="O89" s="13">
        <f>N89*VLOOKUP('Données projet'!$B$9,Paramètres!$A$1:$I$89,3,0)*VLOOKUP('Données projet'!$B$9,Paramètres!$A$1:$I$89,5,0)</f>
        <v>0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148.39628895278571</v>
      </c>
      <c r="T89" s="59">
        <f t="shared" si="88"/>
        <v>361.07991692964788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40.743060232493825</v>
      </c>
      <c r="AA89" s="21">
        <f>EXP(-LN(2)/25)*AA88+(1-EXP(-LN(2)/25))/(LN(2)/25)*Calculateur!V89*Calculateur!X89*VLOOKUP('Données projet'!$B$9,Paramètres!$A$1:$I$89,3,0)*0.475*44/12</f>
        <v>3.0434798766205953</v>
      </c>
      <c r="AB89" s="21">
        <f>EXP(-LN(2)/2)*AB88+(1-EXP(-LN(2)/2))/(LN(2)/2)*V89*Y89*VLOOKUP('Données projet'!$B$9,Paramètres!$A$1:$I$89,3,0)*0.475*44/12</f>
        <v>1.6749652476070409E-10</v>
      </c>
      <c r="AC89" s="22">
        <f t="shared" si="57"/>
        <v>43.786540109281916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8.6509999999999998</v>
      </c>
      <c r="AI89" s="13">
        <f>IF('Données projet'!$A$62&gt;35,AI88+AH89-AQ88,IF(A89&lt;'Données projet'!$A$62,$AF$205^A89,IF(A89='Données projet'!$A$62,'Données projet'!$B$62,AI88+AH89-AQ88)))</f>
        <v>310.9220000000002</v>
      </c>
      <c r="AJ89" s="13">
        <f>AI89*VLOOKUP('Données projet'!$B$10,Paramètres!$A$1:$I$89,3,0)*VLOOKUP('Données projet'!$B$10,Paramètres!$A$1:$I$89,5,0)</f>
        <v>310.4245248000002</v>
      </c>
      <c r="AK89" s="13">
        <f t="shared" si="89"/>
        <v>73.357480784056648</v>
      </c>
      <c r="AL89" s="20">
        <f t="shared" si="58"/>
        <v>668.42032639223225</v>
      </c>
      <c r="AM89" s="59">
        <f t="shared" si="59"/>
        <v>961.75365972556551</v>
      </c>
      <c r="AN89" s="59">
        <f ca="1">AVERAGE(OFFSET($AM$3,0,0,'Données projet'!$E$10+1,1))-AVERAGE(OFFSET($H$3,0,0,'Données projet'!$E$10+1,1))</f>
        <v>525.29195699741149</v>
      </c>
      <c r="AO89" s="59">
        <f t="shared" si="90"/>
        <v>125.99812193007153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90.821742672572569</v>
      </c>
      <c r="AV89" s="21">
        <f>EXP(-LN(2)/25)*AV88+(1-EXP(-LN(2)/25))/(LN(2)/25)*Calculateur!AQ89*Calculateur!AS89*VLOOKUP('Données projet'!$B$10,Paramètres!$A$1:$I$89,3,0)*0.475*44/12</f>
        <v>0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90.821742672572569</v>
      </c>
      <c r="AY89" s="7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 t="e">
        <f>BD89*VLOOKUP('Données projet'!$B$11,Paramètres!$A$1:$I$89,3,0)*VLOOKUP('Données projet'!$B$11,Paramètres!$A$1:$I$89,5,0)</f>
        <v>#N/A</v>
      </c>
      <c r="BF89" s="13" t="e">
        <f t="shared" si="91"/>
        <v>#N/A</v>
      </c>
      <c r="BG89" s="20" t="e">
        <f t="shared" si="61"/>
        <v>#N/A</v>
      </c>
      <c r="BH89" s="59" t="e">
        <f t="shared" si="62"/>
        <v>#N/A</v>
      </c>
      <c r="BI89" s="59" t="e">
        <f ca="1">AVERAGE(OFFSET($BH$3,0,0,'Données projet'!$E$11+1,1))-AVERAGE(OFFSET($H$3,0,0,'Données projet'!$E$11+1,1))</f>
        <v>#N/A</v>
      </c>
      <c r="BJ89" s="59" t="e">
        <f t="shared" si="92"/>
        <v>#N/A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 t="e">
        <f>EXP(-LN(2)/35)*BP88+(1-EXP(-LN(2)/35))/(LN(2)/35)*BL89*BM89*VLOOKUP('Données projet'!$B$11,Paramètres!$A$1:$I$89,3,0)*0.475*44/12</f>
        <v>#N/A</v>
      </c>
      <c r="BQ89" s="21" t="e">
        <f>EXP(-LN(2)/25)*BQ88+(1-EXP(-LN(2)/25))/(LN(2)/25)*Calculateur!BL89*Calculateur!BN89*VLOOKUP('Données projet'!$B$11,Paramètres!$A$1:$I$89,3,0)*0.475*44/12</f>
        <v>#N/A</v>
      </c>
      <c r="BR89" s="21" t="e">
        <f>EXP(-LN(2)/2)*BR88+(1-EXP(-LN(2)/2))/(LN(2)/2)*BL89*BO89*VLOOKUP('Données projet'!$B$11,Paramètres!$A$1:$I$89,3,0)*0.475*44/12</f>
        <v>#N/A</v>
      </c>
      <c r="BS89" s="22" t="e">
        <f t="shared" si="63"/>
        <v>#N/A</v>
      </c>
      <c r="BT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">
      <c r="A90" s="10">
        <f t="shared" si="85"/>
        <v>87</v>
      </c>
      <c r="B90" s="72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52.025999999999947</v>
      </c>
      <c r="D90" s="11">
        <f t="shared" si="86"/>
        <v>15.135767316300113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518.44171261705321</v>
      </c>
      <c r="H90" s="66">
        <f t="shared" si="56"/>
        <v>410.30674474255591</v>
      </c>
      <c r="I90" s="6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0</v>
      </c>
      <c r="O90" s="13">
        <f>N90*VLOOKUP('Données projet'!$B$9,Paramètres!$A$1:$I$89,3,0)*VLOOKUP('Données projet'!$B$9,Paramètres!$A$1:$I$89,5,0)</f>
        <v>0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148.39628895278571</v>
      </c>
      <c r="T90" s="59">
        <f t="shared" si="88"/>
        <v>361.07991692964788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39.944113672147552</v>
      </c>
      <c r="AA90" s="21">
        <f>EXP(-LN(2)/25)*AA89+(1-EXP(-LN(2)/25))/(LN(2)/25)*Calculateur!V90*Calculateur!X90*VLOOKUP('Données projet'!$B$9,Paramètres!$A$1:$I$89,3,0)*0.475*44/12</f>
        <v>2.9602557593447543</v>
      </c>
      <c r="AB90" s="21">
        <f>EXP(-LN(2)/2)*AB89+(1-EXP(-LN(2)/2))/(LN(2)/2)*V90*Y90*VLOOKUP('Données projet'!$B$9,Paramètres!$A$1:$I$89,3,0)*0.475*44/12</f>
        <v>1.1843792848347432E-10</v>
      </c>
      <c r="AC90" s="22">
        <f t="shared" si="57"/>
        <v>42.904369431610746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8.6509999999999998</v>
      </c>
      <c r="AI90" s="13">
        <f>IF('Données projet'!$A$62&gt;35,AI89+AH90-AQ89,IF(A90&lt;'Données projet'!$A$62,$AF$205^A90,IF(A90='Données projet'!$A$62,'Données projet'!$B$62,AI89+AH90-AQ89)))</f>
        <v>319.57300000000021</v>
      </c>
      <c r="AJ90" s="13">
        <f>AI90*VLOOKUP('Données projet'!$B$10,Paramètres!$A$1:$I$89,3,0)*VLOOKUP('Données projet'!$B$10,Paramètres!$A$1:$I$89,5,0)</f>
        <v>319.06168320000023</v>
      </c>
      <c r="AK90" s="13">
        <f t="shared" si="89"/>
        <v>75.158085249871618</v>
      </c>
      <c r="AL90" s="20">
        <f t="shared" si="58"/>
        <v>686.5994300501934</v>
      </c>
      <c r="AM90" s="59">
        <f t="shared" si="59"/>
        <v>979.93276338352666</v>
      </c>
      <c r="AN90" s="59">
        <f ca="1">AVERAGE(OFFSET($AM$3,0,0,'Données projet'!$E$10+1,1))-AVERAGE(OFFSET($H$3,0,0,'Données projet'!$E$10+1,1))</f>
        <v>525.29195699741149</v>
      </c>
      <c r="AO90" s="59">
        <f t="shared" si="90"/>
        <v>125.99812193007153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89.040783694556566</v>
      </c>
      <c r="AV90" s="21">
        <f>EXP(-LN(2)/25)*AV89+(1-EXP(-LN(2)/25))/(LN(2)/25)*Calculateur!AQ90*Calculateur!AS90*VLOOKUP('Données projet'!$B$10,Paramètres!$A$1:$I$89,3,0)*0.475*44/12</f>
        <v>0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89.040783694556566</v>
      </c>
      <c r="AY90" s="7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 t="e">
        <f>BD90*VLOOKUP('Données projet'!$B$11,Paramètres!$A$1:$I$89,3,0)*VLOOKUP('Données projet'!$B$11,Paramètres!$A$1:$I$89,5,0)</f>
        <v>#N/A</v>
      </c>
      <c r="BF90" s="13" t="e">
        <f t="shared" si="91"/>
        <v>#N/A</v>
      </c>
      <c r="BG90" s="20" t="e">
        <f t="shared" si="61"/>
        <v>#N/A</v>
      </c>
      <c r="BH90" s="59" t="e">
        <f t="shared" si="62"/>
        <v>#N/A</v>
      </c>
      <c r="BI90" s="59" t="e">
        <f ca="1">AVERAGE(OFFSET($BH$3,0,0,'Données projet'!$E$11+1,1))-AVERAGE(OFFSET($H$3,0,0,'Données projet'!$E$11+1,1))</f>
        <v>#N/A</v>
      </c>
      <c r="BJ90" s="59" t="e">
        <f t="shared" si="92"/>
        <v>#N/A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 t="e">
        <f>EXP(-LN(2)/35)*BP89+(1-EXP(-LN(2)/35))/(LN(2)/35)*BL90*BM90*VLOOKUP('Données projet'!$B$11,Paramètres!$A$1:$I$89,3,0)*0.475*44/12</f>
        <v>#N/A</v>
      </c>
      <c r="BQ90" s="21" t="e">
        <f>EXP(-LN(2)/25)*BQ89+(1-EXP(-LN(2)/25))/(LN(2)/25)*Calculateur!BL90*Calculateur!BN90*VLOOKUP('Données projet'!$B$11,Paramètres!$A$1:$I$89,3,0)*0.475*44/12</f>
        <v>#N/A</v>
      </c>
      <c r="BR90" s="21" t="e">
        <f>EXP(-LN(2)/2)*BR89+(1-EXP(-LN(2)/2))/(LN(2)/2)*BL90*BO90*VLOOKUP('Données projet'!$B$11,Paramètres!$A$1:$I$89,3,0)*0.475*44/12</f>
        <v>#N/A</v>
      </c>
      <c r="BS90" s="22" t="e">
        <f t="shared" si="63"/>
        <v>#N/A</v>
      </c>
      <c r="BT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">
      <c r="A91" s="10">
        <f t="shared" si="85"/>
        <v>88</v>
      </c>
      <c r="B91" s="72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52.623999999999945</v>
      </c>
      <c r="D91" s="11">
        <f t="shared" si="86"/>
        <v>15.289388641788751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524.24370179626362</v>
      </c>
      <c r="H91" s="66">
        <f t="shared" si="56"/>
        <v>411.6158185511153</v>
      </c>
      <c r="I91" s="6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0</v>
      </c>
      <c r="O91" s="13">
        <f>N91*VLOOKUP('Données projet'!$B$9,Paramètres!$A$1:$I$89,3,0)*VLOOKUP('Données projet'!$B$9,Paramètres!$A$1:$I$89,5,0)</f>
        <v>0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148.39628895278571</v>
      </c>
      <c r="T91" s="59">
        <f t="shared" si="88"/>
        <v>361.07991692964788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39.16083396654038</v>
      </c>
      <c r="AA91" s="21">
        <f>EXP(-LN(2)/25)*AA90+(1-EXP(-LN(2)/25))/(LN(2)/25)*Calculateur!V91*Calculateur!X91*VLOOKUP('Données projet'!$B$9,Paramètres!$A$1:$I$89,3,0)*0.475*44/12</f>
        <v>2.8793074099323874</v>
      </c>
      <c r="AB91" s="21">
        <f>EXP(-LN(2)/2)*AB90+(1-EXP(-LN(2)/2))/(LN(2)/2)*V91*Y91*VLOOKUP('Données projet'!$B$9,Paramètres!$A$1:$I$89,3,0)*0.475*44/12</f>
        <v>8.3748262380352044E-11</v>
      </c>
      <c r="AC91" s="22">
        <f t="shared" si="57"/>
        <v>42.04014137655652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8.6509999999999998</v>
      </c>
      <c r="AI91" s="13">
        <f>IF('Données projet'!$A$62&gt;35,AI90+AH91-AQ90,IF(A91&lt;'Données projet'!$A$62,$AF$205^A91,IF(A91='Données projet'!$A$62,'Données projet'!$B$62,AI90+AH91-AQ90)))</f>
        <v>328.22400000000022</v>
      </c>
      <c r="AJ91" s="13">
        <f>AI91*VLOOKUP('Données projet'!$B$10,Paramètres!$A$1:$I$89,3,0)*VLOOKUP('Données projet'!$B$10,Paramètres!$A$1:$I$89,5,0)</f>
        <v>327.69884160000021</v>
      </c>
      <c r="AK91" s="13">
        <f t="shared" si="89"/>
        <v>76.953024198804016</v>
      </c>
      <c r="AL91" s="20">
        <f t="shared" si="58"/>
        <v>704.76866626625076</v>
      </c>
      <c r="AM91" s="59">
        <f t="shared" si="59"/>
        <v>998.10199959958413</v>
      </c>
      <c r="AN91" s="59">
        <f ca="1">AVERAGE(OFFSET($AM$3,0,0,'Données projet'!$E$10+1,1))-AVERAGE(OFFSET($H$3,0,0,'Données projet'!$E$10+1,1))</f>
        <v>525.29195699741149</v>
      </c>
      <c r="AO91" s="59">
        <f t="shared" si="90"/>
        <v>125.99812193007153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87.294748235821743</v>
      </c>
      <c r="AV91" s="21">
        <f>EXP(-LN(2)/25)*AV90+(1-EXP(-LN(2)/25))/(LN(2)/25)*Calculateur!AQ91*Calculateur!AS91*VLOOKUP('Données projet'!$B$10,Paramètres!$A$1:$I$89,3,0)*0.475*44/12</f>
        <v>0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87.294748235821743</v>
      </c>
      <c r="AY91" s="7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 t="e">
        <f>BD91*VLOOKUP('Données projet'!$B$11,Paramètres!$A$1:$I$89,3,0)*VLOOKUP('Données projet'!$B$11,Paramètres!$A$1:$I$89,5,0)</f>
        <v>#N/A</v>
      </c>
      <c r="BF91" s="13" t="e">
        <f t="shared" si="91"/>
        <v>#N/A</v>
      </c>
      <c r="BG91" s="20" t="e">
        <f t="shared" si="61"/>
        <v>#N/A</v>
      </c>
      <c r="BH91" s="59" t="e">
        <f t="shared" si="62"/>
        <v>#N/A</v>
      </c>
      <c r="BI91" s="59" t="e">
        <f ca="1">AVERAGE(OFFSET($BH$3,0,0,'Données projet'!$E$11+1,1))-AVERAGE(OFFSET($H$3,0,0,'Données projet'!$E$11+1,1))</f>
        <v>#N/A</v>
      </c>
      <c r="BJ91" s="59" t="e">
        <f t="shared" si="92"/>
        <v>#N/A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 t="e">
        <f>EXP(-LN(2)/35)*BP90+(1-EXP(-LN(2)/35))/(LN(2)/35)*BL91*BM91*VLOOKUP('Données projet'!$B$11,Paramètres!$A$1:$I$89,3,0)*0.475*44/12</f>
        <v>#N/A</v>
      </c>
      <c r="BQ91" s="21" t="e">
        <f>EXP(-LN(2)/25)*BQ90+(1-EXP(-LN(2)/25))/(LN(2)/25)*Calculateur!BL91*Calculateur!BN91*VLOOKUP('Données projet'!$B$11,Paramètres!$A$1:$I$89,3,0)*0.475*44/12</f>
        <v>#N/A</v>
      </c>
      <c r="BR91" s="21" t="e">
        <f>EXP(-LN(2)/2)*BR90+(1-EXP(-LN(2)/2))/(LN(2)/2)*BL91*BO91*VLOOKUP('Données projet'!$B$11,Paramètres!$A$1:$I$89,3,0)*0.475*44/12</f>
        <v>#N/A</v>
      </c>
      <c r="BS91" s="22" t="e">
        <f t="shared" si="63"/>
        <v>#N/A</v>
      </c>
      <c r="BT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">
      <c r="A92" s="10">
        <f t="shared" si="85"/>
        <v>89</v>
      </c>
      <c r="B92" s="72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53.221999999999944</v>
      </c>
      <c r="D92" s="11">
        <f t="shared" si="86"/>
        <v>15.442806897867856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530.04412342213755</v>
      </c>
      <c r="H92" s="66">
        <f t="shared" si="56"/>
        <v>412.92453868045305</v>
      </c>
      <c r="I92" s="6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0</v>
      </c>
      <c r="O92" s="13">
        <f>N92*VLOOKUP('Données projet'!$B$9,Paramètres!$A$1:$I$89,3,0)*VLOOKUP('Données projet'!$B$9,Paramètres!$A$1:$I$89,5,0)</f>
        <v>0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148.39628895278571</v>
      </c>
      <c r="T92" s="59">
        <f t="shared" si="88"/>
        <v>361.07991692964788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38.392913898206722</v>
      </c>
      <c r="AA92" s="21">
        <f>EXP(-LN(2)/25)*AA91+(1-EXP(-LN(2)/25))/(LN(2)/25)*Calculateur!V92*Calculateur!X92*VLOOKUP('Données projet'!$B$9,Paramètres!$A$1:$I$89,3,0)*0.475*44/12</f>
        <v>2.8005725973915903</v>
      </c>
      <c r="AB92" s="21">
        <f>EXP(-LN(2)/2)*AB91+(1-EXP(-LN(2)/2))/(LN(2)/2)*V92*Y92*VLOOKUP('Données projet'!$B$9,Paramètres!$A$1:$I$89,3,0)*0.475*44/12</f>
        <v>5.9218964241737162E-11</v>
      </c>
      <c r="AC92" s="22">
        <f t="shared" si="57"/>
        <v>41.193486495657531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8.6509999999999998</v>
      </c>
      <c r="AI92" s="13">
        <f>IF('Données projet'!$A$62&gt;35,AI91+AH92-AQ91,IF(A92&lt;'Données projet'!$A$62,$AF$205^A92,IF(A92='Données projet'!$A$62,'Données projet'!$B$62,AI91+AH92-AQ91)))</f>
        <v>336.87500000000023</v>
      </c>
      <c r="AJ92" s="13">
        <f>AI92*VLOOKUP('Données projet'!$B$10,Paramètres!$A$1:$I$89,3,0)*VLOOKUP('Données projet'!$B$10,Paramètres!$A$1:$I$89,5,0)</f>
        <v>336.33600000000024</v>
      </c>
      <c r="AK92" s="13">
        <f t="shared" si="89"/>
        <v>78.742464121990608</v>
      </c>
      <c r="AL92" s="20">
        <f t="shared" si="58"/>
        <v>722.92832501246733</v>
      </c>
      <c r="AM92" s="59">
        <f t="shared" si="59"/>
        <v>1016.2616583458007</v>
      </c>
      <c r="AN92" s="59">
        <f ca="1">AVERAGE(OFFSET($AM$3,0,0,'Données projet'!$E$10+1,1))-AVERAGE(OFFSET($H$3,0,0,'Données projet'!$E$10+1,1))</f>
        <v>525.29195699741149</v>
      </c>
      <c r="AO92" s="59">
        <f t="shared" si="90"/>
        <v>125.99812193007153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85.58295146745624</v>
      </c>
      <c r="AV92" s="21">
        <f>EXP(-LN(2)/25)*AV91+(1-EXP(-LN(2)/25))/(LN(2)/25)*Calculateur!AQ92*Calculateur!AS92*VLOOKUP('Données projet'!$B$10,Paramètres!$A$1:$I$89,3,0)*0.475*44/12</f>
        <v>0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85.58295146745624</v>
      </c>
      <c r="AY92" s="7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 t="e">
        <f>BD92*VLOOKUP('Données projet'!$B$11,Paramètres!$A$1:$I$89,3,0)*VLOOKUP('Données projet'!$B$11,Paramètres!$A$1:$I$89,5,0)</f>
        <v>#N/A</v>
      </c>
      <c r="BF92" s="13" t="e">
        <f t="shared" si="91"/>
        <v>#N/A</v>
      </c>
      <c r="BG92" s="20" t="e">
        <f t="shared" si="61"/>
        <v>#N/A</v>
      </c>
      <c r="BH92" s="59" t="e">
        <f t="shared" si="62"/>
        <v>#N/A</v>
      </c>
      <c r="BI92" s="59" t="e">
        <f ca="1">AVERAGE(OFFSET($BH$3,0,0,'Données projet'!$E$11+1,1))-AVERAGE(OFFSET($H$3,0,0,'Données projet'!$E$11+1,1))</f>
        <v>#N/A</v>
      </c>
      <c r="BJ92" s="59" t="e">
        <f t="shared" si="92"/>
        <v>#N/A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 t="e">
        <f>EXP(-LN(2)/35)*BP91+(1-EXP(-LN(2)/35))/(LN(2)/35)*BL92*BM92*VLOOKUP('Données projet'!$B$11,Paramètres!$A$1:$I$89,3,0)*0.475*44/12</f>
        <v>#N/A</v>
      </c>
      <c r="BQ92" s="21" t="e">
        <f>EXP(-LN(2)/25)*BQ91+(1-EXP(-LN(2)/25))/(LN(2)/25)*Calculateur!BL92*Calculateur!BN92*VLOOKUP('Données projet'!$B$11,Paramètres!$A$1:$I$89,3,0)*0.475*44/12</f>
        <v>#N/A</v>
      </c>
      <c r="BR92" s="21" t="e">
        <f>EXP(-LN(2)/2)*BR91+(1-EXP(-LN(2)/2))/(LN(2)/2)*BL92*BO92*VLOOKUP('Données projet'!$B$11,Paramètres!$A$1:$I$89,3,0)*0.475*44/12</f>
        <v>#N/A</v>
      </c>
      <c r="BS92" s="22" t="e">
        <f t="shared" si="63"/>
        <v>#N/A</v>
      </c>
      <c r="BT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">
      <c r="A93" s="10">
        <f t="shared" si="85"/>
        <v>90</v>
      </c>
      <c r="B93" s="72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53.819999999999943</v>
      </c>
      <c r="D93" s="11">
        <f t="shared" si="86"/>
        <v>15.596024630246252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535.84299714576014</v>
      </c>
      <c r="H93" s="66">
        <f t="shared" si="56"/>
        <v>414.23290956434545</v>
      </c>
      <c r="I93" s="6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0</v>
      </c>
      <c r="O93" s="13">
        <f>N93*VLOOKUP('Données projet'!$B$9,Paramètres!$A$1:$I$89,3,0)*VLOOKUP('Données projet'!$B$9,Paramètres!$A$1:$I$89,5,0)</f>
        <v>0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148.39628895278571</v>
      </c>
      <c r="T93" s="59">
        <f t="shared" si="88"/>
        <v>361.07991692964788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37.640052274028093</v>
      </c>
      <c r="AA93" s="21">
        <f>EXP(-LN(2)/25)*AA92+(1-EXP(-LN(2)/25))/(LN(2)/25)*Calculateur!V93*Calculateur!X93*VLOOKUP('Données projet'!$B$9,Paramètres!$A$1:$I$89,3,0)*0.475*44/12</f>
        <v>2.7239907924402051</v>
      </c>
      <c r="AB93" s="21">
        <f>EXP(-LN(2)/2)*AB92+(1-EXP(-LN(2)/2))/(LN(2)/2)*V93*Y93*VLOOKUP('Données projet'!$B$9,Paramètres!$A$1:$I$89,3,0)*0.475*44/12</f>
        <v>4.1874131190176022E-11</v>
      </c>
      <c r="AC93" s="22">
        <f t="shared" si="57"/>
        <v>40.36404306651017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8.6509999999999998</v>
      </c>
      <c r="AI93" s="13">
        <f>IF('Données projet'!$A$62&gt;35,AI92+AH93-AQ92,IF(A93&lt;'Données projet'!$A$62,$AF$205^A93,IF(A93='Données projet'!$A$62,'Données projet'!$B$62,AI92+AH93-AQ92)))</f>
        <v>345.52600000000024</v>
      </c>
      <c r="AJ93" s="13">
        <f>AI93*VLOOKUP('Données projet'!$B$10,Paramètres!$A$1:$I$89,3,0)*VLOOKUP('Données projet'!$B$10,Paramètres!$A$1:$I$89,5,0)</f>
        <v>344.97315840000027</v>
      </c>
      <c r="AK93" s="13">
        <f t="shared" si="89"/>
        <v>80.526562472377321</v>
      </c>
      <c r="AL93" s="20">
        <f t="shared" si="58"/>
        <v>741.07868051939079</v>
      </c>
      <c r="AM93" s="59">
        <f t="shared" si="59"/>
        <v>1034.4120138527242</v>
      </c>
      <c r="AN93" s="59">
        <f ca="1">AVERAGE(OFFSET($AM$3,0,0,'Données projet'!$E$10+1,1))-AVERAGE(OFFSET($H$3,0,0,'Données projet'!$E$10+1,1))</f>
        <v>525.29195699741149</v>
      </c>
      <c r="AO93" s="59">
        <f t="shared" si="90"/>
        <v>125.99812193007153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83.904721989625457</v>
      </c>
      <c r="AV93" s="21">
        <f>EXP(-LN(2)/25)*AV92+(1-EXP(-LN(2)/25))/(LN(2)/25)*Calculateur!AQ93*Calculateur!AS93*VLOOKUP('Données projet'!$B$10,Paramètres!$A$1:$I$89,3,0)*0.475*44/12</f>
        <v>0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83.904721989625457</v>
      </c>
      <c r="AY93" s="7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 t="e">
        <f>BD93*VLOOKUP('Données projet'!$B$11,Paramètres!$A$1:$I$89,3,0)*VLOOKUP('Données projet'!$B$11,Paramètres!$A$1:$I$89,5,0)</f>
        <v>#N/A</v>
      </c>
      <c r="BF93" s="13" t="e">
        <f t="shared" si="91"/>
        <v>#N/A</v>
      </c>
      <c r="BG93" s="20" t="e">
        <f t="shared" si="61"/>
        <v>#N/A</v>
      </c>
      <c r="BH93" s="59" t="e">
        <f t="shared" si="62"/>
        <v>#N/A</v>
      </c>
      <c r="BI93" s="59" t="e">
        <f ca="1">AVERAGE(OFFSET($BH$3,0,0,'Données projet'!$E$11+1,1))-AVERAGE(OFFSET($H$3,0,0,'Données projet'!$E$11+1,1))</f>
        <v>#N/A</v>
      </c>
      <c r="BJ93" s="59" t="e">
        <f t="shared" si="92"/>
        <v>#N/A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 t="e">
        <f>EXP(-LN(2)/35)*BP92+(1-EXP(-LN(2)/35))/(LN(2)/35)*BL93*BM93*VLOOKUP('Données projet'!$B$11,Paramètres!$A$1:$I$89,3,0)*0.475*44/12</f>
        <v>#N/A</v>
      </c>
      <c r="BQ93" s="21" t="e">
        <f>EXP(-LN(2)/25)*BQ92+(1-EXP(-LN(2)/25))/(LN(2)/25)*Calculateur!BL93*Calculateur!BN93*VLOOKUP('Données projet'!$B$11,Paramètres!$A$1:$I$89,3,0)*0.475*44/12</f>
        <v>#N/A</v>
      </c>
      <c r="BR93" s="21" t="e">
        <f>EXP(-LN(2)/2)*BR92+(1-EXP(-LN(2)/2))/(LN(2)/2)*BL93*BO93*VLOOKUP('Données projet'!$B$11,Paramètres!$A$1:$I$89,3,0)*0.475*44/12</f>
        <v>#N/A</v>
      </c>
      <c r="BS93" s="22" t="e">
        <f t="shared" si="63"/>
        <v>#N/A</v>
      </c>
      <c r="BT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">
      <c r="A94" s="10">
        <f t="shared" si="85"/>
        <v>91</v>
      </c>
      <c r="B94" s="72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54.417999999999942</v>
      </c>
      <c r="D94" s="11">
        <f t="shared" si="86"/>
        <v>15.749044324804029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541.64034215638151</v>
      </c>
      <c r="H94" s="66">
        <f t="shared" si="56"/>
        <v>415.54093553236692</v>
      </c>
      <c r="I94" s="6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0</v>
      </c>
      <c r="O94" s="13">
        <f>N94*VLOOKUP('Données projet'!$B$9,Paramètres!$A$1:$I$89,3,0)*VLOOKUP('Données projet'!$B$9,Paramètres!$A$1:$I$89,5,0)</f>
        <v>0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148.39628895278571</v>
      </c>
      <c r="T94" s="59">
        <f t="shared" si="88"/>
        <v>361.07991692964788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36.90195380709936</v>
      </c>
      <c r="AA94" s="21">
        <f>EXP(-LN(2)/25)*AA93+(1-EXP(-LN(2)/25))/(LN(2)/25)*Calculateur!V94*Calculateur!X94*VLOOKUP('Données projet'!$B$9,Paramètres!$A$1:$I$89,3,0)*0.475*44/12</f>
        <v>2.6495031209724775</v>
      </c>
      <c r="AB94" s="21">
        <f>EXP(-LN(2)/2)*AB93+(1-EXP(-LN(2)/2))/(LN(2)/2)*V94*Y94*VLOOKUP('Données projet'!$B$9,Paramètres!$A$1:$I$89,3,0)*0.475*44/12</f>
        <v>2.9609482120868581E-11</v>
      </c>
      <c r="AC94" s="22">
        <f t="shared" si="57"/>
        <v>39.551456928101445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8.6509999999999998</v>
      </c>
      <c r="AI94" s="13">
        <f>IF('Données projet'!$A$62&gt;35,AI93+AH94-AQ93,IF(A94&lt;'Données projet'!$A$62,$AF$205^A94,IF(A94='Données projet'!$A$62,'Données projet'!$B$62,AI93+AH94-AQ93)))</f>
        <v>354.17700000000025</v>
      </c>
      <c r="AJ94" s="13">
        <f>AI94*VLOOKUP('Données projet'!$B$10,Paramètres!$A$1:$I$89,3,0)*VLOOKUP('Données projet'!$B$10,Paramètres!$A$1:$I$89,5,0)</f>
        <v>353.61031680000031</v>
      </c>
      <c r="AK94" s="13">
        <f t="shared" si="89"/>
        <v>82.3054683692027</v>
      </c>
      <c r="AL94" s="20">
        <f t="shared" si="58"/>
        <v>759.21999250302849</v>
      </c>
      <c r="AM94" s="59">
        <f t="shared" si="59"/>
        <v>1052.5533258363619</v>
      </c>
      <c r="AN94" s="59">
        <f ca="1">AVERAGE(OFFSET($AM$3,0,0,'Données projet'!$E$10+1,1))-AVERAGE(OFFSET($H$3,0,0,'Données projet'!$E$10+1,1))</f>
        <v>525.29195699741149</v>
      </c>
      <c r="AO94" s="59">
        <f t="shared" si="90"/>
        <v>125.99812193007153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82.259401568236029</v>
      </c>
      <c r="AV94" s="21">
        <f>EXP(-LN(2)/25)*AV93+(1-EXP(-LN(2)/25))/(LN(2)/25)*Calculateur!AQ94*Calculateur!AS94*VLOOKUP('Données projet'!$B$10,Paramètres!$A$1:$I$89,3,0)*0.475*44/12</f>
        <v>0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82.259401568236029</v>
      </c>
      <c r="AY94" s="7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 t="e">
        <f>BD94*VLOOKUP('Données projet'!$B$11,Paramètres!$A$1:$I$89,3,0)*VLOOKUP('Données projet'!$B$11,Paramètres!$A$1:$I$89,5,0)</f>
        <v>#N/A</v>
      </c>
      <c r="BF94" s="13" t="e">
        <f t="shared" si="91"/>
        <v>#N/A</v>
      </c>
      <c r="BG94" s="20" t="e">
        <f t="shared" si="61"/>
        <v>#N/A</v>
      </c>
      <c r="BH94" s="59" t="e">
        <f t="shared" si="62"/>
        <v>#N/A</v>
      </c>
      <c r="BI94" s="59" t="e">
        <f ca="1">AVERAGE(OFFSET($BH$3,0,0,'Données projet'!$E$11+1,1))-AVERAGE(OFFSET($H$3,0,0,'Données projet'!$E$11+1,1))</f>
        <v>#N/A</v>
      </c>
      <c r="BJ94" s="59" t="e">
        <f t="shared" si="92"/>
        <v>#N/A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 t="e">
        <f>EXP(-LN(2)/35)*BP93+(1-EXP(-LN(2)/35))/(LN(2)/35)*BL94*BM94*VLOOKUP('Données projet'!$B$11,Paramètres!$A$1:$I$89,3,0)*0.475*44/12</f>
        <v>#N/A</v>
      </c>
      <c r="BQ94" s="21" t="e">
        <f>EXP(-LN(2)/25)*BQ93+(1-EXP(-LN(2)/25))/(LN(2)/25)*Calculateur!BL94*Calculateur!BN94*VLOOKUP('Données projet'!$B$11,Paramètres!$A$1:$I$89,3,0)*0.475*44/12</f>
        <v>#N/A</v>
      </c>
      <c r="BR94" s="21" t="e">
        <f>EXP(-LN(2)/2)*BR93+(1-EXP(-LN(2)/2))/(LN(2)/2)*BL94*BO94*VLOOKUP('Données projet'!$B$11,Paramètres!$A$1:$I$89,3,0)*0.475*44/12</f>
        <v>#N/A</v>
      </c>
      <c r="BS94" s="22" t="e">
        <f t="shared" si="63"/>
        <v>#N/A</v>
      </c>
      <c r="BT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">
      <c r="A95" s="10">
        <f t="shared" si="85"/>
        <v>92</v>
      </c>
      <c r="B95" s="72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55.015999999999941</v>
      </c>
      <c r="D95" s="11">
        <f t="shared" si="86"/>
        <v>15.901868409640313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547.43617719722295</v>
      </c>
      <c r="H95" s="66">
        <f t="shared" si="56"/>
        <v>416.84862081345676</v>
      </c>
      <c r="I95" s="6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0</v>
      </c>
      <c r="O95" s="13">
        <f>N95*VLOOKUP('Données projet'!$B$9,Paramètres!$A$1:$I$89,3,0)*VLOOKUP('Données projet'!$B$9,Paramètres!$A$1:$I$89,5,0)</f>
        <v>0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148.39628895278571</v>
      </c>
      <c r="T95" s="59">
        <f t="shared" si="88"/>
        <v>361.07991692964788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36.178329000911489</v>
      </c>
      <c r="AA95" s="21">
        <f>EXP(-LN(2)/25)*AA94+(1-EXP(-LN(2)/25))/(LN(2)/25)*Calculateur!V95*Calculateur!X95*VLOOKUP('Données projet'!$B$9,Paramètres!$A$1:$I$89,3,0)*0.475*44/12</f>
        <v>2.5770523187981715</v>
      </c>
      <c r="AB95" s="21">
        <f>EXP(-LN(2)/2)*AB94+(1-EXP(-LN(2)/2))/(LN(2)/2)*V95*Y95*VLOOKUP('Données projet'!$B$9,Paramètres!$A$1:$I$89,3,0)*0.475*44/12</f>
        <v>2.0937065595088011E-11</v>
      </c>
      <c r="AC95" s="22">
        <f t="shared" si="57"/>
        <v>38.755381319730603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8.6509999999999998</v>
      </c>
      <c r="AI95" s="13">
        <f>IF('Données projet'!$A$62&gt;35,AI94+AH95-AQ94,IF(A95&lt;'Données projet'!$A$62,$AF$205^A95,IF(A95='Données projet'!$A$62,'Données projet'!$B$62,AI94+AH95-AQ94)))</f>
        <v>362.82800000000026</v>
      </c>
      <c r="AJ95" s="13">
        <f>AI95*VLOOKUP('Données projet'!$B$10,Paramètres!$A$1:$I$89,3,0)*VLOOKUP('Données projet'!$B$10,Paramètres!$A$1:$I$89,5,0)</f>
        <v>362.24747520000028</v>
      </c>
      <c r="AK95" s="13">
        <f t="shared" si="89"/>
        <v>84.079323231713289</v>
      </c>
      <c r="AL95" s="20">
        <f t="shared" si="58"/>
        <v>777.35250726856759</v>
      </c>
      <c r="AM95" s="59">
        <f t="shared" si="59"/>
        <v>1070.685840601901</v>
      </c>
      <c r="AN95" s="59">
        <f ca="1">AVERAGE(OFFSET($AM$3,0,0,'Données projet'!$E$10+1,1))-AVERAGE(OFFSET($H$3,0,0,'Données projet'!$E$10+1,1))</f>
        <v>525.29195699741149</v>
      </c>
      <c r="AO95" s="59">
        <f t="shared" si="90"/>
        <v>125.99812193007153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80.646344876763678</v>
      </c>
      <c r="AV95" s="21">
        <f>EXP(-LN(2)/25)*AV94+(1-EXP(-LN(2)/25))/(LN(2)/25)*Calculateur!AQ95*Calculateur!AS95*VLOOKUP('Données projet'!$B$10,Paramètres!$A$1:$I$89,3,0)*0.475*44/12</f>
        <v>0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80.646344876763678</v>
      </c>
      <c r="AY95" s="7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 t="e">
        <f>BD95*VLOOKUP('Données projet'!$B$11,Paramètres!$A$1:$I$89,3,0)*VLOOKUP('Données projet'!$B$11,Paramètres!$A$1:$I$89,5,0)</f>
        <v>#N/A</v>
      </c>
      <c r="BF95" s="13" t="e">
        <f t="shared" si="91"/>
        <v>#N/A</v>
      </c>
      <c r="BG95" s="20" t="e">
        <f t="shared" si="61"/>
        <v>#N/A</v>
      </c>
      <c r="BH95" s="59" t="e">
        <f t="shared" si="62"/>
        <v>#N/A</v>
      </c>
      <c r="BI95" s="59" t="e">
        <f ca="1">AVERAGE(OFFSET($BH$3,0,0,'Données projet'!$E$11+1,1))-AVERAGE(OFFSET($H$3,0,0,'Données projet'!$E$11+1,1))</f>
        <v>#N/A</v>
      </c>
      <c r="BJ95" s="59" t="e">
        <f t="shared" si="92"/>
        <v>#N/A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 t="e">
        <f>EXP(-LN(2)/35)*BP94+(1-EXP(-LN(2)/35))/(LN(2)/35)*BL95*BM95*VLOOKUP('Données projet'!$B$11,Paramètres!$A$1:$I$89,3,0)*0.475*44/12</f>
        <v>#N/A</v>
      </c>
      <c r="BQ95" s="21" t="e">
        <f>EXP(-LN(2)/25)*BQ94+(1-EXP(-LN(2)/25))/(LN(2)/25)*Calculateur!BL95*Calculateur!BN95*VLOOKUP('Données projet'!$B$11,Paramètres!$A$1:$I$89,3,0)*0.475*44/12</f>
        <v>#N/A</v>
      </c>
      <c r="BR95" s="21" t="e">
        <f>EXP(-LN(2)/2)*BR94+(1-EXP(-LN(2)/2))/(LN(2)/2)*BL95*BO95*VLOOKUP('Données projet'!$B$11,Paramètres!$A$1:$I$89,3,0)*0.475*44/12</f>
        <v>#N/A</v>
      </c>
      <c r="BS95" s="22" t="e">
        <f t="shared" si="63"/>
        <v>#N/A</v>
      </c>
      <c r="BT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">
      <c r="A96" s="10">
        <f t="shared" si="85"/>
        <v>93</v>
      </c>
      <c r="B96" s="72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55.61399999999994</v>
      </c>
      <c r="D96" s="11">
        <f t="shared" si="86"/>
        <v>16.054499257029473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553.23052058057795</v>
      </c>
      <c r="H96" s="66">
        <f t="shared" si="56"/>
        <v>418.15596953932624</v>
      </c>
      <c r="I96" s="6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0</v>
      </c>
      <c r="O96" s="13">
        <f>N96*VLOOKUP('Données projet'!$B$9,Paramètres!$A$1:$I$89,3,0)*VLOOKUP('Données projet'!$B$9,Paramètres!$A$1:$I$89,5,0)</f>
        <v>0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148.39628895278571</v>
      </c>
      <c r="T96" s="59">
        <f t="shared" si="88"/>
        <v>361.07991692964788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35.468894035805413</v>
      </c>
      <c r="AA96" s="21">
        <f>EXP(-LN(2)/25)*AA95+(1-EXP(-LN(2)/25))/(LN(2)/25)*Calculateur!V96*Calculateur!X96*VLOOKUP('Données projet'!$B$9,Paramètres!$A$1:$I$89,3,0)*0.475*44/12</f>
        <v>2.506582687619344</v>
      </c>
      <c r="AB96" s="21">
        <f>EXP(-LN(2)/2)*AB95+(1-EXP(-LN(2)/2))/(LN(2)/2)*V96*Y96*VLOOKUP('Données projet'!$B$9,Paramètres!$A$1:$I$89,3,0)*0.475*44/12</f>
        <v>1.480474106043429E-11</v>
      </c>
      <c r="AC96" s="22">
        <f t="shared" si="57"/>
        <v>37.975476723439563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8.6509999999999998</v>
      </c>
      <c r="AI96" s="13">
        <f>IF('Données projet'!$A$62&gt;35,AI95+AH96-AQ95,IF(A96&lt;'Données projet'!$A$62,$AF$205^A96,IF(A96='Données projet'!$A$62,'Données projet'!$B$62,AI95+AH96-AQ95)))</f>
        <v>371.47900000000027</v>
      </c>
      <c r="AJ96" s="13">
        <f>AI96*VLOOKUP('Données projet'!$B$10,Paramètres!$A$1:$I$89,3,0)*VLOOKUP('Données projet'!$B$10,Paramètres!$A$1:$I$89,5,0)</f>
        <v>370.88463360000031</v>
      </c>
      <c r="AK96" s="13">
        <f t="shared" si="89"/>
        <v>85.848261350736777</v>
      </c>
      <c r="AL96" s="20">
        <f t="shared" si="58"/>
        <v>795.47645870586712</v>
      </c>
      <c r="AM96" s="59">
        <f t="shared" si="59"/>
        <v>1088.8097920392004</v>
      </c>
      <c r="AN96" s="59">
        <f ca="1">AVERAGE(OFFSET($AM$3,0,0,'Données projet'!$E$10+1,1))-AVERAGE(OFFSET($H$3,0,0,'Données projet'!$E$10+1,1))</f>
        <v>525.29195699741149</v>
      </c>
      <c r="AO96" s="59">
        <f t="shared" si="90"/>
        <v>125.99812193007153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79.064919243143663</v>
      </c>
      <c r="AV96" s="21">
        <f>EXP(-LN(2)/25)*AV95+(1-EXP(-LN(2)/25))/(LN(2)/25)*Calculateur!AQ96*Calculateur!AS96*VLOOKUP('Données projet'!$B$10,Paramètres!$A$1:$I$89,3,0)*0.475*44/12</f>
        <v>0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79.064919243143663</v>
      </c>
      <c r="AY96" s="7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 t="e">
        <f>BD96*VLOOKUP('Données projet'!$B$11,Paramètres!$A$1:$I$89,3,0)*VLOOKUP('Données projet'!$B$11,Paramètres!$A$1:$I$89,5,0)</f>
        <v>#N/A</v>
      </c>
      <c r="BF96" s="13" t="e">
        <f t="shared" si="91"/>
        <v>#N/A</v>
      </c>
      <c r="BG96" s="20" t="e">
        <f t="shared" si="61"/>
        <v>#N/A</v>
      </c>
      <c r="BH96" s="59" t="e">
        <f t="shared" si="62"/>
        <v>#N/A</v>
      </c>
      <c r="BI96" s="59" t="e">
        <f ca="1">AVERAGE(OFFSET($BH$3,0,0,'Données projet'!$E$11+1,1))-AVERAGE(OFFSET($H$3,0,0,'Données projet'!$E$11+1,1))</f>
        <v>#N/A</v>
      </c>
      <c r="BJ96" s="59" t="e">
        <f t="shared" si="92"/>
        <v>#N/A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 t="e">
        <f>EXP(-LN(2)/35)*BP95+(1-EXP(-LN(2)/35))/(LN(2)/35)*BL96*BM96*VLOOKUP('Données projet'!$B$11,Paramètres!$A$1:$I$89,3,0)*0.475*44/12</f>
        <v>#N/A</v>
      </c>
      <c r="BQ96" s="21" t="e">
        <f>EXP(-LN(2)/25)*BQ95+(1-EXP(-LN(2)/25))/(LN(2)/25)*Calculateur!BL96*Calculateur!BN96*VLOOKUP('Données projet'!$B$11,Paramètres!$A$1:$I$89,3,0)*0.475*44/12</f>
        <v>#N/A</v>
      </c>
      <c r="BR96" s="21" t="e">
        <f>EXP(-LN(2)/2)*BR95+(1-EXP(-LN(2)/2))/(LN(2)/2)*BL96*BO96*VLOOKUP('Données projet'!$B$11,Paramètres!$A$1:$I$89,3,0)*0.475*44/12</f>
        <v>#N/A</v>
      </c>
      <c r="BS96" s="22" t="e">
        <f t="shared" si="63"/>
        <v>#N/A</v>
      </c>
      <c r="BT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">
      <c r="A97" s="10">
        <f t="shared" si="85"/>
        <v>94</v>
      </c>
      <c r="B97" s="72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56.211999999999939</v>
      </c>
      <c r="D97" s="11">
        <f t="shared" si="86"/>
        <v>16.206939185290693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559.0233902022436</v>
      </c>
      <c r="H97" s="66">
        <f t="shared" si="56"/>
        <v>419.46298574771453</v>
      </c>
      <c r="I97" s="6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0</v>
      </c>
      <c r="O97" s="13">
        <f>N97*VLOOKUP('Données projet'!$B$9,Paramètres!$A$1:$I$89,3,0)*VLOOKUP('Données projet'!$B$9,Paramètres!$A$1:$I$89,5,0)</f>
        <v>0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148.39628895278571</v>
      </c>
      <c r="T97" s="59">
        <f t="shared" si="88"/>
        <v>361.07991692964788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34.773370657652464</v>
      </c>
      <c r="AA97" s="21">
        <f>EXP(-LN(2)/25)*AA96+(1-EXP(-LN(2)/25))/(LN(2)/25)*Calculateur!V97*Calculateur!X97*VLOOKUP('Données projet'!$B$9,Paramètres!$A$1:$I$89,3,0)*0.475*44/12</f>
        <v>2.4380400522109382</v>
      </c>
      <c r="AB97" s="21">
        <f>EXP(-LN(2)/2)*AB96+(1-EXP(-LN(2)/2))/(LN(2)/2)*V97*Y97*VLOOKUP('Données projet'!$B$9,Paramètres!$A$1:$I$89,3,0)*0.475*44/12</f>
        <v>1.0468532797544005E-11</v>
      </c>
      <c r="AC97" s="22">
        <f t="shared" si="57"/>
        <v>37.211410709873867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>
        <f>VLOOKUP(A97,'Données projet'!$A$61:$I$81,2,0)</f>
        <v>380.13</v>
      </c>
      <c r="AG97" s="12">
        <f>VLOOKUP(A97,'Données projet'!$A$61:$I$81,9,0)</f>
        <v>8.6509999999999998</v>
      </c>
      <c r="AH97" s="12">
        <f t="array" ref="AH97">INDEX(AG:AG,MIN(IF(ISNUMBER(AG97:AG293),ROW(AG97:AG293),"")))</f>
        <v>8.6509999999999998</v>
      </c>
      <c r="AI97" s="13">
        <f>IF('Données projet'!$A$62&gt;35,AI96+AH97-AQ96,IF(A97&lt;'Données projet'!$A$62,$AF$205^A97,IF(A97='Données projet'!$A$62,'Données projet'!$B$62,AI96+AH97-AQ96)))</f>
        <v>380.13000000000028</v>
      </c>
      <c r="AJ97" s="13">
        <f>AI97*VLOOKUP('Données projet'!$B$10,Paramètres!$A$1:$I$89,3,0)*VLOOKUP('Données projet'!$B$10,Paramètres!$A$1:$I$89,5,0)</f>
        <v>379.52179200000029</v>
      </c>
      <c r="AK97" s="13">
        <f t="shared" si="89"/>
        <v>87.612410405512691</v>
      </c>
      <c r="AL97" s="20">
        <f t="shared" si="58"/>
        <v>813.59206918960172</v>
      </c>
      <c r="AM97" s="59">
        <f t="shared" si="59"/>
        <v>1106.925402522935</v>
      </c>
      <c r="AN97" s="59">
        <f ca="1">AVERAGE(OFFSET($AM$3,0,0,'Données projet'!$E$10+1,1))-AVERAGE(OFFSET($H$3,0,0,'Données projet'!$E$10+1,1))</f>
        <v>525.29195699741149</v>
      </c>
      <c r="AO97" s="59">
        <f t="shared" si="90"/>
        <v>125.99812193007153</v>
      </c>
      <c r="AP97" s="15">
        <f>IF(ISNA(VLOOKUP(A97,'Données projet'!$A$61:$I$81,3,0)),0,VLOOKUP(A97,'Données projet'!$A$61:$I$81,3,0))</f>
        <v>7</v>
      </c>
      <c r="AQ97" s="15">
        <f>IF(ISNA(VLOOKUP(A97,'Données projet'!$A$61:$I$81,4,0)),0,VLOOKUP(A97,'Données projet'!$A$61:$I$81,4,0))</f>
        <v>61.85</v>
      </c>
      <c r="AR97" s="16">
        <f>IF(ISNA(VLOOKUP(A97,'Données projet'!$A$61:$I$81,5,0)),0%,VLOOKUP(A97,'Données projet'!$A$61:$I$81,5,0)*VLOOKUP('Données projet'!$B$10,Paramètres!$A$1:$I$89,7,0))</f>
        <v>0.43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106.86800102052693</v>
      </c>
      <c r="AV97" s="21">
        <f>EXP(-LN(2)/25)*AV96+(1-EXP(-LN(2)/25))/(LN(2)/25)*Calculateur!AQ97*Calculateur!AS97*VLOOKUP('Données projet'!$B$10,Paramètres!$A$1:$I$89,3,0)*0.475*44/12</f>
        <v>0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106.86800102052693</v>
      </c>
      <c r="AY97" s="7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 t="e">
        <f>BD97*VLOOKUP('Données projet'!$B$11,Paramètres!$A$1:$I$89,3,0)*VLOOKUP('Données projet'!$B$11,Paramètres!$A$1:$I$89,5,0)</f>
        <v>#N/A</v>
      </c>
      <c r="BF97" s="13" t="e">
        <f t="shared" si="91"/>
        <v>#N/A</v>
      </c>
      <c r="BG97" s="20" t="e">
        <f t="shared" si="61"/>
        <v>#N/A</v>
      </c>
      <c r="BH97" s="59" t="e">
        <f t="shared" si="62"/>
        <v>#N/A</v>
      </c>
      <c r="BI97" s="59" t="e">
        <f ca="1">AVERAGE(OFFSET($BH$3,0,0,'Données projet'!$E$11+1,1))-AVERAGE(OFFSET($H$3,0,0,'Données projet'!$E$11+1,1))</f>
        <v>#N/A</v>
      </c>
      <c r="BJ97" s="59" t="e">
        <f t="shared" si="92"/>
        <v>#N/A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 t="e">
        <f>EXP(-LN(2)/35)*BP96+(1-EXP(-LN(2)/35))/(LN(2)/35)*BL97*BM97*VLOOKUP('Données projet'!$B$11,Paramètres!$A$1:$I$89,3,0)*0.475*44/12</f>
        <v>#N/A</v>
      </c>
      <c r="BQ97" s="21" t="e">
        <f>EXP(-LN(2)/25)*BQ96+(1-EXP(-LN(2)/25))/(LN(2)/25)*Calculateur!BL97*Calculateur!BN97*VLOOKUP('Données projet'!$B$11,Paramètres!$A$1:$I$89,3,0)*0.475*44/12</f>
        <v>#N/A</v>
      </c>
      <c r="BR97" s="21" t="e">
        <f>EXP(-LN(2)/2)*BR96+(1-EXP(-LN(2)/2))/(LN(2)/2)*BL97*BO97*VLOOKUP('Données projet'!$B$11,Paramètres!$A$1:$I$89,3,0)*0.475*44/12</f>
        <v>#N/A</v>
      </c>
      <c r="BS97" s="22" t="e">
        <f t="shared" si="63"/>
        <v>#N/A</v>
      </c>
      <c r="BT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">
      <c r="A98" s="10">
        <f t="shared" si="85"/>
        <v>95</v>
      </c>
      <c r="B98" s="72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56.809999999999938</v>
      </c>
      <c r="D98" s="11">
        <f t="shared" si="86"/>
        <v>16.359190460575874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564.8148035553221</v>
      </c>
      <c r="H98" s="66">
        <f t="shared" si="56"/>
        <v>420.76967338550281</v>
      </c>
      <c r="I98" s="6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0</v>
      </c>
      <c r="O98" s="13">
        <f>N98*VLOOKUP('Données projet'!$B$9,Paramètres!$A$1:$I$89,3,0)*VLOOKUP('Données projet'!$B$9,Paramètres!$A$1:$I$89,5,0)</f>
        <v>0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148.39628895278571</v>
      </c>
      <c r="T98" s="59">
        <f t="shared" si="88"/>
        <v>361.07991692964788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34.091486068717721</v>
      </c>
      <c r="AA98" s="21">
        <f>EXP(-LN(2)/25)*AA97+(1-EXP(-LN(2)/25))/(LN(2)/25)*Calculateur!V98*Calculateur!X98*VLOOKUP('Données projet'!$B$9,Paramètres!$A$1:$I$89,3,0)*0.475*44/12</f>
        <v>2.3713717187722758</v>
      </c>
      <c r="AB98" s="21">
        <f>EXP(-LN(2)/2)*AB97+(1-EXP(-LN(2)/2))/(LN(2)/2)*V98*Y98*VLOOKUP('Données projet'!$B$9,Paramètres!$A$1:$I$89,3,0)*0.475*44/12</f>
        <v>7.4023705302171452E-12</v>
      </c>
      <c r="AC98" s="22">
        <f t="shared" si="57"/>
        <v>36.462857787497398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8.3920000000000012</v>
      </c>
      <c r="AI98" s="13">
        <f>IF('Données projet'!$A$62&gt;35,AI97+AH98-AQ97,IF(A98&lt;'Données projet'!$A$62,$AF$205^A98,IF(A98='Données projet'!$A$62,'Données projet'!$B$62,AI97+AH98-AQ97)))</f>
        <v>326.67200000000025</v>
      </c>
      <c r="AJ98" s="13">
        <f>AI98*VLOOKUP('Données projet'!$B$10,Paramètres!$A$1:$I$89,3,0)*VLOOKUP('Données projet'!$B$10,Paramètres!$A$1:$I$89,5,0)</f>
        <v>326.14932480000027</v>
      </c>
      <c r="AK98" s="13">
        <f t="shared" si="89"/>
        <v>76.631419420078529</v>
      </c>
      <c r="AL98" s="20">
        <f t="shared" si="58"/>
        <v>701.50979618330393</v>
      </c>
      <c r="AM98" s="59">
        <f t="shared" si="59"/>
        <v>994.84312951663719</v>
      </c>
      <c r="AN98" s="59">
        <f ca="1">AVERAGE(OFFSET($AM$3,0,0,'Données projet'!$E$10+1,1))-AVERAGE(OFFSET($H$3,0,0,'Données projet'!$E$10+1,1))</f>
        <v>525.29195699741149</v>
      </c>
      <c r="AO98" s="59">
        <f t="shared" si="90"/>
        <v>125.99812193007153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104.77238470355873</v>
      </c>
      <c r="AV98" s="21">
        <f>EXP(-LN(2)/25)*AV97+(1-EXP(-LN(2)/25))/(LN(2)/25)*Calculateur!AQ98*Calculateur!AS98*VLOOKUP('Données projet'!$B$10,Paramètres!$A$1:$I$89,3,0)*0.475*44/12</f>
        <v>0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104.77238470355873</v>
      </c>
      <c r="AY98" s="7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 t="e">
        <f>BD98*VLOOKUP('Données projet'!$B$11,Paramètres!$A$1:$I$89,3,0)*VLOOKUP('Données projet'!$B$11,Paramètres!$A$1:$I$89,5,0)</f>
        <v>#N/A</v>
      </c>
      <c r="BF98" s="13" t="e">
        <f t="shared" si="91"/>
        <v>#N/A</v>
      </c>
      <c r="BG98" s="20" t="e">
        <f t="shared" si="61"/>
        <v>#N/A</v>
      </c>
      <c r="BH98" s="59" t="e">
        <f t="shared" si="62"/>
        <v>#N/A</v>
      </c>
      <c r="BI98" s="59" t="e">
        <f ca="1">AVERAGE(OFFSET($BH$3,0,0,'Données projet'!$E$11+1,1))-AVERAGE(OFFSET($H$3,0,0,'Données projet'!$E$11+1,1))</f>
        <v>#N/A</v>
      </c>
      <c r="BJ98" s="59" t="e">
        <f t="shared" si="92"/>
        <v>#N/A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 t="e">
        <f>EXP(-LN(2)/35)*BP97+(1-EXP(-LN(2)/35))/(LN(2)/35)*BL98*BM98*VLOOKUP('Données projet'!$B$11,Paramètres!$A$1:$I$89,3,0)*0.475*44/12</f>
        <v>#N/A</v>
      </c>
      <c r="BQ98" s="21" t="e">
        <f>EXP(-LN(2)/25)*BQ97+(1-EXP(-LN(2)/25))/(LN(2)/25)*Calculateur!BL98*Calculateur!BN98*VLOOKUP('Données projet'!$B$11,Paramètres!$A$1:$I$89,3,0)*0.475*44/12</f>
        <v>#N/A</v>
      </c>
      <c r="BR98" s="21" t="e">
        <f>EXP(-LN(2)/2)*BR97+(1-EXP(-LN(2)/2))/(LN(2)/2)*BL98*BO98*VLOOKUP('Données projet'!$B$11,Paramètres!$A$1:$I$89,3,0)*0.475*44/12</f>
        <v>#N/A</v>
      </c>
      <c r="BS98" s="22" t="e">
        <f t="shared" si="63"/>
        <v>#N/A</v>
      </c>
      <c r="BT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">
      <c r="A99" s="10">
        <f t="shared" si="85"/>
        <v>96</v>
      </c>
      <c r="B99" s="72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57.407999999999937</v>
      </c>
      <c r="D99" s="11">
        <f t="shared" si="86"/>
        <v>16.51125529857994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570.60477774342371</v>
      </c>
      <c r="H99" s="66">
        <f t="shared" si="56"/>
        <v>422.07603631169331</v>
      </c>
      <c r="I99" s="6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0</v>
      </c>
      <c r="O99" s="13">
        <f>N99*VLOOKUP('Données projet'!$B$9,Paramètres!$A$1:$I$89,3,0)*VLOOKUP('Données projet'!$B$9,Paramètres!$A$1:$I$89,5,0)</f>
        <v>0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148.39628895278571</v>
      </c>
      <c r="T99" s="59">
        <f t="shared" si="88"/>
        <v>361.07991692964788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33.422972820663453</v>
      </c>
      <c r="AA99" s="21">
        <f>EXP(-LN(2)/25)*AA98+(1-EXP(-LN(2)/25))/(LN(2)/25)*Calculateur!V99*Calculateur!X99*VLOOKUP('Données projet'!$B$9,Paramètres!$A$1:$I$89,3,0)*0.475*44/12</f>
        <v>2.306526434417429</v>
      </c>
      <c r="AB99" s="21">
        <f>EXP(-LN(2)/2)*AB98+(1-EXP(-LN(2)/2))/(LN(2)/2)*V99*Y99*VLOOKUP('Données projet'!$B$9,Paramètres!$A$1:$I$89,3,0)*0.475*44/12</f>
        <v>5.2342663987720027E-12</v>
      </c>
      <c r="AC99" s="22">
        <f t="shared" si="57"/>
        <v>35.729499255086118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8.3920000000000012</v>
      </c>
      <c r="AI99" s="13">
        <f>IF('Données projet'!$A$62&gt;35,AI98+AH99-AQ98,IF(A99&lt;'Données projet'!$A$62,$AF$205^A99,IF(A99='Données projet'!$A$62,'Données projet'!$B$62,AI98+AH99-AQ98)))</f>
        <v>335.06400000000025</v>
      </c>
      <c r="AJ99" s="13">
        <f>AI99*VLOOKUP('Données projet'!$B$10,Paramètres!$A$1:$I$89,3,0)*VLOOKUP('Données projet'!$B$10,Paramètres!$A$1:$I$89,5,0)</f>
        <v>334.52789760000024</v>
      </c>
      <c r="AK99" s="13">
        <f t="shared" si="89"/>
        <v>78.368310022570384</v>
      </c>
      <c r="AL99" s="20">
        <f t="shared" si="58"/>
        <v>719.12756160931042</v>
      </c>
      <c r="AM99" s="59">
        <f t="shared" si="59"/>
        <v>1012.4608949426438</v>
      </c>
      <c r="AN99" s="59">
        <f ca="1">AVERAGE(OFFSET($AM$3,0,0,'Données projet'!$E$10+1,1))-AVERAGE(OFFSET($H$3,0,0,'Données projet'!$E$10+1,1))</f>
        <v>525.29195699741149</v>
      </c>
      <c r="AO99" s="59">
        <f t="shared" si="90"/>
        <v>125.99812193007153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102.71786214436653</v>
      </c>
      <c r="AV99" s="21">
        <f>EXP(-LN(2)/25)*AV98+(1-EXP(-LN(2)/25))/(LN(2)/25)*Calculateur!AQ99*Calculateur!AS99*VLOOKUP('Données projet'!$B$10,Paramètres!$A$1:$I$89,3,0)*0.475*44/12</f>
        <v>0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102.71786214436653</v>
      </c>
      <c r="AY99" s="7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 t="e">
        <f>BD99*VLOOKUP('Données projet'!$B$11,Paramètres!$A$1:$I$89,3,0)*VLOOKUP('Données projet'!$B$11,Paramètres!$A$1:$I$89,5,0)</f>
        <v>#N/A</v>
      </c>
      <c r="BF99" s="13" t="e">
        <f t="shared" si="91"/>
        <v>#N/A</v>
      </c>
      <c r="BG99" s="20" t="e">
        <f t="shared" si="61"/>
        <v>#N/A</v>
      </c>
      <c r="BH99" s="59" t="e">
        <f t="shared" si="62"/>
        <v>#N/A</v>
      </c>
      <c r="BI99" s="59" t="e">
        <f ca="1">AVERAGE(OFFSET($BH$3,0,0,'Données projet'!$E$11+1,1))-AVERAGE(OFFSET($H$3,0,0,'Données projet'!$E$11+1,1))</f>
        <v>#N/A</v>
      </c>
      <c r="BJ99" s="59" t="e">
        <f t="shared" si="92"/>
        <v>#N/A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 t="e">
        <f>EXP(-LN(2)/35)*BP98+(1-EXP(-LN(2)/35))/(LN(2)/35)*BL99*BM99*VLOOKUP('Données projet'!$B$11,Paramètres!$A$1:$I$89,3,0)*0.475*44/12</f>
        <v>#N/A</v>
      </c>
      <c r="BQ99" s="21" t="e">
        <f>EXP(-LN(2)/25)*BQ98+(1-EXP(-LN(2)/25))/(LN(2)/25)*Calculateur!BL99*Calculateur!BN99*VLOOKUP('Données projet'!$B$11,Paramètres!$A$1:$I$89,3,0)*0.475*44/12</f>
        <v>#N/A</v>
      </c>
      <c r="BR99" s="21" t="e">
        <f>EXP(-LN(2)/2)*BR98+(1-EXP(-LN(2)/2))/(LN(2)/2)*BL99*BO99*VLOOKUP('Données projet'!$B$11,Paramètres!$A$1:$I$89,3,0)*0.475*44/12</f>
        <v>#N/A</v>
      </c>
      <c r="BS99" s="22" t="e">
        <f t="shared" si="63"/>
        <v>#N/A</v>
      </c>
      <c r="BT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">
      <c r="A100" s="10">
        <f t="shared" si="85"/>
        <v>97</v>
      </c>
      <c r="B100" s="72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58.005999999999936</v>
      </c>
      <c r="D100" s="11">
        <f t="shared" si="86"/>
        <v>16.663135866177953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576.3933294933031</v>
      </c>
      <c r="H100" s="66">
        <f t="shared" si="56"/>
        <v>423.38207830025976</v>
      </c>
      <c r="I100" s="6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0</v>
      </c>
      <c r="O100" s="13">
        <f>N100*VLOOKUP('Données projet'!$B$9,Paramètres!$A$1:$I$89,3,0)*VLOOKUP('Données projet'!$B$9,Paramètres!$A$1:$I$89,5,0)</f>
        <v>0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148.39628895278571</v>
      </c>
      <c r="T100" s="59">
        <f t="shared" si="88"/>
        <v>361.07991692964788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32.76756870965071</v>
      </c>
      <c r="AA100" s="21">
        <f>EXP(-LN(2)/25)*AA99+(1-EXP(-LN(2)/25))/(LN(2)/25)*Calculateur!V100*Calculateur!X100*VLOOKUP('Données projet'!$B$9,Paramètres!$A$1:$I$89,3,0)*0.475*44/12</f>
        <v>2.2434543477733309</v>
      </c>
      <c r="AB100" s="21">
        <f>EXP(-LN(2)/2)*AB99+(1-EXP(-LN(2)/2))/(LN(2)/2)*V100*Y100*VLOOKUP('Données projet'!$B$9,Paramètres!$A$1:$I$89,3,0)*0.475*44/12</f>
        <v>3.7011852651085726E-12</v>
      </c>
      <c r="AC100" s="22">
        <f t="shared" si="57"/>
        <v>35.011023057427742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8.3920000000000012</v>
      </c>
      <c r="AI100" s="13">
        <f>IF('Données projet'!$A$62&gt;35,AI99+AH100-AQ99,IF(A100&lt;'Données projet'!$A$62,$AF$205^A100,IF(A100='Données projet'!$A$62,'Données projet'!$B$62,AI99+AH100-AQ99)))</f>
        <v>343.45600000000024</v>
      </c>
      <c r="AJ100" s="13">
        <f>AI100*VLOOKUP('Données projet'!$B$10,Paramètres!$A$1:$I$89,3,0)*VLOOKUP('Données projet'!$B$10,Paramètres!$A$1:$I$89,5,0)</f>
        <v>342.90647040000027</v>
      </c>
      <c r="AK100" s="13">
        <f t="shared" si="89"/>
        <v>80.100143796460202</v>
      </c>
      <c r="AL100" s="20">
        <f t="shared" si="58"/>
        <v>736.73651972550203</v>
      </c>
      <c r="AM100" s="59">
        <f t="shared" si="59"/>
        <v>1030.0698530588354</v>
      </c>
      <c r="AN100" s="59">
        <f ca="1">AVERAGE(OFFSET($AM$3,0,0,'Données projet'!$E$10+1,1))-AVERAGE(OFFSET($H$3,0,0,'Données projet'!$E$10+1,1))</f>
        <v>525.29195699741149</v>
      </c>
      <c r="AO100" s="59">
        <f t="shared" si="90"/>
        <v>125.99812193007153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100.70362751942507</v>
      </c>
      <c r="AV100" s="21">
        <f>EXP(-LN(2)/25)*AV99+(1-EXP(-LN(2)/25))/(LN(2)/25)*Calculateur!AQ100*Calculateur!AS100*VLOOKUP('Données projet'!$B$10,Paramètres!$A$1:$I$89,3,0)*0.475*44/12</f>
        <v>0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100.70362751942507</v>
      </c>
      <c r="AY100" s="7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 t="e">
        <f>BD100*VLOOKUP('Données projet'!$B$11,Paramètres!$A$1:$I$89,3,0)*VLOOKUP('Données projet'!$B$11,Paramètres!$A$1:$I$89,5,0)</f>
        <v>#N/A</v>
      </c>
      <c r="BF100" s="13" t="e">
        <f t="shared" si="91"/>
        <v>#N/A</v>
      </c>
      <c r="BG100" s="20" t="e">
        <f t="shared" si="61"/>
        <v>#N/A</v>
      </c>
      <c r="BH100" s="59" t="e">
        <f t="shared" si="62"/>
        <v>#N/A</v>
      </c>
      <c r="BI100" s="59" t="e">
        <f ca="1">AVERAGE(OFFSET($BH$3,0,0,'Données projet'!$E$11+1,1))-AVERAGE(OFFSET($H$3,0,0,'Données projet'!$E$11+1,1))</f>
        <v>#N/A</v>
      </c>
      <c r="BJ100" s="59" t="e">
        <f t="shared" si="92"/>
        <v>#N/A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 t="e">
        <f>EXP(-LN(2)/35)*BP99+(1-EXP(-LN(2)/35))/(LN(2)/35)*BL100*BM100*VLOOKUP('Données projet'!$B$11,Paramètres!$A$1:$I$89,3,0)*0.475*44/12</f>
        <v>#N/A</v>
      </c>
      <c r="BQ100" s="21" t="e">
        <f>EXP(-LN(2)/25)*BQ99+(1-EXP(-LN(2)/25))/(LN(2)/25)*Calculateur!BL100*Calculateur!BN100*VLOOKUP('Données projet'!$B$11,Paramètres!$A$1:$I$89,3,0)*0.475*44/12</f>
        <v>#N/A</v>
      </c>
      <c r="BR100" s="21" t="e">
        <f>EXP(-LN(2)/2)*BR99+(1-EXP(-LN(2)/2))/(LN(2)/2)*BL100*BO100*VLOOKUP('Données projet'!$B$11,Paramètres!$A$1:$I$89,3,0)*0.475*44/12</f>
        <v>#N/A</v>
      </c>
      <c r="BS100" s="22" t="e">
        <f t="shared" si="63"/>
        <v>#N/A</v>
      </c>
      <c r="BT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">
      <c r="A101" s="10">
        <f t="shared" si="85"/>
        <v>98</v>
      </c>
      <c r="B101" s="72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58.603999999999935</v>
      </c>
      <c r="D101" s="11">
        <f t="shared" si="86"/>
        <v>16.81483428299277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582.18047516696117</v>
      </c>
      <c r="H101" s="66">
        <f t="shared" si="56"/>
        <v>424.68780304287895</v>
      </c>
      <c r="I101" s="6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0</v>
      </c>
      <c r="O101" s="13">
        <f>N101*VLOOKUP('Données projet'!$B$9,Paramètres!$A$1:$I$89,3,0)*VLOOKUP('Données projet'!$B$9,Paramètres!$A$1:$I$89,5,0)</f>
        <v>0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148.39628895278571</v>
      </c>
      <c r="T101" s="59">
        <f t="shared" si="88"/>
        <v>361.07991692964788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32.125016673497896</v>
      </c>
      <c r="AA101" s="21">
        <f>EXP(-LN(2)/25)*AA100+(1-EXP(-LN(2)/25))/(LN(2)/25)*Calculateur!V101*Calculateur!X101*VLOOKUP('Données projet'!$B$9,Paramètres!$A$1:$I$89,3,0)*0.475*44/12</f>
        <v>2.1821069706553327</v>
      </c>
      <c r="AB101" s="21">
        <f>EXP(-LN(2)/2)*AB100+(1-EXP(-LN(2)/2))/(LN(2)/2)*V101*Y101*VLOOKUP('Données projet'!$B$9,Paramètres!$A$1:$I$89,3,0)*0.475*44/12</f>
        <v>2.6171331993860014E-12</v>
      </c>
      <c r="AC101" s="22">
        <f t="shared" si="57"/>
        <v>34.307123644155844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8.3920000000000012</v>
      </c>
      <c r="AI101" s="13">
        <f>IF('Données projet'!$A$62&gt;35,AI100+AH101-AQ100,IF(A101&lt;'Données projet'!$A$62,$AF$205^A101,IF(A101='Données projet'!$A$62,'Données projet'!$B$62,AI100+AH101-AQ100)))</f>
        <v>351.84800000000024</v>
      </c>
      <c r="AJ101" s="13">
        <f>AI101*VLOOKUP('Données projet'!$B$10,Paramètres!$A$1:$I$89,3,0)*VLOOKUP('Données projet'!$B$10,Paramètres!$A$1:$I$89,5,0)</f>
        <v>351.28504320000025</v>
      </c>
      <c r="AK101" s="13">
        <f t="shared" si="89"/>
        <v>81.827058514200729</v>
      </c>
      <c r="AL101" s="20">
        <f t="shared" si="58"/>
        <v>754.33691048556659</v>
      </c>
      <c r="AM101" s="59">
        <f t="shared" si="59"/>
        <v>1047.6702438189</v>
      </c>
      <c r="AN101" s="59">
        <f ca="1">AVERAGE(OFFSET($AM$3,0,0,'Données projet'!$E$10+1,1))-AVERAGE(OFFSET($H$3,0,0,'Données projet'!$E$10+1,1))</f>
        <v>525.29195699741149</v>
      </c>
      <c r="AO101" s="59">
        <f t="shared" si="90"/>
        <v>125.99812193007153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98.728890806916894</v>
      </c>
      <c r="AV101" s="21">
        <f>EXP(-LN(2)/25)*AV100+(1-EXP(-LN(2)/25))/(LN(2)/25)*Calculateur!AQ101*Calculateur!AS101*VLOOKUP('Données projet'!$B$10,Paramètres!$A$1:$I$89,3,0)*0.475*44/12</f>
        <v>0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98.728890806916894</v>
      </c>
      <c r="AY101" s="7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 t="e">
        <f>BD101*VLOOKUP('Données projet'!$B$11,Paramètres!$A$1:$I$89,3,0)*VLOOKUP('Données projet'!$B$11,Paramètres!$A$1:$I$89,5,0)</f>
        <v>#N/A</v>
      </c>
      <c r="BF101" s="13" t="e">
        <f t="shared" si="91"/>
        <v>#N/A</v>
      </c>
      <c r="BG101" s="20" t="e">
        <f t="shared" si="61"/>
        <v>#N/A</v>
      </c>
      <c r="BH101" s="59" t="e">
        <f t="shared" si="62"/>
        <v>#N/A</v>
      </c>
      <c r="BI101" s="59" t="e">
        <f ca="1">AVERAGE(OFFSET($BH$3,0,0,'Données projet'!$E$11+1,1))-AVERAGE(OFFSET($H$3,0,0,'Données projet'!$E$11+1,1))</f>
        <v>#N/A</v>
      </c>
      <c r="BJ101" s="59" t="e">
        <f t="shared" si="92"/>
        <v>#N/A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 t="e">
        <f>EXP(-LN(2)/35)*BP100+(1-EXP(-LN(2)/35))/(LN(2)/35)*BL101*BM101*VLOOKUP('Données projet'!$B$11,Paramètres!$A$1:$I$89,3,0)*0.475*44/12</f>
        <v>#N/A</v>
      </c>
      <c r="BQ101" s="21" t="e">
        <f>EXP(-LN(2)/25)*BQ100+(1-EXP(-LN(2)/25))/(LN(2)/25)*Calculateur!BL101*Calculateur!BN101*VLOOKUP('Données projet'!$B$11,Paramètres!$A$1:$I$89,3,0)*0.475*44/12</f>
        <v>#N/A</v>
      </c>
      <c r="BR101" s="21" t="e">
        <f>EXP(-LN(2)/2)*BR100+(1-EXP(-LN(2)/2))/(LN(2)/2)*BL101*BO101*VLOOKUP('Données projet'!$B$11,Paramètres!$A$1:$I$89,3,0)*0.475*44/12</f>
        <v>#N/A</v>
      </c>
      <c r="BS101" s="22" t="e">
        <f t="shared" si="63"/>
        <v>#N/A</v>
      </c>
      <c r="BT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">
      <c r="A102" s="10">
        <f t="shared" si="85"/>
        <v>99</v>
      </c>
      <c r="B102" s="72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59.201999999999934</v>
      </c>
      <c r="D102" s="11">
        <f t="shared" si="86"/>
        <v>16.96635262289686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587.96623077323841</v>
      </c>
      <c r="H102" s="66">
        <f t="shared" si="56"/>
        <v>425.9932141515452</v>
      </c>
      <c r="I102" s="6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0</v>
      </c>
      <c r="O102" s="13">
        <f>N102*VLOOKUP('Données projet'!$B$9,Paramètres!$A$1:$I$89,3,0)*VLOOKUP('Données projet'!$B$9,Paramètres!$A$1:$I$89,5,0)</f>
        <v>0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148.39628895278571</v>
      </c>
      <c r="T102" s="59">
        <f t="shared" si="88"/>
        <v>361.07991692964788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31.495064690855994</v>
      </c>
      <c r="AA102" s="21">
        <f>EXP(-LN(2)/25)*AA101+(1-EXP(-LN(2)/25))/(LN(2)/25)*Calculateur!V102*Calculateur!X102*VLOOKUP('Données projet'!$B$9,Paramètres!$A$1:$I$89,3,0)*0.475*44/12</f>
        <v>2.1224371407907441</v>
      </c>
      <c r="AB102" s="21">
        <f>EXP(-LN(2)/2)*AB101+(1-EXP(-LN(2)/2))/(LN(2)/2)*V102*Y102*VLOOKUP('Données projet'!$B$9,Paramètres!$A$1:$I$89,3,0)*0.475*44/12</f>
        <v>1.8505926325542863E-12</v>
      </c>
      <c r="AC102" s="22">
        <f t="shared" si="57"/>
        <v>33.617501831648582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8.3920000000000012</v>
      </c>
      <c r="AI102" s="13">
        <f>IF('Données projet'!$A$62&gt;35,AI101+AH102-AQ101,IF(A102&lt;'Données projet'!$A$62,$AF$205^A102,IF(A102='Données projet'!$A$62,'Données projet'!$B$62,AI101+AH102-AQ101)))</f>
        <v>360.24000000000024</v>
      </c>
      <c r="AJ102" s="13">
        <f>AI102*VLOOKUP('Données projet'!$B$10,Paramètres!$A$1:$I$89,3,0)*VLOOKUP('Données projet'!$B$10,Paramètres!$A$1:$I$89,5,0)</f>
        <v>359.66361600000027</v>
      </c>
      <c r="AK102" s="13">
        <f t="shared" si="89"/>
        <v>83.549185001332788</v>
      </c>
      <c r="AL102" s="20">
        <f t="shared" si="58"/>
        <v>771.92896174398845</v>
      </c>
      <c r="AM102" s="59">
        <f t="shared" si="59"/>
        <v>1065.2622950773218</v>
      </c>
      <c r="AN102" s="59">
        <f ca="1">AVERAGE(OFFSET($AM$3,0,0,'Données projet'!$E$10+1,1))-AVERAGE(OFFSET($H$3,0,0,'Données projet'!$E$10+1,1))</f>
        <v>525.29195699741149</v>
      </c>
      <c r="AO102" s="59">
        <f t="shared" si="90"/>
        <v>125.99812193007153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96.792877476870544</v>
      </c>
      <c r="AV102" s="21">
        <f>EXP(-LN(2)/25)*AV101+(1-EXP(-LN(2)/25))/(LN(2)/25)*Calculateur!AQ102*Calculateur!AS102*VLOOKUP('Données projet'!$B$10,Paramètres!$A$1:$I$89,3,0)*0.475*44/12</f>
        <v>0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96.792877476870544</v>
      </c>
      <c r="AY102" s="7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 t="e">
        <f>BD102*VLOOKUP('Données projet'!$B$11,Paramètres!$A$1:$I$89,3,0)*VLOOKUP('Données projet'!$B$11,Paramètres!$A$1:$I$89,5,0)</f>
        <v>#N/A</v>
      </c>
      <c r="BF102" s="13" t="e">
        <f t="shared" si="91"/>
        <v>#N/A</v>
      </c>
      <c r="BG102" s="20" t="e">
        <f t="shared" si="61"/>
        <v>#N/A</v>
      </c>
      <c r="BH102" s="59" t="e">
        <f t="shared" si="62"/>
        <v>#N/A</v>
      </c>
      <c r="BI102" s="59" t="e">
        <f ca="1">AVERAGE(OFFSET($BH$3,0,0,'Données projet'!$E$11+1,1))-AVERAGE(OFFSET($H$3,0,0,'Données projet'!$E$11+1,1))</f>
        <v>#N/A</v>
      </c>
      <c r="BJ102" s="59" t="e">
        <f t="shared" si="92"/>
        <v>#N/A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 t="e">
        <f>EXP(-LN(2)/35)*BP101+(1-EXP(-LN(2)/35))/(LN(2)/35)*BL102*BM102*VLOOKUP('Données projet'!$B$11,Paramètres!$A$1:$I$89,3,0)*0.475*44/12</f>
        <v>#N/A</v>
      </c>
      <c r="BQ102" s="21" t="e">
        <f>EXP(-LN(2)/25)*BQ101+(1-EXP(-LN(2)/25))/(LN(2)/25)*Calculateur!BL102*Calculateur!BN102*VLOOKUP('Données projet'!$B$11,Paramètres!$A$1:$I$89,3,0)*0.475*44/12</f>
        <v>#N/A</v>
      </c>
      <c r="BR102" s="21" t="e">
        <f>EXP(-LN(2)/2)*BR101+(1-EXP(-LN(2)/2))/(LN(2)/2)*BL102*BO102*VLOOKUP('Données projet'!$B$11,Paramètres!$A$1:$I$89,3,0)*0.475*44/12</f>
        <v>#N/A</v>
      </c>
      <c r="BS102" s="22" t="e">
        <f t="shared" si="63"/>
        <v>#N/A</v>
      </c>
      <c r="BT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">
      <c r="A103" s="10">
        <f t="shared" si="85"/>
        <v>100</v>
      </c>
      <c r="B103" s="72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59.799999999999933</v>
      </c>
      <c r="D103" s="11">
        <f t="shared" si="86"/>
        <v>17.117692915451709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593.75061197892501</v>
      </c>
      <c r="H103" s="66">
        <f t="shared" si="56"/>
        <v>427.29831516107822</v>
      </c>
      <c r="I103" s="6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0</v>
      </c>
      <c r="O103" s="13">
        <f>N103*VLOOKUP('Données projet'!$B$9,Paramètres!$A$1:$I$89,3,0)*VLOOKUP('Données projet'!$B$9,Paramètres!$A$1:$I$89,5,0)</f>
        <v>0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148.39628895278571</v>
      </c>
      <c r="T103" s="59">
        <f t="shared" si="88"/>
        <v>361.07991692964788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30.877465682360931</v>
      </c>
      <c r="AA103" s="21">
        <f>EXP(-LN(2)/25)*AA102+(1-EXP(-LN(2)/25))/(LN(2)/25)*Calculateur!V103*Calculateur!X103*VLOOKUP('Données projet'!$B$9,Paramètres!$A$1:$I$89,3,0)*0.475*44/12</f>
        <v>2.0643989855617026</v>
      </c>
      <c r="AB103" s="21">
        <f>EXP(-LN(2)/2)*AB102+(1-EXP(-LN(2)/2))/(LN(2)/2)*V103*Y103*VLOOKUP('Données projet'!$B$9,Paramètres!$A$1:$I$89,3,0)*0.475*44/12</f>
        <v>1.3085665996930007E-12</v>
      </c>
      <c r="AC103" s="22">
        <f t="shared" si="57"/>
        <v>32.941864667923944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8.3920000000000012</v>
      </c>
      <c r="AI103" s="13">
        <f>IF('Données projet'!$A$62&gt;35,AI102+AH103-AQ102,IF(A103&lt;'Données projet'!$A$62,$AF$205^A103,IF(A103='Données projet'!$A$62,'Données projet'!$B$62,AI102+AH103-AQ102)))</f>
        <v>368.63200000000023</v>
      </c>
      <c r="AJ103" s="13">
        <f>AI103*VLOOKUP('Données projet'!$B$10,Paramètres!$A$1:$I$89,3,0)*VLOOKUP('Données projet'!$B$10,Paramètres!$A$1:$I$89,5,0)</f>
        <v>368.04218880000025</v>
      </c>
      <c r="AK103" s="13">
        <f t="shared" si="89"/>
        <v>85.266647640319093</v>
      </c>
      <c r="AL103" s="20">
        <f t="shared" si="58"/>
        <v>789.5128901335562</v>
      </c>
      <c r="AM103" s="59">
        <f t="shared" si="59"/>
        <v>1082.8462234668896</v>
      </c>
      <c r="AN103" s="59">
        <f ca="1">AVERAGE(OFFSET($AM$3,0,0,'Données projet'!$E$10+1,1))-AVERAGE(OFFSET($H$3,0,0,'Données projet'!$E$10+1,1))</f>
        <v>525.29195699741149</v>
      </c>
      <c r="AO103" s="59">
        <f t="shared" si="90"/>
        <v>125.99812193007153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94.89482818737487</v>
      </c>
      <c r="AV103" s="21">
        <f>EXP(-LN(2)/25)*AV102+(1-EXP(-LN(2)/25))/(LN(2)/25)*Calculateur!AQ103*Calculateur!AS103*VLOOKUP('Données projet'!$B$10,Paramètres!$A$1:$I$89,3,0)*0.475*44/12</f>
        <v>0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94.89482818737487</v>
      </c>
      <c r="AY103" s="7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 t="e">
        <f>BD103*VLOOKUP('Données projet'!$B$11,Paramètres!$A$1:$I$89,3,0)*VLOOKUP('Données projet'!$B$11,Paramètres!$A$1:$I$89,5,0)</f>
        <v>#N/A</v>
      </c>
      <c r="BF103" s="13" t="e">
        <f t="shared" si="91"/>
        <v>#N/A</v>
      </c>
      <c r="BG103" s="20" t="e">
        <f t="shared" si="61"/>
        <v>#N/A</v>
      </c>
      <c r="BH103" s="59" t="e">
        <f t="shared" si="62"/>
        <v>#N/A</v>
      </c>
      <c r="BI103" s="59" t="e">
        <f ca="1">AVERAGE(OFFSET($BH$3,0,0,'Données projet'!$E$11+1,1))-AVERAGE(OFFSET($H$3,0,0,'Données projet'!$E$11+1,1))</f>
        <v>#N/A</v>
      </c>
      <c r="BJ103" s="59" t="e">
        <f t="shared" si="92"/>
        <v>#N/A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 t="e">
        <f>EXP(-LN(2)/35)*BP102+(1-EXP(-LN(2)/35))/(LN(2)/35)*BL103*BM103*VLOOKUP('Données projet'!$B$11,Paramètres!$A$1:$I$89,3,0)*0.475*44/12</f>
        <v>#N/A</v>
      </c>
      <c r="BQ103" s="21" t="e">
        <f>EXP(-LN(2)/25)*BQ102+(1-EXP(-LN(2)/25))/(LN(2)/25)*Calculateur!BL103*Calculateur!BN103*VLOOKUP('Données projet'!$B$11,Paramètres!$A$1:$I$89,3,0)*0.475*44/12</f>
        <v>#N/A</v>
      </c>
      <c r="BR103" s="21" t="e">
        <f>EXP(-LN(2)/2)*BR102+(1-EXP(-LN(2)/2))/(LN(2)/2)*BL103*BO103*VLOOKUP('Données projet'!$B$11,Paramètres!$A$1:$I$89,3,0)*0.475*44/12</f>
        <v>#N/A</v>
      </c>
      <c r="BS103" s="22" t="e">
        <f t="shared" si="63"/>
        <v>#N/A</v>
      </c>
      <c r="BT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">
      <c r="A104" s="10">
        <f t="shared" si="85"/>
        <v>101</v>
      </c>
      <c r="B104" s="72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60.397999999999932</v>
      </c>
      <c r="D104" s="11">
        <f t="shared" si="86"/>
        <v>17.268857147288056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599.53363411941609</v>
      </c>
      <c r="H104" s="66">
        <f t="shared" si="56"/>
        <v>428.60310953152657</v>
      </c>
      <c r="I104" s="6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0</v>
      </c>
      <c r="O104" s="13">
        <f>N104*VLOOKUP('Données projet'!$B$9,Paramètres!$A$1:$I$89,3,0)*VLOOKUP('Données projet'!$B$9,Paramètres!$A$1:$I$89,5,0)</f>
        <v>0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148.39628895278571</v>
      </c>
      <c r="T104" s="59">
        <f t="shared" si="88"/>
        <v>361.07991692964788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30.271977413724258</v>
      </c>
      <c r="AA104" s="21">
        <f>EXP(-LN(2)/25)*AA103+(1-EXP(-LN(2)/25))/(LN(2)/25)*Calculateur!V104*Calculateur!X104*VLOOKUP('Données projet'!$B$9,Paramètres!$A$1:$I$89,3,0)*0.475*44/12</f>
        <v>2.0079478867394935</v>
      </c>
      <c r="AB104" s="21">
        <f>EXP(-LN(2)/2)*AB103+(1-EXP(-LN(2)/2))/(LN(2)/2)*V104*Y104*VLOOKUP('Données projet'!$B$9,Paramètres!$A$1:$I$89,3,0)*0.475*44/12</f>
        <v>9.2529631627714316E-13</v>
      </c>
      <c r="AC104" s="22">
        <f t="shared" si="57"/>
        <v>32.279925300464676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8.3920000000000012</v>
      </c>
      <c r="AI104" s="13">
        <f>IF('Données projet'!$A$62&gt;35,AI103+AH104-AQ103,IF(A104&lt;'Données projet'!$A$62,$AF$205^A104,IF(A104='Données projet'!$A$62,'Données projet'!$B$62,AI103+AH104-AQ103)))</f>
        <v>377.02400000000023</v>
      </c>
      <c r="AJ104" s="13">
        <f>AI104*VLOOKUP('Données projet'!$B$10,Paramètres!$A$1:$I$89,3,0)*VLOOKUP('Données projet'!$B$10,Paramètres!$A$1:$I$89,5,0)</f>
        <v>376.42076160000028</v>
      </c>
      <c r="AK104" s="13">
        <f t="shared" si="89"/>
        <v>86.979564827206246</v>
      </c>
      <c r="AL104" s="20">
        <f t="shared" si="58"/>
        <v>807.08890186071812</v>
      </c>
      <c r="AM104" s="59">
        <f t="shared" si="59"/>
        <v>1100.4222351940514</v>
      </c>
      <c r="AN104" s="59">
        <f ca="1">AVERAGE(OFFSET($AM$3,0,0,'Données projet'!$E$10+1,1))-AVERAGE(OFFSET($H$3,0,0,'Données projet'!$E$10+1,1))</f>
        <v>525.29195699741149</v>
      </c>
      <c r="AO104" s="59">
        <f t="shared" si="90"/>
        <v>125.99812193007153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93.033998486750448</v>
      </c>
      <c r="AV104" s="21">
        <f>EXP(-LN(2)/25)*AV103+(1-EXP(-LN(2)/25))/(LN(2)/25)*Calculateur!AQ104*Calculateur!AS104*VLOOKUP('Données projet'!$B$10,Paramètres!$A$1:$I$89,3,0)*0.475*44/12</f>
        <v>0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93.033998486750448</v>
      </c>
      <c r="AY104" s="7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 t="e">
        <f>BD104*VLOOKUP('Données projet'!$B$11,Paramètres!$A$1:$I$89,3,0)*VLOOKUP('Données projet'!$B$11,Paramètres!$A$1:$I$89,5,0)</f>
        <v>#N/A</v>
      </c>
      <c r="BF104" s="13" t="e">
        <f t="shared" si="91"/>
        <v>#N/A</v>
      </c>
      <c r="BG104" s="20" t="e">
        <f t="shared" si="61"/>
        <v>#N/A</v>
      </c>
      <c r="BH104" s="59" t="e">
        <f t="shared" si="62"/>
        <v>#N/A</v>
      </c>
      <c r="BI104" s="59" t="e">
        <f ca="1">AVERAGE(OFFSET($BH$3,0,0,'Données projet'!$E$11+1,1))-AVERAGE(OFFSET($H$3,0,0,'Données projet'!$E$11+1,1))</f>
        <v>#N/A</v>
      </c>
      <c r="BJ104" s="59" t="e">
        <f t="shared" si="92"/>
        <v>#N/A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 t="e">
        <f>EXP(-LN(2)/35)*BP103+(1-EXP(-LN(2)/35))/(LN(2)/35)*BL104*BM104*VLOOKUP('Données projet'!$B$11,Paramètres!$A$1:$I$89,3,0)*0.475*44/12</f>
        <v>#N/A</v>
      </c>
      <c r="BQ104" s="21" t="e">
        <f>EXP(-LN(2)/25)*BQ103+(1-EXP(-LN(2)/25))/(LN(2)/25)*Calculateur!BL104*Calculateur!BN104*VLOOKUP('Données projet'!$B$11,Paramètres!$A$1:$I$89,3,0)*0.475*44/12</f>
        <v>#N/A</v>
      </c>
      <c r="BR104" s="21" t="e">
        <f>EXP(-LN(2)/2)*BR103+(1-EXP(-LN(2)/2))/(LN(2)/2)*BL104*BO104*VLOOKUP('Données projet'!$B$11,Paramètres!$A$1:$I$89,3,0)*0.475*44/12</f>
        <v>#N/A</v>
      </c>
      <c r="BS104" s="22" t="e">
        <f t="shared" si="63"/>
        <v>#N/A</v>
      </c>
      <c r="BT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">
      <c r="A105" s="10">
        <f t="shared" si="85"/>
        <v>102</v>
      </c>
      <c r="B105" s="72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60.995999999999931</v>
      </c>
      <c r="D105" s="11">
        <f t="shared" si="86"/>
        <v>17.419847263429784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605.31531220893112</v>
      </c>
      <c r="H105" s="66">
        <f t="shared" si="56"/>
        <v>429.9076006504734</v>
      </c>
      <c r="I105" s="6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0</v>
      </c>
      <c r="O105" s="13">
        <f>N105*VLOOKUP('Données projet'!$B$9,Paramètres!$A$1:$I$89,3,0)*VLOOKUP('Données projet'!$B$9,Paramètres!$A$1:$I$89,5,0)</f>
        <v>0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148.39628895278571</v>
      </c>
      <c r="T105" s="59">
        <f t="shared" si="88"/>
        <v>361.07991692964788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29.678362400724172</v>
      </c>
      <c r="AA105" s="21">
        <f>EXP(-LN(2)/25)*AA104+(1-EXP(-LN(2)/25))/(LN(2)/25)*Calculateur!V105*Calculateur!X105*VLOOKUP('Données projet'!$B$9,Paramètres!$A$1:$I$89,3,0)*0.475*44/12</f>
        <v>1.953040446183212</v>
      </c>
      <c r="AB105" s="21">
        <f>EXP(-LN(2)/2)*AB104+(1-EXP(-LN(2)/2))/(LN(2)/2)*V105*Y105*VLOOKUP('Données projet'!$B$9,Paramètres!$A$1:$I$89,3,0)*0.475*44/12</f>
        <v>6.5428329984650034E-13</v>
      </c>
      <c r="AC105" s="22">
        <f t="shared" si="57"/>
        <v>31.631402846908038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8.3920000000000012</v>
      </c>
      <c r="AI105" s="13">
        <f>IF('Données projet'!$A$62&gt;35,AI104+AH105-AQ104,IF(A105&lt;'Données projet'!$A$62,$AF$205^A105,IF(A105='Données projet'!$A$62,'Données projet'!$B$62,AI104+AH105-AQ104)))</f>
        <v>385.41600000000022</v>
      </c>
      <c r="AJ105" s="13">
        <f>AI105*VLOOKUP('Données projet'!$B$10,Paramètres!$A$1:$I$89,3,0)*VLOOKUP('Données projet'!$B$10,Paramètres!$A$1:$I$89,5,0)</f>
        <v>384.79933440000025</v>
      </c>
      <c r="AK105" s="13">
        <f t="shared" si="89"/>
        <v>88.688049386481353</v>
      </c>
      <c r="AL105" s="20">
        <f t="shared" si="58"/>
        <v>824.65719342812201</v>
      </c>
      <c r="AM105" s="59">
        <f t="shared" si="59"/>
        <v>1117.9905267614554</v>
      </c>
      <c r="AN105" s="59">
        <f ca="1">AVERAGE(OFFSET($AM$3,0,0,'Données projet'!$E$10+1,1))-AVERAGE(OFFSET($H$3,0,0,'Données projet'!$E$10+1,1))</f>
        <v>525.29195699741149</v>
      </c>
      <c r="AO105" s="59">
        <f t="shared" si="90"/>
        <v>125.99812193007153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91.209658521561238</v>
      </c>
      <c r="AV105" s="21">
        <f>EXP(-LN(2)/25)*AV104+(1-EXP(-LN(2)/25))/(LN(2)/25)*Calculateur!AQ105*Calculateur!AS105*VLOOKUP('Données projet'!$B$10,Paramètres!$A$1:$I$89,3,0)*0.475*44/12</f>
        <v>0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91.209658521561238</v>
      </c>
      <c r="AY105" s="7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 t="e">
        <f>BD105*VLOOKUP('Données projet'!$B$11,Paramètres!$A$1:$I$89,3,0)*VLOOKUP('Données projet'!$B$11,Paramètres!$A$1:$I$89,5,0)</f>
        <v>#N/A</v>
      </c>
      <c r="BF105" s="13" t="e">
        <f t="shared" si="91"/>
        <v>#N/A</v>
      </c>
      <c r="BG105" s="20" t="e">
        <f t="shared" si="61"/>
        <v>#N/A</v>
      </c>
      <c r="BH105" s="59" t="e">
        <f t="shared" si="62"/>
        <v>#N/A</v>
      </c>
      <c r="BI105" s="59" t="e">
        <f ca="1">AVERAGE(OFFSET($BH$3,0,0,'Données projet'!$E$11+1,1))-AVERAGE(OFFSET($H$3,0,0,'Données projet'!$E$11+1,1))</f>
        <v>#N/A</v>
      </c>
      <c r="BJ105" s="59" t="e">
        <f t="shared" si="92"/>
        <v>#N/A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 t="e">
        <f>EXP(-LN(2)/35)*BP104+(1-EXP(-LN(2)/35))/(LN(2)/35)*BL105*BM105*VLOOKUP('Données projet'!$B$11,Paramètres!$A$1:$I$89,3,0)*0.475*44/12</f>
        <v>#N/A</v>
      </c>
      <c r="BQ105" s="21" t="e">
        <f>EXP(-LN(2)/25)*BQ104+(1-EXP(-LN(2)/25))/(LN(2)/25)*Calculateur!BL105*Calculateur!BN105*VLOOKUP('Données projet'!$B$11,Paramètres!$A$1:$I$89,3,0)*0.475*44/12</f>
        <v>#N/A</v>
      </c>
      <c r="BR105" s="21" t="e">
        <f>EXP(-LN(2)/2)*BR104+(1-EXP(-LN(2)/2))/(LN(2)/2)*BL105*BO105*VLOOKUP('Données projet'!$B$11,Paramètres!$A$1:$I$89,3,0)*0.475*44/12</f>
        <v>#N/A</v>
      </c>
      <c r="BS105" s="22" t="e">
        <f t="shared" si="63"/>
        <v>#N/A</v>
      </c>
      <c r="BT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">
      <c r="A106" s="10">
        <f t="shared" si="85"/>
        <v>103</v>
      </c>
      <c r="B106" s="72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61.59399999999993</v>
      </c>
      <c r="D106" s="11">
        <f t="shared" si="86"/>
        <v>17.570665168564602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611.09566095032289</v>
      </c>
      <c r="H106" s="66">
        <f t="shared" si="56"/>
        <v>431.21179183524987</v>
      </c>
      <c r="I106" s="6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0</v>
      </c>
      <c r="O106" s="13">
        <f>N106*VLOOKUP('Données projet'!$B$9,Paramètres!$A$1:$I$89,3,0)*VLOOKUP('Données projet'!$B$9,Paramètres!$A$1:$I$89,5,0)</f>
        <v>0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148.39628895278571</v>
      </c>
      <c r="T106" s="59">
        <f t="shared" si="88"/>
        <v>361.07991692964788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29.096387816059611</v>
      </c>
      <c r="AA106" s="21">
        <f>EXP(-LN(2)/25)*AA105+(1-EXP(-LN(2)/25))/(LN(2)/25)*Calculateur!V106*Calculateur!X106*VLOOKUP('Données projet'!$B$9,Paramètres!$A$1:$I$89,3,0)*0.475*44/12</f>
        <v>1.8996344524763988</v>
      </c>
      <c r="AB106" s="21">
        <f>EXP(-LN(2)/2)*AB105+(1-EXP(-LN(2)/2))/(LN(2)/2)*V106*Y106*VLOOKUP('Données projet'!$B$9,Paramètres!$A$1:$I$89,3,0)*0.475*44/12</f>
        <v>4.6264815813857158E-13</v>
      </c>
      <c r="AC106" s="22">
        <f t="shared" si="57"/>
        <v>30.996022268536471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8.3920000000000012</v>
      </c>
      <c r="AI106" s="13">
        <f>IF('Données projet'!$A$62&gt;35,AI105+AH106-AQ105,IF(A106&lt;'Données projet'!$A$62,$AF$205^A106,IF(A106='Données projet'!$A$62,'Données projet'!$B$62,AI105+AH106-AQ105)))</f>
        <v>393.80800000000022</v>
      </c>
      <c r="AJ106" s="13">
        <f>AI106*VLOOKUP('Données projet'!$B$10,Paramètres!$A$1:$I$89,3,0)*VLOOKUP('Données projet'!$B$10,Paramètres!$A$1:$I$89,5,0)</f>
        <v>393.17790720000028</v>
      </c>
      <c r="AK106" s="13">
        <f t="shared" si="89"/>
        <v>90.392208948777423</v>
      </c>
      <c r="AL106" s="20">
        <f t="shared" si="58"/>
        <v>842.21795229245436</v>
      </c>
      <c r="AM106" s="59">
        <f t="shared" si="59"/>
        <v>1135.5512856257876</v>
      </c>
      <c r="AN106" s="59">
        <f ca="1">AVERAGE(OFFSET($AM$3,0,0,'Données projet'!$E$10+1,1))-AVERAGE(OFFSET($H$3,0,0,'Données projet'!$E$10+1,1))</f>
        <v>525.29195699741149</v>
      </c>
      <c r="AO106" s="59">
        <f t="shared" si="90"/>
        <v>125.99812193007153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89.421092750351875</v>
      </c>
      <c r="AV106" s="21">
        <f>EXP(-LN(2)/25)*AV105+(1-EXP(-LN(2)/25))/(LN(2)/25)*Calculateur!AQ106*Calculateur!AS106*VLOOKUP('Données projet'!$B$10,Paramètres!$A$1:$I$89,3,0)*0.475*44/12</f>
        <v>0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89.421092750351875</v>
      </c>
      <c r="AY106" s="7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 t="e">
        <f>BD106*VLOOKUP('Données projet'!$B$11,Paramètres!$A$1:$I$89,3,0)*VLOOKUP('Données projet'!$B$11,Paramètres!$A$1:$I$89,5,0)</f>
        <v>#N/A</v>
      </c>
      <c r="BF106" s="13" t="e">
        <f t="shared" si="91"/>
        <v>#N/A</v>
      </c>
      <c r="BG106" s="20" t="e">
        <f t="shared" si="61"/>
        <v>#N/A</v>
      </c>
      <c r="BH106" s="59" t="e">
        <f t="shared" si="62"/>
        <v>#N/A</v>
      </c>
      <c r="BI106" s="59" t="e">
        <f ca="1">AVERAGE(OFFSET($BH$3,0,0,'Données projet'!$E$11+1,1))-AVERAGE(OFFSET($H$3,0,0,'Données projet'!$E$11+1,1))</f>
        <v>#N/A</v>
      </c>
      <c r="BJ106" s="59" t="e">
        <f t="shared" si="92"/>
        <v>#N/A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 t="e">
        <f>EXP(-LN(2)/35)*BP105+(1-EXP(-LN(2)/35))/(LN(2)/35)*BL106*BM106*VLOOKUP('Données projet'!$B$11,Paramètres!$A$1:$I$89,3,0)*0.475*44/12</f>
        <v>#N/A</v>
      </c>
      <c r="BQ106" s="21" t="e">
        <f>EXP(-LN(2)/25)*BQ105+(1-EXP(-LN(2)/25))/(LN(2)/25)*Calculateur!BL106*Calculateur!BN106*VLOOKUP('Données projet'!$B$11,Paramètres!$A$1:$I$89,3,0)*0.475*44/12</f>
        <v>#N/A</v>
      </c>
      <c r="BR106" s="21" t="e">
        <f>EXP(-LN(2)/2)*BR105+(1-EXP(-LN(2)/2))/(LN(2)/2)*BL106*BO106*VLOOKUP('Données projet'!$B$11,Paramètres!$A$1:$I$89,3,0)*0.475*44/12</f>
        <v>#N/A</v>
      </c>
      <c r="BS106" s="22" t="e">
        <f t="shared" si="63"/>
        <v>#N/A</v>
      </c>
      <c r="BT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">
      <c r="A107" s="10">
        <f t="shared" si="85"/>
        <v>104</v>
      </c>
      <c r="B107" s="72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62.191999999999929</v>
      </c>
      <c r="D107" s="11">
        <f t="shared" si="86"/>
        <v>17.721312728263729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616.87469474449142</v>
      </c>
      <c r="H107" s="66">
        <f t="shared" si="56"/>
        <v>432.51568633505917</v>
      </c>
      <c r="I107" s="6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0</v>
      </c>
      <c r="O107" s="13">
        <f>N107*VLOOKUP('Données projet'!$B$9,Paramètres!$A$1:$I$89,3,0)*VLOOKUP('Données projet'!$B$9,Paramètres!$A$1:$I$89,5,0)</f>
        <v>0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148.39628895278571</v>
      </c>
      <c r="T107" s="59">
        <f t="shared" si="88"/>
        <v>361.07991692964788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28.525825398030875</v>
      </c>
      <c r="AA107" s="21">
        <f>EXP(-LN(2)/25)*AA106+(1-EXP(-LN(2)/25))/(LN(2)/25)*Calculateur!V107*Calculateur!X107*VLOOKUP('Données projet'!$B$9,Paramètres!$A$1:$I$89,3,0)*0.475*44/12</f>
        <v>1.8476888484759975</v>
      </c>
      <c r="AB107" s="21">
        <f>EXP(-LN(2)/2)*AB106+(1-EXP(-LN(2)/2))/(LN(2)/2)*V107*Y107*VLOOKUP('Données projet'!$B$9,Paramètres!$A$1:$I$89,3,0)*0.475*44/12</f>
        <v>3.2714164992325017E-13</v>
      </c>
      <c r="AC107" s="22">
        <f t="shared" si="57"/>
        <v>30.373514246507199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>
        <f>VLOOKUP(A107,'Données projet'!$A$61:$I$81,2,0)</f>
        <v>402.2</v>
      </c>
      <c r="AG107" s="12">
        <f>VLOOKUP(A107,'Données projet'!$A$61:$I$81,9,0)</f>
        <v>8.3920000000000012</v>
      </c>
      <c r="AH107" s="12">
        <f t="array" ref="AH107">INDEX(AG:AG,MIN(IF(ISNUMBER(AG107:AG303),ROW(AG107:AG303),"")))</f>
        <v>8.3920000000000012</v>
      </c>
      <c r="AI107" s="13">
        <f>IF('Données projet'!$A$62&gt;35,AI106+AH107-AQ106,IF(A107&lt;'Données projet'!$A$62,$AF$205^A107,IF(A107='Données projet'!$A$62,'Données projet'!$B$62,AI106+AH107-AQ106)))</f>
        <v>402.20000000000022</v>
      </c>
      <c r="AJ107" s="13">
        <f>AI107*VLOOKUP('Données projet'!$B$10,Paramètres!$A$1:$I$89,3,0)*VLOOKUP('Données projet'!$B$10,Paramètres!$A$1:$I$89,5,0)</f>
        <v>401.55648000000019</v>
      </c>
      <c r="AK107" s="13">
        <f t="shared" si="89"/>
        <v>92.092146295474834</v>
      </c>
      <c r="AL107" s="20">
        <f t="shared" si="58"/>
        <v>859.77135746461897</v>
      </c>
      <c r="AM107" s="59">
        <f t="shared" si="59"/>
        <v>1153.1046907979523</v>
      </c>
      <c r="AN107" s="59">
        <f ca="1">AVERAGE(OFFSET($AM$3,0,0,'Données projet'!$E$10+1,1))-AVERAGE(OFFSET($H$3,0,0,'Données projet'!$E$10+1,1))</f>
        <v>525.29195699741149</v>
      </c>
      <c r="AO107" s="59">
        <f t="shared" si="90"/>
        <v>125.99812193007153</v>
      </c>
      <c r="AP107" s="15">
        <f>IF(ISNA(VLOOKUP(A107,'Données projet'!$A$61:$I$81,3,0)),0,VLOOKUP(A107,'Données projet'!$A$61:$I$81,3,0))</f>
        <v>8</v>
      </c>
      <c r="AQ107" s="15">
        <f>IF(ISNA(VLOOKUP(A107,'Données projet'!$A$61:$I$81,4,0)),0,VLOOKUP(A107,'Données projet'!$A$61:$I$81,4,0))</f>
        <v>60.19</v>
      </c>
      <c r="AR107" s="16">
        <f>IF(ISNA(VLOOKUP(A107,'Données projet'!$A$61:$I$81,5,0)),0%,VLOOKUP(A107,'Données projet'!$A$61:$I$81,5,0)*VLOOKUP('Données projet'!$B$10,Paramètres!$A$1:$I$89,7,0))</f>
        <v>0.43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116.23327406060135</v>
      </c>
      <c r="AV107" s="21">
        <f>EXP(-LN(2)/25)*AV106+(1-EXP(-LN(2)/25))/(LN(2)/25)*Calculateur!AQ107*Calculateur!AS107*VLOOKUP('Données projet'!$B$10,Paramètres!$A$1:$I$89,3,0)*0.475*44/12</f>
        <v>0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116.23327406060135</v>
      </c>
      <c r="AY107" s="7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 t="e">
        <f>BD107*VLOOKUP('Données projet'!$B$11,Paramètres!$A$1:$I$89,3,0)*VLOOKUP('Données projet'!$B$11,Paramètres!$A$1:$I$89,5,0)</f>
        <v>#N/A</v>
      </c>
      <c r="BF107" s="13" t="e">
        <f t="shared" si="91"/>
        <v>#N/A</v>
      </c>
      <c r="BG107" s="20" t="e">
        <f t="shared" si="61"/>
        <v>#N/A</v>
      </c>
      <c r="BH107" s="59" t="e">
        <f t="shared" si="62"/>
        <v>#N/A</v>
      </c>
      <c r="BI107" s="59" t="e">
        <f ca="1">AVERAGE(OFFSET($BH$3,0,0,'Données projet'!$E$11+1,1))-AVERAGE(OFFSET($H$3,0,0,'Données projet'!$E$11+1,1))</f>
        <v>#N/A</v>
      </c>
      <c r="BJ107" s="59" t="e">
        <f t="shared" si="92"/>
        <v>#N/A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 t="e">
        <f>EXP(-LN(2)/35)*BP106+(1-EXP(-LN(2)/35))/(LN(2)/35)*BL107*BM107*VLOOKUP('Données projet'!$B$11,Paramètres!$A$1:$I$89,3,0)*0.475*44/12</f>
        <v>#N/A</v>
      </c>
      <c r="BQ107" s="21" t="e">
        <f>EXP(-LN(2)/25)*BQ106+(1-EXP(-LN(2)/25))/(LN(2)/25)*Calculateur!BL107*Calculateur!BN107*VLOOKUP('Données projet'!$B$11,Paramètres!$A$1:$I$89,3,0)*0.475*44/12</f>
        <v>#N/A</v>
      </c>
      <c r="BR107" s="21" t="e">
        <f>EXP(-LN(2)/2)*BR106+(1-EXP(-LN(2)/2))/(LN(2)/2)*BL107*BO107*VLOOKUP('Données projet'!$B$11,Paramètres!$A$1:$I$89,3,0)*0.475*44/12</f>
        <v>#N/A</v>
      </c>
      <c r="BS107" s="22" t="e">
        <f t="shared" si="63"/>
        <v>#N/A</v>
      </c>
      <c r="BT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">
      <c r="A108" s="10">
        <f t="shared" si="85"/>
        <v>105</v>
      </c>
      <c r="B108" s="72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62.789999999999928</v>
      </c>
      <c r="D108" s="11">
        <f t="shared" si="86"/>
        <v>17.871791770153557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622.6524276994304</v>
      </c>
      <c r="H108" s="66">
        <f t="shared" si="56"/>
        <v>433.81928733301731</v>
      </c>
      <c r="I108" s="6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0</v>
      </c>
      <c r="O108" s="13">
        <f>N108*VLOOKUP('Données projet'!$B$9,Paramètres!$A$1:$I$89,3,0)*VLOOKUP('Données projet'!$B$9,Paramètres!$A$1:$I$89,5,0)</f>
        <v>0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148.39628895278571</v>
      </c>
      <c r="T108" s="59">
        <f t="shared" si="88"/>
        <v>361.07991692964788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27.966451361010972</v>
      </c>
      <c r="AA108" s="21">
        <f>EXP(-LN(2)/25)*AA107+(1-EXP(-LN(2)/25))/(LN(2)/25)*Calculateur!V108*Calculateur!X108*VLOOKUP('Données projet'!$B$9,Paramètres!$A$1:$I$89,3,0)*0.475*44/12</f>
        <v>1.7971636997486877</v>
      </c>
      <c r="AB108" s="21">
        <f>EXP(-LN(2)/2)*AB107+(1-EXP(-LN(2)/2))/(LN(2)/2)*V108*Y108*VLOOKUP('Données projet'!$B$9,Paramètres!$A$1:$I$89,3,0)*0.475*44/12</f>
        <v>2.3132407906928579E-13</v>
      </c>
      <c r="AC108" s="22">
        <f t="shared" si="57"/>
        <v>29.763615060759889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8.2550000000000008</v>
      </c>
      <c r="AI108" s="13">
        <f>IF('Données projet'!$A$62&gt;35,AI107+AH108-AQ107,IF(A108&lt;'Données projet'!$A$62,$AF$205^A108,IF(A108='Données projet'!$A$62,'Données projet'!$B$62,AI107+AH108-AQ107)))</f>
        <v>350.26500000000021</v>
      </c>
      <c r="AJ108" s="13">
        <f>AI108*VLOOKUP('Données projet'!$B$10,Paramètres!$A$1:$I$89,3,0)*VLOOKUP('Données projet'!$B$10,Paramètres!$A$1:$I$89,5,0)</f>
        <v>349.70457600000026</v>
      </c>
      <c r="AK108" s="13">
        <f t="shared" si="89"/>
        <v>81.501677379082068</v>
      </c>
      <c r="AL108" s="20">
        <f t="shared" si="58"/>
        <v>751.01755796856844</v>
      </c>
      <c r="AM108" s="59">
        <f t="shared" si="59"/>
        <v>1044.3508913019018</v>
      </c>
      <c r="AN108" s="59">
        <f ca="1">AVERAGE(OFFSET($AM$3,0,0,'Données projet'!$E$10+1,1))-AVERAGE(OFFSET($H$3,0,0,'Données projet'!$E$10+1,1))</f>
        <v>525.29195699741149</v>
      </c>
      <c r="AO108" s="59">
        <f t="shared" si="90"/>
        <v>125.99812193007153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113.9540104515698</v>
      </c>
      <c r="AV108" s="21">
        <f>EXP(-LN(2)/25)*AV107+(1-EXP(-LN(2)/25))/(LN(2)/25)*Calculateur!AQ108*Calculateur!AS108*VLOOKUP('Données projet'!$B$10,Paramètres!$A$1:$I$89,3,0)*0.475*44/12</f>
        <v>0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113.9540104515698</v>
      </c>
      <c r="AY108" s="7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 t="e">
        <f>BD108*VLOOKUP('Données projet'!$B$11,Paramètres!$A$1:$I$89,3,0)*VLOOKUP('Données projet'!$B$11,Paramètres!$A$1:$I$89,5,0)</f>
        <v>#N/A</v>
      </c>
      <c r="BF108" s="13" t="e">
        <f t="shared" si="91"/>
        <v>#N/A</v>
      </c>
      <c r="BG108" s="20" t="e">
        <f t="shared" si="61"/>
        <v>#N/A</v>
      </c>
      <c r="BH108" s="59" t="e">
        <f t="shared" si="62"/>
        <v>#N/A</v>
      </c>
      <c r="BI108" s="59" t="e">
        <f ca="1">AVERAGE(OFFSET($BH$3,0,0,'Données projet'!$E$11+1,1))-AVERAGE(OFFSET($H$3,0,0,'Données projet'!$E$11+1,1))</f>
        <v>#N/A</v>
      </c>
      <c r="BJ108" s="59" t="e">
        <f t="shared" si="92"/>
        <v>#N/A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 t="e">
        <f>EXP(-LN(2)/35)*BP107+(1-EXP(-LN(2)/35))/(LN(2)/35)*BL108*BM108*VLOOKUP('Données projet'!$B$11,Paramètres!$A$1:$I$89,3,0)*0.475*44/12</f>
        <v>#N/A</v>
      </c>
      <c r="BQ108" s="21" t="e">
        <f>EXP(-LN(2)/25)*BQ107+(1-EXP(-LN(2)/25))/(LN(2)/25)*Calculateur!BL108*Calculateur!BN108*VLOOKUP('Données projet'!$B$11,Paramètres!$A$1:$I$89,3,0)*0.475*44/12</f>
        <v>#N/A</v>
      </c>
      <c r="BR108" s="21" t="e">
        <f>EXP(-LN(2)/2)*BR107+(1-EXP(-LN(2)/2))/(LN(2)/2)*BL108*BO108*VLOOKUP('Données projet'!$B$11,Paramètres!$A$1:$I$89,3,0)*0.475*44/12</f>
        <v>#N/A</v>
      </c>
      <c r="BS108" s="22" t="e">
        <f t="shared" si="63"/>
        <v>#N/A</v>
      </c>
      <c r="BT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">
      <c r="A109" s="10">
        <f t="shared" si="85"/>
        <v>106</v>
      </c>
      <c r="B109" s="72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63.387999999999927</v>
      </c>
      <c r="D109" s="11">
        <f t="shared" si="86"/>
        <v>18.022104085041239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628.4288736389143</v>
      </c>
      <c r="H109" s="66">
        <f t="shared" si="56"/>
        <v>435.12259794811337</v>
      </c>
      <c r="I109" s="6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0</v>
      </c>
      <c r="O109" s="13">
        <f>N109*VLOOKUP('Données projet'!$B$9,Paramètres!$A$1:$I$89,3,0)*VLOOKUP('Données projet'!$B$9,Paramètres!$A$1:$I$89,5,0)</f>
        <v>0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148.39628895278571</v>
      </c>
      <c r="T109" s="59">
        <f t="shared" si="88"/>
        <v>361.07991692964788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27.418046307672554</v>
      </c>
      <c r="AA109" s="21">
        <f>EXP(-LN(2)/25)*AA108+(1-EXP(-LN(2)/25))/(LN(2)/25)*Calculateur!V109*Calculateur!X109*VLOOKUP('Données projet'!$B$9,Paramètres!$A$1:$I$89,3,0)*0.475*44/12</f>
        <v>1.7480201638703283</v>
      </c>
      <c r="AB109" s="21">
        <f>EXP(-LN(2)/2)*AB108+(1-EXP(-LN(2)/2))/(LN(2)/2)*V109*Y109*VLOOKUP('Données projet'!$B$9,Paramètres!$A$1:$I$89,3,0)*0.475*44/12</f>
        <v>1.6357082496162509E-13</v>
      </c>
      <c r="AC109" s="22">
        <f t="shared" si="57"/>
        <v>29.166066471543047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8.2550000000000008</v>
      </c>
      <c r="AI109" s="13">
        <f>IF('Données projet'!$A$62&gt;35,AI108+AH109-AQ108,IF(A109&lt;'Données projet'!$A$62,$AF$205^A109,IF(A109='Données projet'!$A$62,'Données projet'!$B$62,AI108+AH109-AQ108)))</f>
        <v>358.52000000000021</v>
      </c>
      <c r="AJ109" s="13">
        <f>AI109*VLOOKUP('Données projet'!$B$10,Paramètres!$A$1:$I$89,3,0)*VLOOKUP('Données projet'!$B$10,Paramètres!$A$1:$I$89,5,0)</f>
        <v>357.94636800000023</v>
      </c>
      <c r="AK109" s="13">
        <f t="shared" si="89"/>
        <v>83.196606913174421</v>
      </c>
      <c r="AL109" s="20">
        <f t="shared" si="58"/>
        <v>768.32401464044585</v>
      </c>
      <c r="AM109" s="59">
        <f t="shared" si="59"/>
        <v>1061.6573479737792</v>
      </c>
      <c r="AN109" s="59">
        <f ca="1">AVERAGE(OFFSET($AM$3,0,0,'Données projet'!$E$10+1,1))-AVERAGE(OFFSET($H$3,0,0,'Données projet'!$E$10+1,1))</f>
        <v>525.29195699741149</v>
      </c>
      <c r="AO109" s="59">
        <f t="shared" si="90"/>
        <v>125.99812193007153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111.71944181169783</v>
      </c>
      <c r="AV109" s="21">
        <f>EXP(-LN(2)/25)*AV108+(1-EXP(-LN(2)/25))/(LN(2)/25)*Calculateur!AQ109*Calculateur!AS109*VLOOKUP('Données projet'!$B$10,Paramètres!$A$1:$I$89,3,0)*0.475*44/12</f>
        <v>0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111.71944181169783</v>
      </c>
      <c r="AY109" s="7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 t="e">
        <f>BD109*VLOOKUP('Données projet'!$B$11,Paramètres!$A$1:$I$89,3,0)*VLOOKUP('Données projet'!$B$11,Paramètres!$A$1:$I$89,5,0)</f>
        <v>#N/A</v>
      </c>
      <c r="BF109" s="13" t="e">
        <f t="shared" si="91"/>
        <v>#N/A</v>
      </c>
      <c r="BG109" s="20" t="e">
        <f t="shared" si="61"/>
        <v>#N/A</v>
      </c>
      <c r="BH109" s="59" t="e">
        <f t="shared" si="62"/>
        <v>#N/A</v>
      </c>
      <c r="BI109" s="59" t="e">
        <f ca="1">AVERAGE(OFFSET($BH$3,0,0,'Données projet'!$E$11+1,1))-AVERAGE(OFFSET($H$3,0,0,'Données projet'!$E$11+1,1))</f>
        <v>#N/A</v>
      </c>
      <c r="BJ109" s="59" t="e">
        <f t="shared" si="92"/>
        <v>#N/A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 t="e">
        <f>EXP(-LN(2)/35)*BP108+(1-EXP(-LN(2)/35))/(LN(2)/35)*BL109*BM109*VLOOKUP('Données projet'!$B$11,Paramètres!$A$1:$I$89,3,0)*0.475*44/12</f>
        <v>#N/A</v>
      </c>
      <c r="BQ109" s="21" t="e">
        <f>EXP(-LN(2)/25)*BQ108+(1-EXP(-LN(2)/25))/(LN(2)/25)*Calculateur!BL109*Calculateur!BN109*VLOOKUP('Données projet'!$B$11,Paramètres!$A$1:$I$89,3,0)*0.475*44/12</f>
        <v>#N/A</v>
      </c>
      <c r="BR109" s="21" t="e">
        <f>EXP(-LN(2)/2)*BR108+(1-EXP(-LN(2)/2))/(LN(2)/2)*BL109*BO109*VLOOKUP('Données projet'!$B$11,Paramètres!$A$1:$I$89,3,0)*0.475*44/12</f>
        <v>#N/A</v>
      </c>
      <c r="BS109" s="22" t="e">
        <f t="shared" si="63"/>
        <v>#N/A</v>
      </c>
      <c r="BT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">
      <c r="A110" s="10">
        <f t="shared" si="85"/>
        <v>107</v>
      </c>
      <c r="B110" s="72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63.985999999999926</v>
      </c>
      <c r="D110" s="11">
        <f t="shared" si="86"/>
        <v>18.172251427996631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634.20404611085064</v>
      </c>
      <c r="H110" s="66">
        <f t="shared" si="56"/>
        <v>436.42562123709399</v>
      </c>
      <c r="I110" s="6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0</v>
      </c>
      <c r="O110" s="13">
        <f>N110*VLOOKUP('Données projet'!$B$9,Paramètres!$A$1:$I$89,3,0)*VLOOKUP('Données projet'!$B$9,Paramètres!$A$1:$I$89,5,0)</f>
        <v>0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148.39628895278571</v>
      </c>
      <c r="T110" s="59">
        <f t="shared" si="88"/>
        <v>361.07991692964788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26.880395142936049</v>
      </c>
      <c r="AA110" s="21">
        <f>EXP(-LN(2)/25)*AA109+(1-EXP(-LN(2)/25))/(LN(2)/25)*Calculateur!V110*Calculateur!X110*VLOOKUP('Données projet'!$B$9,Paramètres!$A$1:$I$89,3,0)*0.475*44/12</f>
        <v>1.7002204605649089</v>
      </c>
      <c r="AB110" s="21">
        <f>EXP(-LN(2)/2)*AB109+(1-EXP(-LN(2)/2))/(LN(2)/2)*V110*Y110*VLOOKUP('Données projet'!$B$9,Paramètres!$A$1:$I$89,3,0)*0.475*44/12</f>
        <v>1.1566203953464289E-13</v>
      </c>
      <c r="AC110" s="22">
        <f t="shared" si="57"/>
        <v>28.580615603501077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8.2550000000000008</v>
      </c>
      <c r="AI110" s="13">
        <f>IF('Données projet'!$A$62&gt;35,AI109+AH110-AQ109,IF(A110&lt;'Données projet'!$A$62,$AF$205^A110,IF(A110='Données projet'!$A$62,'Données projet'!$B$62,AI109+AH110-AQ109)))</f>
        <v>366.7750000000002</v>
      </c>
      <c r="AJ110" s="13">
        <f>AI110*VLOOKUP('Données projet'!$B$10,Paramètres!$A$1:$I$89,3,0)*VLOOKUP('Données projet'!$B$10,Paramètres!$A$1:$I$89,5,0)</f>
        <v>366.18816000000021</v>
      </c>
      <c r="AK110" s="13">
        <f t="shared" si="89"/>
        <v>84.886999465604219</v>
      </c>
      <c r="AL110" s="20">
        <f t="shared" si="58"/>
        <v>785.62256940259431</v>
      </c>
      <c r="AM110" s="59">
        <f t="shared" si="59"/>
        <v>1078.9559027359276</v>
      </c>
      <c r="AN110" s="59">
        <f ca="1">AVERAGE(OFFSET($AM$3,0,0,'Données projet'!$E$10+1,1))-AVERAGE(OFFSET($H$3,0,0,'Données projet'!$E$10+1,1))</f>
        <v>525.29195699741149</v>
      </c>
      <c r="AO110" s="59">
        <f t="shared" si="90"/>
        <v>125.99812193007153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109.52869169990147</v>
      </c>
      <c r="AV110" s="21">
        <f>EXP(-LN(2)/25)*AV109+(1-EXP(-LN(2)/25))/(LN(2)/25)*Calculateur!AQ110*Calculateur!AS110*VLOOKUP('Données projet'!$B$10,Paramètres!$A$1:$I$89,3,0)*0.475*44/12</f>
        <v>0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109.52869169990147</v>
      </c>
      <c r="AY110" s="7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 t="e">
        <f>BD110*VLOOKUP('Données projet'!$B$11,Paramètres!$A$1:$I$89,3,0)*VLOOKUP('Données projet'!$B$11,Paramètres!$A$1:$I$89,5,0)</f>
        <v>#N/A</v>
      </c>
      <c r="BF110" s="13" t="e">
        <f t="shared" si="91"/>
        <v>#N/A</v>
      </c>
      <c r="BG110" s="20" t="e">
        <f t="shared" si="61"/>
        <v>#N/A</v>
      </c>
      <c r="BH110" s="59" t="e">
        <f t="shared" si="62"/>
        <v>#N/A</v>
      </c>
      <c r="BI110" s="59" t="e">
        <f ca="1">AVERAGE(OFFSET($BH$3,0,0,'Données projet'!$E$11+1,1))-AVERAGE(OFFSET($H$3,0,0,'Données projet'!$E$11+1,1))</f>
        <v>#N/A</v>
      </c>
      <c r="BJ110" s="59" t="e">
        <f t="shared" si="92"/>
        <v>#N/A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 t="e">
        <f>EXP(-LN(2)/35)*BP109+(1-EXP(-LN(2)/35))/(LN(2)/35)*BL110*BM110*VLOOKUP('Données projet'!$B$11,Paramètres!$A$1:$I$89,3,0)*0.475*44/12</f>
        <v>#N/A</v>
      </c>
      <c r="BQ110" s="21" t="e">
        <f>EXP(-LN(2)/25)*BQ109+(1-EXP(-LN(2)/25))/(LN(2)/25)*Calculateur!BL110*Calculateur!BN110*VLOOKUP('Données projet'!$B$11,Paramètres!$A$1:$I$89,3,0)*0.475*44/12</f>
        <v>#N/A</v>
      </c>
      <c r="BR110" s="21" t="e">
        <f>EXP(-LN(2)/2)*BR109+(1-EXP(-LN(2)/2))/(LN(2)/2)*BL110*BO110*VLOOKUP('Données projet'!$B$11,Paramètres!$A$1:$I$89,3,0)*0.475*44/12</f>
        <v>#N/A</v>
      </c>
      <c r="BS110" s="22" t="e">
        <f t="shared" si="63"/>
        <v>#N/A</v>
      </c>
      <c r="BT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">
      <c r="A111" s="10">
        <f t="shared" si="85"/>
        <v>108</v>
      </c>
      <c r="B111" s="72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64.583999999999932</v>
      </c>
      <c r="D111" s="11">
        <f t="shared" si="86"/>
        <v>18.322235519392716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639.9779583953117</v>
      </c>
      <c r="H111" s="66">
        <f t="shared" si="56"/>
        <v>437.7283601962755</v>
      </c>
      <c r="I111" s="6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0</v>
      </c>
      <c r="O111" s="13">
        <f>N111*VLOOKUP('Données projet'!$B$9,Paramètres!$A$1:$I$89,3,0)*VLOOKUP('Données projet'!$B$9,Paramètres!$A$1:$I$89,5,0)</f>
        <v>0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148.39628895278571</v>
      </c>
      <c r="T111" s="59">
        <f t="shared" si="88"/>
        <v>361.07991692964788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26.353286989605195</v>
      </c>
      <c r="AA111" s="21">
        <f>EXP(-LN(2)/25)*AA110+(1-EXP(-LN(2)/25))/(LN(2)/25)*Calculateur!V111*Calculateur!X111*VLOOKUP('Données projet'!$B$9,Paramètres!$A$1:$I$89,3,0)*0.475*44/12</f>
        <v>1.6537278426600535</v>
      </c>
      <c r="AB111" s="21">
        <f>EXP(-LN(2)/2)*AB110+(1-EXP(-LN(2)/2))/(LN(2)/2)*V111*Y111*VLOOKUP('Données projet'!$B$9,Paramètres!$A$1:$I$89,3,0)*0.475*44/12</f>
        <v>8.1785412480812543E-14</v>
      </c>
      <c r="AC111" s="22">
        <f t="shared" si="57"/>
        <v>28.00701483226533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8.2550000000000008</v>
      </c>
      <c r="AI111" s="13">
        <f>IF('Données projet'!$A$62&gt;35,AI110+AH111-AQ110,IF(A111&lt;'Données projet'!$A$62,$AF$205^A111,IF(A111='Données projet'!$A$62,'Données projet'!$B$62,AI110+AH111-AQ110)))</f>
        <v>375.0300000000002</v>
      </c>
      <c r="AJ111" s="13">
        <f>AI111*VLOOKUP('Données projet'!$B$10,Paramètres!$A$1:$I$89,3,0)*VLOOKUP('Données projet'!$B$10,Paramètres!$A$1:$I$89,5,0)</f>
        <v>374.42995200000018</v>
      </c>
      <c r="AK111" s="13">
        <f t="shared" si="89"/>
        <v>86.572968906428557</v>
      </c>
      <c r="AL111" s="20">
        <f t="shared" si="58"/>
        <v>802.91342057869667</v>
      </c>
      <c r="AM111" s="59">
        <f t="shared" si="59"/>
        <v>1096.24675391203</v>
      </c>
      <c r="AN111" s="59">
        <f ca="1">AVERAGE(OFFSET($AM$3,0,0,'Données projet'!$E$10+1,1))-AVERAGE(OFFSET($H$3,0,0,'Données projet'!$E$10+1,1))</f>
        <v>525.29195699741149</v>
      </c>
      <c r="AO111" s="59">
        <f t="shared" si="90"/>
        <v>125.99812193007153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107.3809008615718</v>
      </c>
      <c r="AV111" s="21">
        <f>EXP(-LN(2)/25)*AV110+(1-EXP(-LN(2)/25))/(LN(2)/25)*Calculateur!AQ111*Calculateur!AS111*VLOOKUP('Données projet'!$B$10,Paramètres!$A$1:$I$89,3,0)*0.475*44/12</f>
        <v>0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107.3809008615718</v>
      </c>
      <c r="AY111" s="7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 t="e">
        <f>BD111*VLOOKUP('Données projet'!$B$11,Paramètres!$A$1:$I$89,3,0)*VLOOKUP('Données projet'!$B$11,Paramètres!$A$1:$I$89,5,0)</f>
        <v>#N/A</v>
      </c>
      <c r="BF111" s="13" t="e">
        <f t="shared" si="91"/>
        <v>#N/A</v>
      </c>
      <c r="BG111" s="20" t="e">
        <f t="shared" si="61"/>
        <v>#N/A</v>
      </c>
      <c r="BH111" s="59" t="e">
        <f t="shared" si="62"/>
        <v>#N/A</v>
      </c>
      <c r="BI111" s="59" t="e">
        <f ca="1">AVERAGE(OFFSET($BH$3,0,0,'Données projet'!$E$11+1,1))-AVERAGE(OFFSET($H$3,0,0,'Données projet'!$E$11+1,1))</f>
        <v>#N/A</v>
      </c>
      <c r="BJ111" s="59" t="e">
        <f t="shared" si="92"/>
        <v>#N/A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 t="e">
        <f>EXP(-LN(2)/35)*BP110+(1-EXP(-LN(2)/35))/(LN(2)/35)*BL111*BM111*VLOOKUP('Données projet'!$B$11,Paramètres!$A$1:$I$89,3,0)*0.475*44/12</f>
        <v>#N/A</v>
      </c>
      <c r="BQ111" s="21" t="e">
        <f>EXP(-LN(2)/25)*BQ110+(1-EXP(-LN(2)/25))/(LN(2)/25)*Calculateur!BL111*Calculateur!BN111*VLOOKUP('Données projet'!$B$11,Paramètres!$A$1:$I$89,3,0)*0.475*44/12</f>
        <v>#N/A</v>
      </c>
      <c r="BR111" s="21" t="e">
        <f>EXP(-LN(2)/2)*BR110+(1-EXP(-LN(2)/2))/(LN(2)/2)*BL111*BO111*VLOOKUP('Données projet'!$B$11,Paramètres!$A$1:$I$89,3,0)*0.475*44/12</f>
        <v>#N/A</v>
      </c>
      <c r="BS111" s="22" t="e">
        <f t="shared" si="63"/>
        <v>#N/A</v>
      </c>
      <c r="BT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">
      <c r="A112" s="10">
        <f t="shared" si="85"/>
        <v>109</v>
      </c>
      <c r="B112" s="72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65.181999999999931</v>
      </c>
      <c r="D112" s="11">
        <f t="shared" si="86"/>
        <v>18.472058045906209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645.7506235122579</v>
      </c>
      <c r="H112" s="66">
        <f t="shared" si="56"/>
        <v>439.03081776328651</v>
      </c>
      <c r="I112" s="6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0</v>
      </c>
      <c r="O112" s="13">
        <f>N112*VLOOKUP('Données projet'!$B$9,Paramètres!$A$1:$I$89,3,0)*VLOOKUP('Données projet'!$B$9,Paramètres!$A$1:$I$89,5,0)</f>
        <v>0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148.39628895278571</v>
      </c>
      <c r="T112" s="59">
        <f t="shared" si="88"/>
        <v>361.07991692964788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25.836515105656932</v>
      </c>
      <c r="AA112" s="21">
        <f>EXP(-LN(2)/25)*AA111+(1-EXP(-LN(2)/25))/(LN(2)/25)*Calculateur!V112*Calculateur!X112*VLOOKUP('Données projet'!$B$9,Paramètres!$A$1:$I$89,3,0)*0.475*44/12</f>
        <v>1.6085065678367467</v>
      </c>
      <c r="AB112" s="21">
        <f>EXP(-LN(2)/2)*AB111+(1-EXP(-LN(2)/2))/(LN(2)/2)*V112*Y112*VLOOKUP('Données projet'!$B$9,Paramètres!$A$1:$I$89,3,0)*0.475*44/12</f>
        <v>5.7831019767321447E-14</v>
      </c>
      <c r="AC112" s="22">
        <f t="shared" si="57"/>
        <v>27.445021673493734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8.2550000000000008</v>
      </c>
      <c r="AI112" s="13">
        <f>IF('Données projet'!$A$62&gt;35,AI111+AH112-AQ111,IF(A112&lt;'Données projet'!$A$62,$AF$205^A112,IF(A112='Données projet'!$A$62,'Données projet'!$B$62,AI111+AH112-AQ111)))</f>
        <v>383.2850000000002</v>
      </c>
      <c r="AJ112" s="13">
        <f>AI112*VLOOKUP('Données projet'!$B$10,Paramètres!$A$1:$I$89,3,0)*VLOOKUP('Données projet'!$B$10,Paramètres!$A$1:$I$89,5,0)</f>
        <v>382.67174400000022</v>
      </c>
      <c r="AK112" s="13">
        <f t="shared" si="89"/>
        <v>88.254623806538291</v>
      </c>
      <c r="AL112" s="20">
        <f t="shared" si="58"/>
        <v>820.19675726305456</v>
      </c>
      <c r="AM112" s="59">
        <f t="shared" si="59"/>
        <v>1113.5300905963879</v>
      </c>
      <c r="AN112" s="59">
        <f ca="1">AVERAGE(OFFSET($AM$3,0,0,'Données projet'!$E$10+1,1))-AVERAGE(OFFSET($H$3,0,0,'Données projet'!$E$10+1,1))</f>
        <v>525.29195699741149</v>
      </c>
      <c r="AO112" s="59">
        <f t="shared" si="90"/>
        <v>125.99812193007153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105.27522689155873</v>
      </c>
      <c r="AV112" s="21">
        <f>EXP(-LN(2)/25)*AV111+(1-EXP(-LN(2)/25))/(LN(2)/25)*Calculateur!AQ112*Calculateur!AS112*VLOOKUP('Données projet'!$B$10,Paramètres!$A$1:$I$89,3,0)*0.475*44/12</f>
        <v>0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105.27522689155873</v>
      </c>
      <c r="AY112" s="7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 t="e">
        <f>BD112*VLOOKUP('Données projet'!$B$11,Paramètres!$A$1:$I$89,3,0)*VLOOKUP('Données projet'!$B$11,Paramètres!$A$1:$I$89,5,0)</f>
        <v>#N/A</v>
      </c>
      <c r="BF112" s="13" t="e">
        <f t="shared" si="91"/>
        <v>#N/A</v>
      </c>
      <c r="BG112" s="20" t="e">
        <f t="shared" si="61"/>
        <v>#N/A</v>
      </c>
      <c r="BH112" s="59" t="e">
        <f t="shared" si="62"/>
        <v>#N/A</v>
      </c>
      <c r="BI112" s="59" t="e">
        <f ca="1">AVERAGE(OFFSET($BH$3,0,0,'Données projet'!$E$11+1,1))-AVERAGE(OFFSET($H$3,0,0,'Données projet'!$E$11+1,1))</f>
        <v>#N/A</v>
      </c>
      <c r="BJ112" s="59" t="e">
        <f t="shared" si="92"/>
        <v>#N/A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 t="e">
        <f>EXP(-LN(2)/35)*BP111+(1-EXP(-LN(2)/35))/(LN(2)/35)*BL112*BM112*VLOOKUP('Données projet'!$B$11,Paramètres!$A$1:$I$89,3,0)*0.475*44/12</f>
        <v>#N/A</v>
      </c>
      <c r="BQ112" s="21" t="e">
        <f>EXP(-LN(2)/25)*BQ111+(1-EXP(-LN(2)/25))/(LN(2)/25)*Calculateur!BL112*Calculateur!BN112*VLOOKUP('Données projet'!$B$11,Paramètres!$A$1:$I$89,3,0)*0.475*44/12</f>
        <v>#N/A</v>
      </c>
      <c r="BR112" s="21" t="e">
        <f>EXP(-LN(2)/2)*BR111+(1-EXP(-LN(2)/2))/(LN(2)/2)*BL112*BO112*VLOOKUP('Données projet'!$B$11,Paramètres!$A$1:$I$89,3,0)*0.475*44/12</f>
        <v>#N/A</v>
      </c>
      <c r="BS112" s="22" t="e">
        <f t="shared" si="63"/>
        <v>#N/A</v>
      </c>
      <c r="BT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">
      <c r="A113" s="10">
        <f t="shared" si="85"/>
        <v>110</v>
      </c>
      <c r="B113" s="72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65.77999999999993</v>
      </c>
      <c r="D113" s="11">
        <f t="shared" si="86"/>
        <v>18.621720661480627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651.52205422897271</v>
      </c>
      <c r="H113" s="66">
        <f t="shared" si="56"/>
        <v>440.3329968187453</v>
      </c>
      <c r="I113" s="6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0</v>
      </c>
      <c r="O113" s="13">
        <f>N113*VLOOKUP('Données projet'!$B$9,Paramètres!$A$1:$I$89,3,0)*VLOOKUP('Données projet'!$B$9,Paramètres!$A$1:$I$89,5,0)</f>
        <v>0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148.39628895278571</v>
      </c>
      <c r="T113" s="59">
        <f t="shared" si="88"/>
        <v>361.07991692964788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25.329876803153169</v>
      </c>
      <c r="AA113" s="21">
        <f>EXP(-LN(2)/25)*AA112+(1-EXP(-LN(2)/25))/(LN(2)/25)*Calculateur!V113*Calculateur!X113*VLOOKUP('Données projet'!$B$9,Paramètres!$A$1:$I$89,3,0)*0.475*44/12</f>
        <v>1.5645218711515667</v>
      </c>
      <c r="AB113" s="21">
        <f>EXP(-LN(2)/2)*AB112+(1-EXP(-LN(2)/2))/(LN(2)/2)*V113*Y113*VLOOKUP('Données projet'!$B$9,Paramètres!$A$1:$I$89,3,0)*0.475*44/12</f>
        <v>4.0892706240406271E-14</v>
      </c>
      <c r="AC113" s="22">
        <f t="shared" si="57"/>
        <v>26.894398674304778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8.2550000000000008</v>
      </c>
      <c r="AI113" s="13">
        <f>IF('Données projet'!$A$62&gt;35,AI112+AH113-AQ112,IF(A113&lt;'Données projet'!$A$62,$AF$205^A113,IF(A113='Données projet'!$A$62,'Données projet'!$B$62,AI112+AH113-AQ112)))</f>
        <v>391.54000000000019</v>
      </c>
      <c r="AJ113" s="13">
        <f>AI113*VLOOKUP('Données projet'!$B$10,Paramètres!$A$1:$I$89,3,0)*VLOOKUP('Données projet'!$B$10,Paramètres!$A$1:$I$89,5,0)</f>
        <v>390.91353600000025</v>
      </c>
      <c r="AK113" s="13">
        <f t="shared" si="89"/>
        <v>89.932067793000158</v>
      </c>
      <c r="AL113" s="20">
        <f t="shared" si="58"/>
        <v>837.47275993947562</v>
      </c>
      <c r="AM113" s="59">
        <f t="shared" si="59"/>
        <v>1130.806093272809</v>
      </c>
      <c r="AN113" s="59">
        <f ca="1">AVERAGE(OFFSET($AM$3,0,0,'Données projet'!$E$10+1,1))-AVERAGE(OFFSET($H$3,0,0,'Données projet'!$E$10+1,1))</f>
        <v>525.29195699741149</v>
      </c>
      <c r="AO113" s="59">
        <f t="shared" si="90"/>
        <v>125.99812193007153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103.2108439037633</v>
      </c>
      <c r="AV113" s="21">
        <f>EXP(-LN(2)/25)*AV112+(1-EXP(-LN(2)/25))/(LN(2)/25)*Calculateur!AQ113*Calculateur!AS113*VLOOKUP('Données projet'!$B$10,Paramètres!$A$1:$I$89,3,0)*0.475*44/12</f>
        <v>0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103.2108439037633</v>
      </c>
      <c r="AY113" s="7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 t="e">
        <f>BD113*VLOOKUP('Données projet'!$B$11,Paramètres!$A$1:$I$89,3,0)*VLOOKUP('Données projet'!$B$11,Paramètres!$A$1:$I$89,5,0)</f>
        <v>#N/A</v>
      </c>
      <c r="BF113" s="13" t="e">
        <f t="shared" si="91"/>
        <v>#N/A</v>
      </c>
      <c r="BG113" s="20" t="e">
        <f t="shared" si="61"/>
        <v>#N/A</v>
      </c>
      <c r="BH113" s="59" t="e">
        <f t="shared" si="62"/>
        <v>#N/A</v>
      </c>
      <c r="BI113" s="59" t="e">
        <f ca="1">AVERAGE(OFFSET($BH$3,0,0,'Données projet'!$E$11+1,1))-AVERAGE(OFFSET($H$3,0,0,'Données projet'!$E$11+1,1))</f>
        <v>#N/A</v>
      </c>
      <c r="BJ113" s="59" t="e">
        <f t="shared" si="92"/>
        <v>#N/A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 t="e">
        <f>EXP(-LN(2)/35)*BP112+(1-EXP(-LN(2)/35))/(LN(2)/35)*BL113*BM113*VLOOKUP('Données projet'!$B$11,Paramètres!$A$1:$I$89,3,0)*0.475*44/12</f>
        <v>#N/A</v>
      </c>
      <c r="BQ113" s="21" t="e">
        <f>EXP(-LN(2)/25)*BQ112+(1-EXP(-LN(2)/25))/(LN(2)/25)*Calculateur!BL113*Calculateur!BN113*VLOOKUP('Données projet'!$B$11,Paramètres!$A$1:$I$89,3,0)*0.475*44/12</f>
        <v>#N/A</v>
      </c>
      <c r="BR113" s="21" t="e">
        <f>EXP(-LN(2)/2)*BR112+(1-EXP(-LN(2)/2))/(LN(2)/2)*BL113*BO113*VLOOKUP('Données projet'!$B$11,Paramètres!$A$1:$I$89,3,0)*0.475*44/12</f>
        <v>#N/A</v>
      </c>
      <c r="BS113" s="22" t="e">
        <f t="shared" si="63"/>
        <v>#N/A</v>
      </c>
      <c r="BT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">
      <c r="A114" s="10">
        <f t="shared" si="85"/>
        <v>111</v>
      </c>
      <c r="B114" s="72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66.377999999999929</v>
      </c>
      <c r="D114" s="11">
        <f t="shared" si="86"/>
        <v>18.771224988253078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657.29226306721625</v>
      </c>
      <c r="H114" s="66">
        <f t="shared" si="56"/>
        <v>441.634900187874</v>
      </c>
      <c r="I114" s="6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0</v>
      </c>
      <c r="O114" s="13">
        <f>N114*VLOOKUP('Données projet'!$B$9,Paramètres!$A$1:$I$89,3,0)*VLOOKUP('Données projet'!$B$9,Paramètres!$A$1:$I$89,5,0)</f>
        <v>0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148.39628895278571</v>
      </c>
      <c r="T114" s="59">
        <f t="shared" si="88"/>
        <v>361.07991692964788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24.833173368742653</v>
      </c>
      <c r="AA114" s="21">
        <f>EXP(-LN(2)/25)*AA113+(1-EXP(-LN(2)/25))/(LN(2)/25)*Calculateur!V114*Calculateur!X114*VLOOKUP('Données projet'!$B$9,Paramètres!$A$1:$I$89,3,0)*0.475*44/12</f>
        <v>1.5217399383102976</v>
      </c>
      <c r="AB114" s="21">
        <f>EXP(-LN(2)/2)*AB113+(1-EXP(-LN(2)/2))/(LN(2)/2)*V114*Y114*VLOOKUP('Données projet'!$B$9,Paramètres!$A$1:$I$89,3,0)*0.475*44/12</f>
        <v>2.8915509883660724E-14</v>
      </c>
      <c r="AC114" s="22">
        <f t="shared" si="57"/>
        <v>26.354913307052978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8.2550000000000008</v>
      </c>
      <c r="AI114" s="13">
        <f>IF('Données projet'!$A$62&gt;35,AI113+AH114-AQ113,IF(A114&lt;'Données projet'!$A$62,$AF$205^A114,IF(A114='Données projet'!$A$62,'Données projet'!$B$62,AI113+AH114-AQ113)))</f>
        <v>399.79500000000019</v>
      </c>
      <c r="AJ114" s="13">
        <f>AI114*VLOOKUP('Données projet'!$B$10,Paramètres!$A$1:$I$89,3,0)*VLOOKUP('Données projet'!$B$10,Paramètres!$A$1:$I$89,5,0)</f>
        <v>399.15532800000022</v>
      </c>
      <c r="AK114" s="13">
        <f t="shared" si="89"/>
        <v>91.605399873585526</v>
      </c>
      <c r="AL114" s="20">
        <f t="shared" si="58"/>
        <v>854.74160104649525</v>
      </c>
      <c r="AM114" s="59">
        <f t="shared" si="59"/>
        <v>1148.0749343798286</v>
      </c>
      <c r="AN114" s="59">
        <f ca="1">AVERAGE(OFFSET($AM$3,0,0,'Données projet'!$E$10+1,1))-AVERAGE(OFFSET($H$3,0,0,'Données projet'!$E$10+1,1))</f>
        <v>525.29195699741149</v>
      </c>
      <c r="AO114" s="59">
        <f t="shared" si="90"/>
        <v>125.99812193007153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101.18694220720926</v>
      </c>
      <c r="AV114" s="21">
        <f>EXP(-LN(2)/25)*AV113+(1-EXP(-LN(2)/25))/(LN(2)/25)*Calculateur!AQ114*Calculateur!AS114*VLOOKUP('Données projet'!$B$10,Paramètres!$A$1:$I$89,3,0)*0.475*44/12</f>
        <v>0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101.18694220720926</v>
      </c>
      <c r="AY114" s="7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 t="e">
        <f>BD114*VLOOKUP('Données projet'!$B$11,Paramètres!$A$1:$I$89,3,0)*VLOOKUP('Données projet'!$B$11,Paramètres!$A$1:$I$89,5,0)</f>
        <v>#N/A</v>
      </c>
      <c r="BF114" s="13" t="e">
        <f t="shared" si="91"/>
        <v>#N/A</v>
      </c>
      <c r="BG114" s="20" t="e">
        <f t="shared" si="61"/>
        <v>#N/A</v>
      </c>
      <c r="BH114" s="59" t="e">
        <f t="shared" si="62"/>
        <v>#N/A</v>
      </c>
      <c r="BI114" s="59" t="e">
        <f ca="1">AVERAGE(OFFSET($BH$3,0,0,'Données projet'!$E$11+1,1))-AVERAGE(OFFSET($H$3,0,0,'Données projet'!$E$11+1,1))</f>
        <v>#N/A</v>
      </c>
      <c r="BJ114" s="59" t="e">
        <f t="shared" si="92"/>
        <v>#N/A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 t="e">
        <f>EXP(-LN(2)/35)*BP113+(1-EXP(-LN(2)/35))/(LN(2)/35)*BL114*BM114*VLOOKUP('Données projet'!$B$11,Paramètres!$A$1:$I$89,3,0)*0.475*44/12</f>
        <v>#N/A</v>
      </c>
      <c r="BQ114" s="21" t="e">
        <f>EXP(-LN(2)/25)*BQ113+(1-EXP(-LN(2)/25))/(LN(2)/25)*Calculateur!BL114*Calculateur!BN114*VLOOKUP('Données projet'!$B$11,Paramètres!$A$1:$I$89,3,0)*0.475*44/12</f>
        <v>#N/A</v>
      </c>
      <c r="BR114" s="21" t="e">
        <f>EXP(-LN(2)/2)*BR113+(1-EXP(-LN(2)/2))/(LN(2)/2)*BL114*BO114*VLOOKUP('Données projet'!$B$11,Paramètres!$A$1:$I$89,3,0)*0.475*44/12</f>
        <v>#N/A</v>
      </c>
      <c r="BS114" s="22" t="e">
        <f t="shared" si="63"/>
        <v>#N/A</v>
      </c>
      <c r="BT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">
      <c r="A115" s="10">
        <f t="shared" si="85"/>
        <v>112</v>
      </c>
      <c r="B115" s="72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66.975999999999928</v>
      </c>
      <c r="D115" s="11">
        <f t="shared" si="86"/>
        <v>18.92057261744694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663.06126231011615</v>
      </c>
      <c r="H115" s="66">
        <f t="shared" si="56"/>
        <v>442.9365306420533</v>
      </c>
      <c r="I115" s="6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0</v>
      </c>
      <c r="O115" s="13">
        <f>N115*VLOOKUP('Données projet'!$B$9,Paramètres!$A$1:$I$89,3,0)*VLOOKUP('Données projet'!$B$9,Paramètres!$A$1:$I$89,5,0)</f>
        <v>0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148.39628895278571</v>
      </c>
      <c r="T115" s="59">
        <f t="shared" si="88"/>
        <v>361.07991692964788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24.34620998572175</v>
      </c>
      <c r="AA115" s="21">
        <f>EXP(-LN(2)/25)*AA114+(1-EXP(-LN(2)/25))/(LN(2)/25)*Calculateur!V115*Calculateur!X115*VLOOKUP('Données projet'!$B$9,Paramètres!$A$1:$I$89,3,0)*0.475*44/12</f>
        <v>1.4801278796723771</v>
      </c>
      <c r="AB115" s="21">
        <f>EXP(-LN(2)/2)*AB114+(1-EXP(-LN(2)/2))/(LN(2)/2)*V115*Y115*VLOOKUP('Données projet'!$B$9,Paramètres!$A$1:$I$89,3,0)*0.475*44/12</f>
        <v>2.0446353120203136E-14</v>
      </c>
      <c r="AC115" s="22">
        <f t="shared" si="57"/>
        <v>25.826337865394148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8.2550000000000008</v>
      </c>
      <c r="AI115" s="13">
        <f>IF('Données projet'!$A$62&gt;35,AI114+AH115-AQ114,IF(A115&lt;'Données projet'!$A$62,$AF$205^A115,IF(A115='Données projet'!$A$62,'Données projet'!$B$62,AI114+AH115-AQ114)))</f>
        <v>408.05000000000018</v>
      </c>
      <c r="AJ115" s="13">
        <f>AI115*VLOOKUP('Données projet'!$B$10,Paramètres!$A$1:$I$89,3,0)*VLOOKUP('Données projet'!$B$10,Paramètres!$A$1:$I$89,5,0)</f>
        <v>407.39712000000014</v>
      </c>
      <c r="AK115" s="13">
        <f t="shared" si="89"/>
        <v>93.274714733738875</v>
      </c>
      <c r="AL115" s="20">
        <f t="shared" si="58"/>
        <v>872.00344549459544</v>
      </c>
      <c r="AM115" s="59">
        <f t="shared" si="59"/>
        <v>1165.3367788279288</v>
      </c>
      <c r="AN115" s="59">
        <f ca="1">AVERAGE(OFFSET($AM$3,0,0,'Données projet'!$E$10+1,1))-AVERAGE(OFFSET($H$3,0,0,'Données projet'!$E$10+1,1))</f>
        <v>525.29195699741149</v>
      </c>
      <c r="AO115" s="59">
        <f t="shared" si="90"/>
        <v>125.99812193007153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99.202727988466492</v>
      </c>
      <c r="AV115" s="21">
        <f>EXP(-LN(2)/25)*AV114+(1-EXP(-LN(2)/25))/(LN(2)/25)*Calculateur!AQ115*Calculateur!AS115*VLOOKUP('Données projet'!$B$10,Paramètres!$A$1:$I$89,3,0)*0.475*44/12</f>
        <v>0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99.202727988466492</v>
      </c>
      <c r="AY115" s="7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 t="e">
        <f>BD115*VLOOKUP('Données projet'!$B$11,Paramètres!$A$1:$I$89,3,0)*VLOOKUP('Données projet'!$B$11,Paramètres!$A$1:$I$89,5,0)</f>
        <v>#N/A</v>
      </c>
      <c r="BF115" s="13" t="e">
        <f t="shared" si="91"/>
        <v>#N/A</v>
      </c>
      <c r="BG115" s="20" t="e">
        <f t="shared" si="61"/>
        <v>#N/A</v>
      </c>
      <c r="BH115" s="59" t="e">
        <f t="shared" si="62"/>
        <v>#N/A</v>
      </c>
      <c r="BI115" s="59" t="e">
        <f ca="1">AVERAGE(OFFSET($BH$3,0,0,'Données projet'!$E$11+1,1))-AVERAGE(OFFSET($H$3,0,0,'Données projet'!$E$11+1,1))</f>
        <v>#N/A</v>
      </c>
      <c r="BJ115" s="59" t="e">
        <f t="shared" si="92"/>
        <v>#N/A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 t="e">
        <f>EXP(-LN(2)/35)*BP114+(1-EXP(-LN(2)/35))/(LN(2)/35)*BL115*BM115*VLOOKUP('Données projet'!$B$11,Paramètres!$A$1:$I$89,3,0)*0.475*44/12</f>
        <v>#N/A</v>
      </c>
      <c r="BQ115" s="21" t="e">
        <f>EXP(-LN(2)/25)*BQ114+(1-EXP(-LN(2)/25))/(LN(2)/25)*Calculateur!BL115*Calculateur!BN115*VLOOKUP('Données projet'!$B$11,Paramètres!$A$1:$I$89,3,0)*0.475*44/12</f>
        <v>#N/A</v>
      </c>
      <c r="BR115" s="21" t="e">
        <f>EXP(-LN(2)/2)*BR114+(1-EXP(-LN(2)/2))/(LN(2)/2)*BL115*BO115*VLOOKUP('Données projet'!$B$11,Paramètres!$A$1:$I$89,3,0)*0.475*44/12</f>
        <v>#N/A</v>
      </c>
      <c r="BS115" s="22" t="e">
        <f t="shared" si="63"/>
        <v>#N/A</v>
      </c>
      <c r="BT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">
      <c r="A116" s="10">
        <f t="shared" si="85"/>
        <v>113</v>
      </c>
      <c r="B116" s="72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67.573999999999927</v>
      </c>
      <c r="D116" s="11">
        <f t="shared" si="86"/>
        <v>19.069765110231589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668.82906400880472</v>
      </c>
      <c r="H116" s="66">
        <f t="shared" si="56"/>
        <v>444.23789090031983</v>
      </c>
      <c r="I116" s="6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0</v>
      </c>
      <c r="O116" s="13">
        <f>N116*VLOOKUP('Données projet'!$B$9,Paramètres!$A$1:$I$89,3,0)*VLOOKUP('Données projet'!$B$9,Paramètres!$A$1:$I$89,5,0)</f>
        <v>0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148.39628895278571</v>
      </c>
      <c r="T116" s="59">
        <f t="shared" si="88"/>
        <v>361.07991692964788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23.868795657623551</v>
      </c>
      <c r="AA116" s="21">
        <f>EXP(-LN(2)/25)*AA115+(1-EXP(-LN(2)/25))/(LN(2)/25)*Calculateur!V116*Calculateur!X116*VLOOKUP('Données projet'!$B$9,Paramètres!$A$1:$I$89,3,0)*0.475*44/12</f>
        <v>1.4396537049661937</v>
      </c>
      <c r="AB116" s="21">
        <f>EXP(-LN(2)/2)*AB115+(1-EXP(-LN(2)/2))/(LN(2)/2)*V116*Y116*VLOOKUP('Données projet'!$B$9,Paramètres!$A$1:$I$89,3,0)*0.475*44/12</f>
        <v>1.4457754941830362E-14</v>
      </c>
      <c r="AC116" s="22">
        <f t="shared" si="57"/>
        <v>25.308449362589759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8.2550000000000008</v>
      </c>
      <c r="AI116" s="13">
        <f>IF('Données projet'!$A$62&gt;35,AI115+AH116-AQ115,IF(A116&lt;'Données projet'!$A$62,$AF$205^A116,IF(A116='Données projet'!$A$62,'Données projet'!$B$62,AI115+AH116-AQ115)))</f>
        <v>416.30500000000018</v>
      </c>
      <c r="AJ116" s="13">
        <f>AI116*VLOOKUP('Données projet'!$B$10,Paramètres!$A$1:$I$89,3,0)*VLOOKUP('Données projet'!$B$10,Paramètres!$A$1:$I$89,5,0)</f>
        <v>415.63891200000023</v>
      </c>
      <c r="AK116" s="13">
        <f t="shared" si="89"/>
        <v>94.940103008837056</v>
      </c>
      <c r="AL116" s="20">
        <f t="shared" si="58"/>
        <v>889.25845114039157</v>
      </c>
      <c r="AM116" s="59">
        <f t="shared" si="59"/>
        <v>1182.5917844737248</v>
      </c>
      <c r="AN116" s="59">
        <f ca="1">AVERAGE(OFFSET($AM$3,0,0,'Données projet'!$E$10+1,1))-AVERAGE(OFFSET($H$3,0,0,'Données projet'!$E$10+1,1))</f>
        <v>525.29195699741149</v>
      </c>
      <c r="AO116" s="59">
        <f t="shared" si="90"/>
        <v>125.99812193007153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97.257423000302097</v>
      </c>
      <c r="AV116" s="21">
        <f>EXP(-LN(2)/25)*AV115+(1-EXP(-LN(2)/25))/(LN(2)/25)*Calculateur!AQ116*Calculateur!AS116*VLOOKUP('Données projet'!$B$10,Paramètres!$A$1:$I$89,3,0)*0.475*44/12</f>
        <v>0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97.257423000302097</v>
      </c>
      <c r="AY116" s="7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 t="e">
        <f>BD116*VLOOKUP('Données projet'!$B$11,Paramètres!$A$1:$I$89,3,0)*VLOOKUP('Données projet'!$B$11,Paramètres!$A$1:$I$89,5,0)</f>
        <v>#N/A</v>
      </c>
      <c r="BF116" s="13" t="e">
        <f t="shared" si="91"/>
        <v>#N/A</v>
      </c>
      <c r="BG116" s="20" t="e">
        <f t="shared" si="61"/>
        <v>#N/A</v>
      </c>
      <c r="BH116" s="59" t="e">
        <f t="shared" si="62"/>
        <v>#N/A</v>
      </c>
      <c r="BI116" s="59" t="e">
        <f ca="1">AVERAGE(OFFSET($BH$3,0,0,'Données projet'!$E$11+1,1))-AVERAGE(OFFSET($H$3,0,0,'Données projet'!$E$11+1,1))</f>
        <v>#N/A</v>
      </c>
      <c r="BJ116" s="59" t="e">
        <f t="shared" si="92"/>
        <v>#N/A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 t="e">
        <f>EXP(-LN(2)/35)*BP115+(1-EXP(-LN(2)/35))/(LN(2)/35)*BL116*BM116*VLOOKUP('Données projet'!$B$11,Paramètres!$A$1:$I$89,3,0)*0.475*44/12</f>
        <v>#N/A</v>
      </c>
      <c r="BQ116" s="21" t="e">
        <f>EXP(-LN(2)/25)*BQ115+(1-EXP(-LN(2)/25))/(LN(2)/25)*Calculateur!BL116*Calculateur!BN116*VLOOKUP('Données projet'!$B$11,Paramètres!$A$1:$I$89,3,0)*0.475*44/12</f>
        <v>#N/A</v>
      </c>
      <c r="BR116" s="21" t="e">
        <f>EXP(-LN(2)/2)*BR115+(1-EXP(-LN(2)/2))/(LN(2)/2)*BL116*BO116*VLOOKUP('Données projet'!$B$11,Paramètres!$A$1:$I$89,3,0)*0.475*44/12</f>
        <v>#N/A</v>
      </c>
      <c r="BS116" s="22" t="e">
        <f t="shared" si="63"/>
        <v>#N/A</v>
      </c>
      <c r="BT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">
      <c r="A117" s="10">
        <f t="shared" si="85"/>
        <v>114</v>
      </c>
      <c r="B117" s="72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68.171999999999926</v>
      </c>
      <c r="D117" s="11">
        <f t="shared" si="86"/>
        <v>19.218803998550822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674.59567998881278</v>
      </c>
      <c r="H117" s="66">
        <f t="shared" si="56"/>
        <v>445.53898363080918</v>
      </c>
      <c r="I117" s="6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0</v>
      </c>
      <c r="O117" s="13">
        <f>N117*VLOOKUP('Données projet'!$B$9,Paramètres!$A$1:$I$89,3,0)*VLOOKUP('Données projet'!$B$9,Paramètres!$A$1:$I$89,5,0)</f>
        <v>0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148.39628895278571</v>
      </c>
      <c r="T117" s="59">
        <f t="shared" si="88"/>
        <v>361.07991692964788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23.400743133305369</v>
      </c>
      <c r="AA117" s="21">
        <f>EXP(-LN(2)/25)*AA116+(1-EXP(-LN(2)/25))/(LN(2)/25)*Calculateur!V117*Calculateur!X117*VLOOKUP('Données projet'!$B$9,Paramètres!$A$1:$I$89,3,0)*0.475*44/12</f>
        <v>1.4002862986957951</v>
      </c>
      <c r="AB117" s="21">
        <f>EXP(-LN(2)/2)*AB116+(1-EXP(-LN(2)/2))/(LN(2)/2)*V117*Y117*VLOOKUP('Données projet'!$B$9,Paramètres!$A$1:$I$89,3,0)*0.475*44/12</f>
        <v>1.0223176560101568E-14</v>
      </c>
      <c r="AC117" s="22">
        <f t="shared" si="57"/>
        <v>24.801029432001176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>
        <f>VLOOKUP(A117,'Données projet'!$A$61:$I$81,2,0)</f>
        <v>424.56</v>
      </c>
      <c r="AG117" s="12">
        <f>VLOOKUP(A117,'Données projet'!$A$61:$I$81,9,0)</f>
        <v>8.2550000000000008</v>
      </c>
      <c r="AH117" s="12">
        <f t="array" ref="AH117">INDEX(AG:AG,MIN(IF(ISNUMBER(AG117:AG313),ROW(AG117:AG313),"")))</f>
        <v>8.2550000000000008</v>
      </c>
      <c r="AI117" s="13">
        <f>IF('Données projet'!$A$62&gt;35,AI116+AH117-AQ116,IF(A117&lt;'Données projet'!$A$62,$AF$205^A117,IF(A117='Données projet'!$A$62,'Données projet'!$B$62,AI116+AH117-AQ116)))</f>
        <v>424.56000000000017</v>
      </c>
      <c r="AJ117" s="13">
        <f>AI117*VLOOKUP('Données projet'!$B$10,Paramètres!$A$1:$I$89,3,0)*VLOOKUP('Données projet'!$B$10,Paramètres!$A$1:$I$89,5,0)</f>
        <v>423.88070400000015</v>
      </c>
      <c r="AK117" s="13">
        <f t="shared" si="89"/>
        <v>96.601651534242507</v>
      </c>
      <c r="AL117" s="20">
        <f t="shared" si="58"/>
        <v>906.50676922213916</v>
      </c>
      <c r="AM117" s="59">
        <f t="shared" si="59"/>
        <v>1199.8401025554724</v>
      </c>
      <c r="AN117" s="59">
        <f ca="1">AVERAGE(OFFSET($AM$3,0,0,'Données projet'!$E$10+1,1))-AVERAGE(OFFSET($H$3,0,0,'Données projet'!$E$10+1,1))</f>
        <v>525.29195699741149</v>
      </c>
      <c r="AO117" s="59">
        <f t="shared" si="90"/>
        <v>125.99812193007153</v>
      </c>
      <c r="AP117" s="15">
        <f>IF(ISNA(VLOOKUP(A117,'Données projet'!$A$61:$I$81,3,0)),0,VLOOKUP(A117,'Données projet'!$A$61:$I$81,3,0))</f>
        <v>9</v>
      </c>
      <c r="AQ117" s="15">
        <f>IF(ISNA(VLOOKUP(A117,'Données projet'!$A$61:$I$81,4,0)),0,VLOOKUP(A117,'Données projet'!$A$61:$I$81,4,0))</f>
        <v>56.07</v>
      </c>
      <c r="AR117" s="16">
        <f>IF(ISNA(VLOOKUP(A117,'Données projet'!$A$61:$I$81,5,0)),0%,VLOOKUP(A117,'Données projet'!$A$61:$I$81,5,0)*VLOOKUP('Données projet'!$B$10,Paramètres!$A$1:$I$89,7,0))</f>
        <v>0.43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121.96062085177799</v>
      </c>
      <c r="AV117" s="21">
        <f>EXP(-LN(2)/25)*AV116+(1-EXP(-LN(2)/25))/(LN(2)/25)*Calculateur!AQ117*Calculateur!AS117*VLOOKUP('Données projet'!$B$10,Paramètres!$A$1:$I$89,3,0)*0.475*44/12</f>
        <v>0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121.96062085177799</v>
      </c>
      <c r="AY117" s="7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 t="e">
        <f>BD117*VLOOKUP('Données projet'!$B$11,Paramètres!$A$1:$I$89,3,0)*VLOOKUP('Données projet'!$B$11,Paramètres!$A$1:$I$89,5,0)</f>
        <v>#N/A</v>
      </c>
      <c r="BF117" s="13" t="e">
        <f t="shared" si="91"/>
        <v>#N/A</v>
      </c>
      <c r="BG117" s="20" t="e">
        <f t="shared" si="61"/>
        <v>#N/A</v>
      </c>
      <c r="BH117" s="59" t="e">
        <f t="shared" si="62"/>
        <v>#N/A</v>
      </c>
      <c r="BI117" s="59" t="e">
        <f ca="1">AVERAGE(OFFSET($BH$3,0,0,'Données projet'!$E$11+1,1))-AVERAGE(OFFSET($H$3,0,0,'Données projet'!$E$11+1,1))</f>
        <v>#N/A</v>
      </c>
      <c r="BJ117" s="59" t="e">
        <f t="shared" si="92"/>
        <v>#N/A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 t="e">
        <f>EXP(-LN(2)/35)*BP116+(1-EXP(-LN(2)/35))/(LN(2)/35)*BL117*BM117*VLOOKUP('Données projet'!$B$11,Paramètres!$A$1:$I$89,3,0)*0.475*44/12</f>
        <v>#N/A</v>
      </c>
      <c r="BQ117" s="21" t="e">
        <f>EXP(-LN(2)/25)*BQ116+(1-EXP(-LN(2)/25))/(LN(2)/25)*Calculateur!BL117*Calculateur!BN117*VLOOKUP('Données projet'!$B$11,Paramètres!$A$1:$I$89,3,0)*0.475*44/12</f>
        <v>#N/A</v>
      </c>
      <c r="BR117" s="21" t="e">
        <f>EXP(-LN(2)/2)*BR116+(1-EXP(-LN(2)/2))/(LN(2)/2)*BL117*BO117*VLOOKUP('Données projet'!$B$11,Paramètres!$A$1:$I$89,3,0)*0.475*44/12</f>
        <v>#N/A</v>
      </c>
      <c r="BS117" s="22" t="e">
        <f t="shared" si="63"/>
        <v>#N/A</v>
      </c>
      <c r="BT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">
      <c r="A118" s="10">
        <f t="shared" si="85"/>
        <v>115</v>
      </c>
      <c r="B118" s="72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68.769999999999925</v>
      </c>
      <c r="D118" s="11">
        <f t="shared" si="86"/>
        <v>19.367690785921507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680.36112185623563</v>
      </c>
      <c r="H118" s="66">
        <f t="shared" si="56"/>
        <v>446.83981145214648</v>
      </c>
      <c r="I118" s="6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0</v>
      </c>
      <c r="O118" s="13">
        <f>N118*VLOOKUP('Données projet'!$B$9,Paramètres!$A$1:$I$89,3,0)*VLOOKUP('Données projet'!$B$9,Paramètres!$A$1:$I$89,5,0)</f>
        <v>0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148.39628895278571</v>
      </c>
      <c r="T118" s="59">
        <f t="shared" si="88"/>
        <v>361.07991692964788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22.941868833505215</v>
      </c>
      <c r="AA118" s="21">
        <f>EXP(-LN(2)/25)*AA117+(1-EXP(-LN(2)/25))/(LN(2)/25)*Calculateur!V118*Calculateur!X118*VLOOKUP('Données projet'!$B$9,Paramètres!$A$1:$I$89,3,0)*0.475*44/12</f>
        <v>1.3619953962201026</v>
      </c>
      <c r="AB118" s="21">
        <f>EXP(-LN(2)/2)*AB117+(1-EXP(-LN(2)/2))/(LN(2)/2)*V118*Y118*VLOOKUP('Données projet'!$B$9,Paramètres!$A$1:$I$89,3,0)*0.475*44/12</f>
        <v>7.2288774709151809E-15</v>
      </c>
      <c r="AC118" s="22">
        <f t="shared" si="57"/>
        <v>24.303864229725324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8.3369999999999997</v>
      </c>
      <c r="AI118" s="13">
        <f>IF('Données projet'!$A$62&gt;35,AI117+AH118-AQ117,IF(A118&lt;'Données projet'!$A$62,$AF$205^A118,IF(A118='Données projet'!$A$62,'Données projet'!$B$62,AI117+AH118-AQ117)))</f>
        <v>376.82700000000017</v>
      </c>
      <c r="AJ118" s="13">
        <f>AI118*VLOOKUP('Données projet'!$B$10,Paramètres!$A$1:$I$89,3,0)*VLOOKUP('Données projet'!$B$10,Paramètres!$A$1:$I$89,5,0)</f>
        <v>376.22407680000015</v>
      </c>
      <c r="AK118" s="13">
        <f t="shared" si="89"/>
        <v>86.939405782209406</v>
      </c>
      <c r="AL118" s="20">
        <f t="shared" si="58"/>
        <v>806.67639883068159</v>
      </c>
      <c r="AM118" s="59">
        <f t="shared" si="59"/>
        <v>1100.0097321640148</v>
      </c>
      <c r="AN118" s="59">
        <f ca="1">AVERAGE(OFFSET($AM$3,0,0,'Données projet'!$E$10+1,1))-AVERAGE(OFFSET($H$3,0,0,'Données projet'!$E$10+1,1))</f>
        <v>525.29195699741149</v>
      </c>
      <c r="AO118" s="59">
        <f t="shared" si="90"/>
        <v>125.99812193007153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119.56904746550808</v>
      </c>
      <c r="AV118" s="21">
        <f>EXP(-LN(2)/25)*AV117+(1-EXP(-LN(2)/25))/(LN(2)/25)*Calculateur!AQ118*Calculateur!AS118*VLOOKUP('Données projet'!$B$10,Paramètres!$A$1:$I$89,3,0)*0.475*44/12</f>
        <v>0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119.56904746550808</v>
      </c>
      <c r="AY118" s="7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 t="e">
        <f>BD118*VLOOKUP('Données projet'!$B$11,Paramètres!$A$1:$I$89,3,0)*VLOOKUP('Données projet'!$B$11,Paramètres!$A$1:$I$89,5,0)</f>
        <v>#N/A</v>
      </c>
      <c r="BF118" s="13" t="e">
        <f t="shared" si="91"/>
        <v>#N/A</v>
      </c>
      <c r="BG118" s="20" t="e">
        <f t="shared" si="61"/>
        <v>#N/A</v>
      </c>
      <c r="BH118" s="59" t="e">
        <f t="shared" si="62"/>
        <v>#N/A</v>
      </c>
      <c r="BI118" s="59" t="e">
        <f ca="1">AVERAGE(OFFSET($BH$3,0,0,'Données projet'!$E$11+1,1))-AVERAGE(OFFSET($H$3,0,0,'Données projet'!$E$11+1,1))</f>
        <v>#N/A</v>
      </c>
      <c r="BJ118" s="59" t="e">
        <f t="shared" si="92"/>
        <v>#N/A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 t="e">
        <f>EXP(-LN(2)/35)*BP117+(1-EXP(-LN(2)/35))/(LN(2)/35)*BL118*BM118*VLOOKUP('Données projet'!$B$11,Paramètres!$A$1:$I$89,3,0)*0.475*44/12</f>
        <v>#N/A</v>
      </c>
      <c r="BQ118" s="21" t="e">
        <f>EXP(-LN(2)/25)*BQ117+(1-EXP(-LN(2)/25))/(LN(2)/25)*Calculateur!BL118*Calculateur!BN118*VLOOKUP('Données projet'!$B$11,Paramètres!$A$1:$I$89,3,0)*0.475*44/12</f>
        <v>#N/A</v>
      </c>
      <c r="BR118" s="21" t="e">
        <f>EXP(-LN(2)/2)*BR117+(1-EXP(-LN(2)/2))/(LN(2)/2)*BL118*BO118*VLOOKUP('Données projet'!$B$11,Paramètres!$A$1:$I$89,3,0)*0.475*44/12</f>
        <v>#N/A</v>
      </c>
      <c r="BS118" s="22" t="e">
        <f t="shared" si="63"/>
        <v>#N/A</v>
      </c>
      <c r="BT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">
      <c r="A119" s="10">
        <f t="shared" si="85"/>
        <v>116</v>
      </c>
      <c r="B119" s="72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69.367999999999924</v>
      </c>
      <c r="D119" s="11">
        <f t="shared" si="86"/>
        <v>19.516426948203513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686.12540100367562</v>
      </c>
      <c r="H119" s="66">
        <f t="shared" si="56"/>
        <v>448.14037693478764</v>
      </c>
      <c r="I119" s="6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0</v>
      </c>
      <c r="O119" s="13">
        <f>N119*VLOOKUP('Données projet'!$B$9,Paramètres!$A$1:$I$89,3,0)*VLOOKUP('Données projet'!$B$9,Paramètres!$A$1:$I$89,5,0)</f>
        <v>0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148.39628895278571</v>
      </c>
      <c r="T119" s="59">
        <f t="shared" si="88"/>
        <v>361.07991692964788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22.491992778838455</v>
      </c>
      <c r="AA119" s="21">
        <f>EXP(-LN(2)/25)*AA118+(1-EXP(-LN(2)/25))/(LN(2)/25)*Calculateur!V119*Calculateur!X119*VLOOKUP('Données projet'!$B$9,Paramètres!$A$1:$I$89,3,0)*0.475*44/12</f>
        <v>1.3247515604862388</v>
      </c>
      <c r="AB119" s="21">
        <f>EXP(-LN(2)/2)*AB118+(1-EXP(-LN(2)/2))/(LN(2)/2)*V119*Y119*VLOOKUP('Données projet'!$B$9,Paramètres!$A$1:$I$89,3,0)*0.475*44/12</f>
        <v>5.1115882800507839E-15</v>
      </c>
      <c r="AC119" s="22">
        <f t="shared" si="57"/>
        <v>23.816744339324696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8.3369999999999997</v>
      </c>
      <c r="AI119" s="13">
        <f>IF('Données projet'!$A$62&gt;35,AI118+AH119-AQ118,IF(A119&lt;'Données projet'!$A$62,$AF$205^A119,IF(A119='Données projet'!$A$62,'Données projet'!$B$62,AI118+AH119-AQ118)))</f>
        <v>385.16400000000016</v>
      </c>
      <c r="AJ119" s="13">
        <f>AI119*VLOOKUP('Données projet'!$B$10,Paramètres!$A$1:$I$89,3,0)*VLOOKUP('Données projet'!$B$10,Paramètres!$A$1:$I$89,5,0)</f>
        <v>384.54773760000018</v>
      </c>
      <c r="AK119" s="13">
        <f t="shared" si="89"/>
        <v>88.636809502072509</v>
      </c>
      <c r="AL119" s="20">
        <f t="shared" si="58"/>
        <v>824.12975286944311</v>
      </c>
      <c r="AM119" s="59">
        <f t="shared" si="59"/>
        <v>1117.4630862027764</v>
      </c>
      <c r="AN119" s="59">
        <f ca="1">AVERAGE(OFFSET($AM$3,0,0,'Données projet'!$E$10+1,1))-AVERAGE(OFFSET($H$3,0,0,'Données projet'!$E$10+1,1))</f>
        <v>525.29195699741149</v>
      </c>
      <c r="AO119" s="59">
        <f t="shared" si="90"/>
        <v>125.99812193007153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117.22437137462718</v>
      </c>
      <c r="AV119" s="21">
        <f>EXP(-LN(2)/25)*AV118+(1-EXP(-LN(2)/25))/(LN(2)/25)*Calculateur!AQ119*Calculateur!AS119*VLOOKUP('Données projet'!$B$10,Paramètres!$A$1:$I$89,3,0)*0.475*44/12</f>
        <v>0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117.22437137462718</v>
      </c>
      <c r="AY119" s="7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 t="e">
        <f>BD119*VLOOKUP('Données projet'!$B$11,Paramètres!$A$1:$I$89,3,0)*VLOOKUP('Données projet'!$B$11,Paramètres!$A$1:$I$89,5,0)</f>
        <v>#N/A</v>
      </c>
      <c r="BF119" s="13" t="e">
        <f t="shared" si="91"/>
        <v>#N/A</v>
      </c>
      <c r="BG119" s="20" t="e">
        <f t="shared" si="61"/>
        <v>#N/A</v>
      </c>
      <c r="BH119" s="59" t="e">
        <f t="shared" si="62"/>
        <v>#N/A</v>
      </c>
      <c r="BI119" s="59" t="e">
        <f ca="1">AVERAGE(OFFSET($BH$3,0,0,'Données projet'!$E$11+1,1))-AVERAGE(OFFSET($H$3,0,0,'Données projet'!$E$11+1,1))</f>
        <v>#N/A</v>
      </c>
      <c r="BJ119" s="59" t="e">
        <f t="shared" si="92"/>
        <v>#N/A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 t="e">
        <f>EXP(-LN(2)/35)*BP118+(1-EXP(-LN(2)/35))/(LN(2)/35)*BL119*BM119*VLOOKUP('Données projet'!$B$11,Paramètres!$A$1:$I$89,3,0)*0.475*44/12</f>
        <v>#N/A</v>
      </c>
      <c r="BQ119" s="21" t="e">
        <f>EXP(-LN(2)/25)*BQ118+(1-EXP(-LN(2)/25))/(LN(2)/25)*Calculateur!BL119*Calculateur!BN119*VLOOKUP('Données projet'!$B$11,Paramètres!$A$1:$I$89,3,0)*0.475*44/12</f>
        <v>#N/A</v>
      </c>
      <c r="BR119" s="21" t="e">
        <f>EXP(-LN(2)/2)*BR118+(1-EXP(-LN(2)/2))/(LN(2)/2)*BL119*BO119*VLOOKUP('Données projet'!$B$11,Paramètres!$A$1:$I$89,3,0)*0.475*44/12</f>
        <v>#N/A</v>
      </c>
      <c r="BS119" s="22" t="e">
        <f t="shared" si="63"/>
        <v>#N/A</v>
      </c>
      <c r="BT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">
      <c r="A120" s="10">
        <f t="shared" si="85"/>
        <v>117</v>
      </c>
      <c r="B120" s="72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69.965999999999923</v>
      </c>
      <c r="D120" s="11">
        <f t="shared" si="86"/>
        <v>19.665013934342443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691.88852861597616</v>
      </c>
      <c r="H120" s="66">
        <f t="shared" si="56"/>
        <v>449.4406826023129</v>
      </c>
      <c r="I120" s="6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0</v>
      </c>
      <c r="O120" s="13">
        <f>N120*VLOOKUP('Données projet'!$B$9,Paramètres!$A$1:$I$89,3,0)*VLOOKUP('Données projet'!$B$9,Paramètres!$A$1:$I$89,5,0)</f>
        <v>0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148.39628895278571</v>
      </c>
      <c r="T120" s="59">
        <f t="shared" si="88"/>
        <v>361.07991692964788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22.050938519206412</v>
      </c>
      <c r="AA120" s="21">
        <f>EXP(-LN(2)/25)*AA119+(1-EXP(-LN(2)/25))/(LN(2)/25)*Calculateur!V120*Calculateur!X120*VLOOKUP('Données projet'!$B$9,Paramètres!$A$1:$I$89,3,0)*0.475*44/12</f>
        <v>1.2885261593990858</v>
      </c>
      <c r="AB120" s="21">
        <f>EXP(-LN(2)/2)*AB119+(1-EXP(-LN(2)/2))/(LN(2)/2)*V120*Y120*VLOOKUP('Données projet'!$B$9,Paramètres!$A$1:$I$89,3,0)*0.475*44/12</f>
        <v>3.6144387354575905E-15</v>
      </c>
      <c r="AC120" s="22">
        <f t="shared" si="57"/>
        <v>23.339464678605502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8.3369999999999997</v>
      </c>
      <c r="AI120" s="13">
        <f>IF('Données projet'!$A$62&gt;35,AI119+AH120-AQ119,IF(A120&lt;'Données projet'!$A$62,$AF$205^A120,IF(A120='Données projet'!$A$62,'Données projet'!$B$62,AI119+AH120-AQ119)))</f>
        <v>393.50100000000015</v>
      </c>
      <c r="AJ120" s="13">
        <f>AI120*VLOOKUP('Données projet'!$B$10,Paramètres!$A$1:$I$89,3,0)*VLOOKUP('Données projet'!$B$10,Paramètres!$A$1:$I$89,5,0)</f>
        <v>392.87139840000015</v>
      </c>
      <c r="AK120" s="13">
        <f t="shared" si="89"/>
        <v>90.329941616811965</v>
      </c>
      <c r="AL120" s="20">
        <f t="shared" si="58"/>
        <v>841.57566719594763</v>
      </c>
      <c r="AM120" s="59">
        <f t="shared" si="59"/>
        <v>1134.909000529281</v>
      </c>
      <c r="AN120" s="59">
        <f ca="1">AVERAGE(OFFSET($AM$3,0,0,'Données projet'!$E$10+1,1))-AVERAGE(OFFSET($H$3,0,0,'Données projet'!$E$10+1,1))</f>
        <v>525.29195699741149</v>
      </c>
      <c r="AO120" s="59">
        <f t="shared" si="90"/>
        <v>125.99812193007153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114.92567295177726</v>
      </c>
      <c r="AV120" s="21">
        <f>EXP(-LN(2)/25)*AV119+(1-EXP(-LN(2)/25))/(LN(2)/25)*Calculateur!AQ120*Calculateur!AS120*VLOOKUP('Données projet'!$B$10,Paramètres!$A$1:$I$89,3,0)*0.475*44/12</f>
        <v>0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114.92567295177726</v>
      </c>
      <c r="AY120" s="7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 t="e">
        <f>BD120*VLOOKUP('Données projet'!$B$11,Paramètres!$A$1:$I$89,3,0)*VLOOKUP('Données projet'!$B$11,Paramètres!$A$1:$I$89,5,0)</f>
        <v>#N/A</v>
      </c>
      <c r="BF120" s="13" t="e">
        <f t="shared" si="91"/>
        <v>#N/A</v>
      </c>
      <c r="BG120" s="20" t="e">
        <f t="shared" si="61"/>
        <v>#N/A</v>
      </c>
      <c r="BH120" s="59" t="e">
        <f t="shared" si="62"/>
        <v>#N/A</v>
      </c>
      <c r="BI120" s="59" t="e">
        <f ca="1">AVERAGE(OFFSET($BH$3,0,0,'Données projet'!$E$11+1,1))-AVERAGE(OFFSET($H$3,0,0,'Données projet'!$E$11+1,1))</f>
        <v>#N/A</v>
      </c>
      <c r="BJ120" s="59" t="e">
        <f t="shared" si="92"/>
        <v>#N/A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 t="e">
        <f>EXP(-LN(2)/35)*BP119+(1-EXP(-LN(2)/35))/(LN(2)/35)*BL120*BM120*VLOOKUP('Données projet'!$B$11,Paramètres!$A$1:$I$89,3,0)*0.475*44/12</f>
        <v>#N/A</v>
      </c>
      <c r="BQ120" s="21" t="e">
        <f>EXP(-LN(2)/25)*BQ119+(1-EXP(-LN(2)/25))/(LN(2)/25)*Calculateur!BL120*Calculateur!BN120*VLOOKUP('Données projet'!$B$11,Paramètres!$A$1:$I$89,3,0)*0.475*44/12</f>
        <v>#N/A</v>
      </c>
      <c r="BR120" s="21" t="e">
        <f>EXP(-LN(2)/2)*BR119+(1-EXP(-LN(2)/2))/(LN(2)/2)*BL120*BO120*VLOOKUP('Données projet'!$B$11,Paramètres!$A$1:$I$89,3,0)*0.475*44/12</f>
        <v>#N/A</v>
      </c>
      <c r="BS120" s="22" t="e">
        <f t="shared" si="63"/>
        <v>#N/A</v>
      </c>
      <c r="BT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">
      <c r="A121" s="10">
        <f t="shared" si="85"/>
        <v>118</v>
      </c>
      <c r="B121" s="72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70.563999999999922</v>
      </c>
      <c r="D121" s="11">
        <f t="shared" si="86"/>
        <v>19.813453167086145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697.6505156757521</v>
      </c>
      <c r="H121" s="66">
        <f t="shared" si="56"/>
        <v>450.74073093267486</v>
      </c>
      <c r="I121" s="6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0</v>
      </c>
      <c r="O121" s="13">
        <f>N121*VLOOKUP('Données projet'!$B$9,Paramètres!$A$1:$I$89,3,0)*VLOOKUP('Données projet'!$B$9,Paramètres!$A$1:$I$89,5,0)</f>
        <v>0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148.39628895278571</v>
      </c>
      <c r="T121" s="59">
        <f t="shared" si="88"/>
        <v>361.07991692964788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21.618533064589219</v>
      </c>
      <c r="AA121" s="21">
        <f>EXP(-LN(2)/25)*AA120+(1-EXP(-LN(2)/25))/(LN(2)/25)*Calculateur!V121*Calculateur!X121*VLOOKUP('Données projet'!$B$9,Paramètres!$A$1:$I$89,3,0)*0.475*44/12</f>
        <v>1.253291343809672</v>
      </c>
      <c r="AB121" s="21">
        <f>EXP(-LN(2)/2)*AB120+(1-EXP(-LN(2)/2))/(LN(2)/2)*V121*Y121*VLOOKUP('Données projet'!$B$9,Paramètres!$A$1:$I$89,3,0)*0.475*44/12</f>
        <v>2.555794140025392E-15</v>
      </c>
      <c r="AC121" s="22">
        <f t="shared" si="57"/>
        <v>22.871824408398894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8.3369999999999997</v>
      </c>
      <c r="AI121" s="13">
        <f>IF('Données projet'!$A$62&gt;35,AI120+AH121-AQ120,IF(A121&lt;'Données projet'!$A$62,$AF$205^A121,IF(A121='Données projet'!$A$62,'Données projet'!$B$62,AI120+AH121-AQ120)))</f>
        <v>401.83800000000014</v>
      </c>
      <c r="AJ121" s="13">
        <f>AI121*VLOOKUP('Données projet'!$B$10,Paramètres!$A$1:$I$89,3,0)*VLOOKUP('Données projet'!$B$10,Paramètres!$A$1:$I$89,5,0)</f>
        <v>401.19505920000017</v>
      </c>
      <c r="AK121" s="13">
        <f t="shared" si="89"/>
        <v>92.018903052901237</v>
      </c>
      <c r="AL121" s="20">
        <f t="shared" si="58"/>
        <v>859.01431759046989</v>
      </c>
      <c r="AM121" s="59">
        <f t="shared" si="59"/>
        <v>1152.3476509238033</v>
      </c>
      <c r="AN121" s="59">
        <f ca="1">AVERAGE(OFFSET($AM$3,0,0,'Données projet'!$E$10+1,1))-AVERAGE(OFFSET($H$3,0,0,'Données projet'!$E$10+1,1))</f>
        <v>525.29195699741149</v>
      </c>
      <c r="AO121" s="59">
        <f t="shared" si="90"/>
        <v>125.99812193007153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112.67205060293183</v>
      </c>
      <c r="AV121" s="21">
        <f>EXP(-LN(2)/25)*AV120+(1-EXP(-LN(2)/25))/(LN(2)/25)*Calculateur!AQ121*Calculateur!AS121*VLOOKUP('Données projet'!$B$10,Paramètres!$A$1:$I$89,3,0)*0.475*44/12</f>
        <v>0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112.67205060293183</v>
      </c>
      <c r="AY121" s="7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 t="e">
        <f>BD121*VLOOKUP('Données projet'!$B$11,Paramètres!$A$1:$I$89,3,0)*VLOOKUP('Données projet'!$B$11,Paramètres!$A$1:$I$89,5,0)</f>
        <v>#N/A</v>
      </c>
      <c r="BF121" s="13" t="e">
        <f t="shared" si="91"/>
        <v>#N/A</v>
      </c>
      <c r="BG121" s="20" t="e">
        <f t="shared" si="61"/>
        <v>#N/A</v>
      </c>
      <c r="BH121" s="59" t="e">
        <f t="shared" si="62"/>
        <v>#N/A</v>
      </c>
      <c r="BI121" s="59" t="e">
        <f ca="1">AVERAGE(OFFSET($BH$3,0,0,'Données projet'!$E$11+1,1))-AVERAGE(OFFSET($H$3,0,0,'Données projet'!$E$11+1,1))</f>
        <v>#N/A</v>
      </c>
      <c r="BJ121" s="59" t="e">
        <f t="shared" si="92"/>
        <v>#N/A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 t="e">
        <f>EXP(-LN(2)/35)*BP120+(1-EXP(-LN(2)/35))/(LN(2)/35)*BL121*BM121*VLOOKUP('Données projet'!$B$11,Paramètres!$A$1:$I$89,3,0)*0.475*44/12</f>
        <v>#N/A</v>
      </c>
      <c r="BQ121" s="21" t="e">
        <f>EXP(-LN(2)/25)*BQ120+(1-EXP(-LN(2)/25))/(LN(2)/25)*Calculateur!BL121*Calculateur!BN121*VLOOKUP('Données projet'!$B$11,Paramètres!$A$1:$I$89,3,0)*0.475*44/12</f>
        <v>#N/A</v>
      </c>
      <c r="BR121" s="21" t="e">
        <f>EXP(-LN(2)/2)*BR120+(1-EXP(-LN(2)/2))/(LN(2)/2)*BL121*BO121*VLOOKUP('Données projet'!$B$11,Paramètres!$A$1:$I$89,3,0)*0.475*44/12</f>
        <v>#N/A</v>
      </c>
      <c r="BS121" s="22" t="e">
        <f t="shared" si="63"/>
        <v>#N/A</v>
      </c>
      <c r="BT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">
      <c r="A122" s="10">
        <f t="shared" si="85"/>
        <v>119</v>
      </c>
      <c r="B122" s="72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71.161999999999921</v>
      </c>
      <c r="D122" s="11">
        <f t="shared" si="86"/>
        <v>19.961746043676328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703.4113729687291</v>
      </c>
      <c r="H122" s="66">
        <f t="shared" si="56"/>
        <v>452.04052435940275</v>
      </c>
      <c r="I122" s="6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0</v>
      </c>
      <c r="O122" s="13">
        <f>N122*VLOOKUP('Données projet'!$B$9,Paramètres!$A$1:$I$89,3,0)*VLOOKUP('Données projet'!$B$9,Paramètres!$A$1:$I$89,5,0)</f>
        <v>0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148.39628895278571</v>
      </c>
      <c r="T122" s="59">
        <f t="shared" si="88"/>
        <v>361.07991692964788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21.194606817195783</v>
      </c>
      <c r="AA122" s="21">
        <f>EXP(-LN(2)/25)*AA121+(1-EXP(-LN(2)/25))/(LN(2)/25)*Calculateur!V122*Calculateur!X122*VLOOKUP('Données projet'!$B$9,Paramètres!$A$1:$I$89,3,0)*0.475*44/12</f>
        <v>1.2190200261054691</v>
      </c>
      <c r="AB122" s="21">
        <f>EXP(-LN(2)/2)*AB121+(1-EXP(-LN(2)/2))/(LN(2)/2)*V122*Y122*VLOOKUP('Données projet'!$B$9,Paramètres!$A$1:$I$89,3,0)*0.475*44/12</f>
        <v>1.8072193677287952E-15</v>
      </c>
      <c r="AC122" s="22">
        <f t="shared" si="57"/>
        <v>22.413626843301255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8.3369999999999997</v>
      </c>
      <c r="AI122" s="13">
        <f>IF('Données projet'!$A$62&gt;35,AI121+AH122-AQ121,IF(A122&lt;'Données projet'!$A$62,$AF$205^A122,IF(A122='Données projet'!$A$62,'Données projet'!$B$62,AI121+AH122-AQ121)))</f>
        <v>410.17500000000013</v>
      </c>
      <c r="AJ122" s="13">
        <f>AI122*VLOOKUP('Données projet'!$B$10,Paramètres!$A$1:$I$89,3,0)*VLOOKUP('Données projet'!$B$10,Paramètres!$A$1:$I$89,5,0)</f>
        <v>409.51872000000009</v>
      </c>
      <c r="AK122" s="13">
        <f t="shared" si="89"/>
        <v>93.703790309596229</v>
      </c>
      <c r="AL122" s="20">
        <f t="shared" si="58"/>
        <v>876.44587212254692</v>
      </c>
      <c r="AM122" s="59">
        <f t="shared" si="59"/>
        <v>1169.7792054558802</v>
      </c>
      <c r="AN122" s="59">
        <f ca="1">AVERAGE(OFFSET($AM$3,0,0,'Données projet'!$E$10+1,1))-AVERAGE(OFFSET($H$3,0,0,'Données projet'!$E$10+1,1))</f>
        <v>525.29195699741149</v>
      </c>
      <c r="AO122" s="59">
        <f t="shared" si="90"/>
        <v>125.99812193007153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110.46262041377337</v>
      </c>
      <c r="AV122" s="21">
        <f>EXP(-LN(2)/25)*AV121+(1-EXP(-LN(2)/25))/(LN(2)/25)*Calculateur!AQ122*Calculateur!AS122*VLOOKUP('Données projet'!$B$10,Paramètres!$A$1:$I$89,3,0)*0.475*44/12</f>
        <v>0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110.46262041377337</v>
      </c>
      <c r="AY122" s="7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 t="e">
        <f>BD122*VLOOKUP('Données projet'!$B$11,Paramètres!$A$1:$I$89,3,0)*VLOOKUP('Données projet'!$B$11,Paramètres!$A$1:$I$89,5,0)</f>
        <v>#N/A</v>
      </c>
      <c r="BF122" s="13" t="e">
        <f t="shared" si="91"/>
        <v>#N/A</v>
      </c>
      <c r="BG122" s="20" t="e">
        <f t="shared" si="61"/>
        <v>#N/A</v>
      </c>
      <c r="BH122" s="59" t="e">
        <f t="shared" si="62"/>
        <v>#N/A</v>
      </c>
      <c r="BI122" s="59" t="e">
        <f ca="1">AVERAGE(OFFSET($BH$3,0,0,'Données projet'!$E$11+1,1))-AVERAGE(OFFSET($H$3,0,0,'Données projet'!$E$11+1,1))</f>
        <v>#N/A</v>
      </c>
      <c r="BJ122" s="59" t="e">
        <f t="shared" si="92"/>
        <v>#N/A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 t="e">
        <f>EXP(-LN(2)/35)*BP121+(1-EXP(-LN(2)/35))/(LN(2)/35)*BL122*BM122*VLOOKUP('Données projet'!$B$11,Paramètres!$A$1:$I$89,3,0)*0.475*44/12</f>
        <v>#N/A</v>
      </c>
      <c r="BQ122" s="21" t="e">
        <f>EXP(-LN(2)/25)*BQ121+(1-EXP(-LN(2)/25))/(LN(2)/25)*Calculateur!BL122*Calculateur!BN122*VLOOKUP('Données projet'!$B$11,Paramètres!$A$1:$I$89,3,0)*0.475*44/12</f>
        <v>#N/A</v>
      </c>
      <c r="BR122" s="21" t="e">
        <f>EXP(-LN(2)/2)*BR121+(1-EXP(-LN(2)/2))/(LN(2)/2)*BL122*BO122*VLOOKUP('Données projet'!$B$11,Paramètres!$A$1:$I$89,3,0)*0.475*44/12</f>
        <v>#N/A</v>
      </c>
      <c r="BS122" s="22" t="e">
        <f t="shared" si="63"/>
        <v>#N/A</v>
      </c>
      <c r="BT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">
      <c r="A123" s="10">
        <f t="shared" si="85"/>
        <v>120</v>
      </c>
      <c r="B123" s="72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71.75999999999992</v>
      </c>
      <c r="D123" s="11">
        <f t="shared" si="86"/>
        <v>20.109893936516197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709.1711110888964</v>
      </c>
      <c r="H123" s="66">
        <f t="shared" si="56"/>
        <v>453.34006527276551</v>
      </c>
      <c r="I123" s="6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0</v>
      </c>
      <c r="O123" s="13">
        <f>N123*VLOOKUP('Données projet'!$B$9,Paramètres!$A$1:$I$89,3,0)*VLOOKUP('Données projet'!$B$9,Paramètres!$A$1:$I$89,5,0)</f>
        <v>0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148.39628895278571</v>
      </c>
      <c r="T123" s="59">
        <f t="shared" si="88"/>
        <v>361.07991692964788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20.778993504944253</v>
      </c>
      <c r="AA123" s="21">
        <f>EXP(-LN(2)/25)*AA122+(1-EXP(-LN(2)/25))/(LN(2)/25)*Calculateur!V123*Calculateur!X123*VLOOKUP('Données projet'!$B$9,Paramètres!$A$1:$I$89,3,0)*0.475*44/12</f>
        <v>1.1856858593861379</v>
      </c>
      <c r="AB123" s="21">
        <f>EXP(-LN(2)/2)*AB122+(1-EXP(-LN(2)/2))/(LN(2)/2)*V123*Y123*VLOOKUP('Données projet'!$B$9,Paramètres!$A$1:$I$89,3,0)*0.475*44/12</f>
        <v>1.277897070012696E-15</v>
      </c>
      <c r="AC123" s="22">
        <f t="shared" si="57"/>
        <v>21.96467936433039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8.3369999999999997</v>
      </c>
      <c r="AI123" s="13">
        <f>IF('Données projet'!$A$62&gt;35,AI122+AH123-AQ122,IF(A123&lt;'Données projet'!$A$62,$AF$205^A123,IF(A123='Données projet'!$A$62,'Données projet'!$B$62,AI122+AH123-AQ122)))</f>
        <v>418.51200000000011</v>
      </c>
      <c r="AJ123" s="13">
        <f>AI123*VLOOKUP('Données projet'!$B$10,Paramètres!$A$1:$I$89,3,0)*VLOOKUP('Données projet'!$B$10,Paramètres!$A$1:$I$89,5,0)</f>
        <v>417.84238080000011</v>
      </c>
      <c r="AK123" s="13">
        <f t="shared" si="89"/>
        <v>95.384695739111109</v>
      </c>
      <c r="AL123" s="20">
        <f t="shared" si="58"/>
        <v>893.87049163895199</v>
      </c>
      <c r="AM123" s="59">
        <f t="shared" si="59"/>
        <v>1187.2038249722852</v>
      </c>
      <c r="AN123" s="59">
        <f ca="1">AVERAGE(OFFSET($AM$3,0,0,'Données projet'!$E$10+1,1))-AVERAGE(OFFSET($H$3,0,0,'Données projet'!$E$10+1,1))</f>
        <v>525.29195699741149</v>
      </c>
      <c r="AO123" s="59">
        <f t="shared" si="90"/>
        <v>125.99812193007153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108.29651580300494</v>
      </c>
      <c r="AV123" s="21">
        <f>EXP(-LN(2)/25)*AV122+(1-EXP(-LN(2)/25))/(LN(2)/25)*Calculateur!AQ123*Calculateur!AS123*VLOOKUP('Données projet'!$B$10,Paramètres!$A$1:$I$89,3,0)*0.475*44/12</f>
        <v>0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108.29651580300494</v>
      </c>
      <c r="AY123" s="7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 t="e">
        <f>BD123*VLOOKUP('Données projet'!$B$11,Paramètres!$A$1:$I$89,3,0)*VLOOKUP('Données projet'!$B$11,Paramètres!$A$1:$I$89,5,0)</f>
        <v>#N/A</v>
      </c>
      <c r="BF123" s="13" t="e">
        <f t="shared" si="91"/>
        <v>#N/A</v>
      </c>
      <c r="BG123" s="20" t="e">
        <f t="shared" si="61"/>
        <v>#N/A</v>
      </c>
      <c r="BH123" s="59" t="e">
        <f t="shared" si="62"/>
        <v>#N/A</v>
      </c>
      <c r="BI123" s="59" t="e">
        <f ca="1">AVERAGE(OFFSET($BH$3,0,0,'Données projet'!$E$11+1,1))-AVERAGE(OFFSET($H$3,0,0,'Données projet'!$E$11+1,1))</f>
        <v>#N/A</v>
      </c>
      <c r="BJ123" s="59" t="e">
        <f t="shared" si="92"/>
        <v>#N/A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 t="e">
        <f>EXP(-LN(2)/35)*BP122+(1-EXP(-LN(2)/35))/(LN(2)/35)*BL123*BM123*VLOOKUP('Données projet'!$B$11,Paramètres!$A$1:$I$89,3,0)*0.475*44/12</f>
        <v>#N/A</v>
      </c>
      <c r="BQ123" s="21" t="e">
        <f>EXP(-LN(2)/25)*BQ122+(1-EXP(-LN(2)/25))/(LN(2)/25)*Calculateur!BL123*Calculateur!BN123*VLOOKUP('Données projet'!$B$11,Paramètres!$A$1:$I$89,3,0)*0.475*44/12</f>
        <v>#N/A</v>
      </c>
      <c r="BR123" s="21" t="e">
        <f>EXP(-LN(2)/2)*BR122+(1-EXP(-LN(2)/2))/(LN(2)/2)*BL123*BO123*VLOOKUP('Données projet'!$B$11,Paramètres!$A$1:$I$89,3,0)*0.475*44/12</f>
        <v>#N/A</v>
      </c>
      <c r="BS123" s="22" t="e">
        <f t="shared" si="63"/>
        <v>#N/A</v>
      </c>
      <c r="BT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">
      <c r="A124" s="10">
        <f t="shared" si="85"/>
        <v>121</v>
      </c>
      <c r="B124" s="72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72.357999999999919</v>
      </c>
      <c r="D124" s="11">
        <f t="shared" si="86"/>
        <v>20.257898193815301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714.92974044348591</v>
      </c>
      <c r="H124" s="66">
        <f t="shared" si="56"/>
        <v>454.63935602089481</v>
      </c>
      <c r="I124" s="6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0</v>
      </c>
      <c r="O124" s="13">
        <f>N124*VLOOKUP('Données projet'!$B$9,Paramètres!$A$1:$I$89,3,0)*VLOOKUP('Données projet'!$B$9,Paramètres!$A$1:$I$89,5,0)</f>
        <v>0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148.39628895278571</v>
      </c>
      <c r="T124" s="59">
        <f t="shared" si="88"/>
        <v>361.07991692964788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20.371530116246888</v>
      </c>
      <c r="AA124" s="21">
        <f>EXP(-LN(2)/25)*AA123+(1-EXP(-LN(2)/25))/(LN(2)/25)*Calculateur!V124*Calculateur!X124*VLOOKUP('Données projet'!$B$9,Paramètres!$A$1:$I$89,3,0)*0.475*44/12</f>
        <v>1.1532632172087145</v>
      </c>
      <c r="AB124" s="21">
        <f>EXP(-LN(2)/2)*AB123+(1-EXP(-LN(2)/2))/(LN(2)/2)*V124*Y124*VLOOKUP('Données projet'!$B$9,Paramètres!$A$1:$I$89,3,0)*0.475*44/12</f>
        <v>9.0360968386439761E-16</v>
      </c>
      <c r="AC124" s="22">
        <f t="shared" si="57"/>
        <v>21.524793333455602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8.3369999999999997</v>
      </c>
      <c r="AI124" s="13">
        <f>IF('Données projet'!$A$62&gt;35,AI123+AH124-AQ123,IF(A124&lt;'Données projet'!$A$62,$AF$205^A124,IF(A124='Données projet'!$A$62,'Données projet'!$B$62,AI123+AH124-AQ123)))</f>
        <v>426.8490000000001</v>
      </c>
      <c r="AJ124" s="13">
        <f>AI124*VLOOKUP('Données projet'!$B$10,Paramètres!$A$1:$I$89,3,0)*VLOOKUP('Données projet'!$B$10,Paramètres!$A$1:$I$89,5,0)</f>
        <v>426.16604160000009</v>
      </c>
      <c r="AK124" s="13">
        <f t="shared" si="89"/>
        <v>97.061707803837976</v>
      </c>
      <c r="AL124" s="20">
        <f t="shared" si="58"/>
        <v>911.28833021168464</v>
      </c>
      <c r="AM124" s="59">
        <f t="shared" si="59"/>
        <v>1204.621663545018</v>
      </c>
      <c r="AN124" s="59">
        <f ca="1">AVERAGE(OFFSET($AM$3,0,0,'Données projet'!$E$10+1,1))-AVERAGE(OFFSET($H$3,0,0,'Données projet'!$E$10+1,1))</f>
        <v>525.29195699741149</v>
      </c>
      <c r="AO124" s="59">
        <f t="shared" si="90"/>
        <v>125.99812193007153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106.17288718246033</v>
      </c>
      <c r="AV124" s="21">
        <f>EXP(-LN(2)/25)*AV123+(1-EXP(-LN(2)/25))/(LN(2)/25)*Calculateur!AQ124*Calculateur!AS124*VLOOKUP('Données projet'!$B$10,Paramètres!$A$1:$I$89,3,0)*0.475*44/12</f>
        <v>0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106.17288718246033</v>
      </c>
      <c r="AY124" s="7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 t="e">
        <f>BD124*VLOOKUP('Données projet'!$B$11,Paramètres!$A$1:$I$89,3,0)*VLOOKUP('Données projet'!$B$11,Paramètres!$A$1:$I$89,5,0)</f>
        <v>#N/A</v>
      </c>
      <c r="BF124" s="13" t="e">
        <f t="shared" si="91"/>
        <v>#N/A</v>
      </c>
      <c r="BG124" s="20" t="e">
        <f t="shared" si="61"/>
        <v>#N/A</v>
      </c>
      <c r="BH124" s="59" t="e">
        <f t="shared" si="62"/>
        <v>#N/A</v>
      </c>
      <c r="BI124" s="59" t="e">
        <f ca="1">AVERAGE(OFFSET($BH$3,0,0,'Données projet'!$E$11+1,1))-AVERAGE(OFFSET($H$3,0,0,'Données projet'!$E$11+1,1))</f>
        <v>#N/A</v>
      </c>
      <c r="BJ124" s="59" t="e">
        <f t="shared" si="92"/>
        <v>#N/A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 t="e">
        <f>EXP(-LN(2)/35)*BP123+(1-EXP(-LN(2)/35))/(LN(2)/35)*BL124*BM124*VLOOKUP('Données projet'!$B$11,Paramètres!$A$1:$I$89,3,0)*0.475*44/12</f>
        <v>#N/A</v>
      </c>
      <c r="BQ124" s="21" t="e">
        <f>EXP(-LN(2)/25)*BQ123+(1-EXP(-LN(2)/25))/(LN(2)/25)*Calculateur!BL124*Calculateur!BN124*VLOOKUP('Données projet'!$B$11,Paramètres!$A$1:$I$89,3,0)*0.475*44/12</f>
        <v>#N/A</v>
      </c>
      <c r="BR124" s="21" t="e">
        <f>EXP(-LN(2)/2)*BR123+(1-EXP(-LN(2)/2))/(LN(2)/2)*BL124*BO124*VLOOKUP('Données projet'!$B$11,Paramètres!$A$1:$I$89,3,0)*0.475*44/12</f>
        <v>#N/A</v>
      </c>
      <c r="BS124" s="22" t="e">
        <f t="shared" si="63"/>
        <v>#N/A</v>
      </c>
      <c r="BT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">
      <c r="A125" s="10">
        <f t="shared" si="85"/>
        <v>122</v>
      </c>
      <c r="B125" s="72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72.955999999999918</v>
      </c>
      <c r="D125" s="11">
        <f t="shared" si="86"/>
        <v>20.405760140212255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720.68727125777821</v>
      </c>
      <c r="H125" s="66">
        <f t="shared" si="56"/>
        <v>455.93839891086952</v>
      </c>
      <c r="I125" s="6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0</v>
      </c>
      <c r="O125" s="13">
        <f>N125*VLOOKUP('Données projet'!$B$9,Paramètres!$A$1:$I$89,3,0)*VLOOKUP('Données projet'!$B$9,Paramètres!$A$1:$I$89,5,0)</f>
        <v>0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148.39628895278571</v>
      </c>
      <c r="T125" s="59">
        <f t="shared" si="88"/>
        <v>361.07991692964788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19.972056836073751</v>
      </c>
      <c r="AA125" s="21">
        <f>EXP(-LN(2)/25)*AA124+(1-EXP(-LN(2)/25))/(LN(2)/25)*Calculateur!V125*Calculateur!X125*VLOOKUP('Données projet'!$B$9,Paramètres!$A$1:$I$89,3,0)*0.475*44/12</f>
        <v>1.1217271738866654</v>
      </c>
      <c r="AB125" s="21">
        <f>EXP(-LN(2)/2)*AB124+(1-EXP(-LN(2)/2))/(LN(2)/2)*V125*Y125*VLOOKUP('Données projet'!$B$9,Paramètres!$A$1:$I$89,3,0)*0.475*44/12</f>
        <v>6.3894853500634799E-16</v>
      </c>
      <c r="AC125" s="22">
        <f t="shared" si="57"/>
        <v>21.093784009960416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8.3369999999999997</v>
      </c>
      <c r="AI125" s="13">
        <f>IF('Données projet'!$A$62&gt;35,AI124+AH125-AQ124,IF(A125&lt;'Données projet'!$A$62,$AF$205^A125,IF(A125='Données projet'!$A$62,'Données projet'!$B$62,AI124+AH125-AQ124)))</f>
        <v>435.18600000000009</v>
      </c>
      <c r="AJ125" s="13">
        <f>AI125*VLOOKUP('Données projet'!$B$10,Paramètres!$A$1:$I$89,3,0)*VLOOKUP('Données projet'!$B$10,Paramètres!$A$1:$I$89,5,0)</f>
        <v>434.48970240000011</v>
      </c>
      <c r="AK125" s="13">
        <f t="shared" si="89"/>
        <v>98.734911312904188</v>
      </c>
      <c r="AL125" s="20">
        <f t="shared" si="58"/>
        <v>928.69953554997494</v>
      </c>
      <c r="AM125" s="59">
        <f t="shared" si="59"/>
        <v>1222.0328688833083</v>
      </c>
      <c r="AN125" s="59">
        <f ca="1">AVERAGE(OFFSET($AM$3,0,0,'Données projet'!$E$10+1,1))-AVERAGE(OFFSET($H$3,0,0,'Données projet'!$E$10+1,1))</f>
        <v>525.29195699741149</v>
      </c>
      <c r="AO125" s="59">
        <f t="shared" si="90"/>
        <v>125.99812193007153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104.09090162387903</v>
      </c>
      <c r="AV125" s="21">
        <f>EXP(-LN(2)/25)*AV124+(1-EXP(-LN(2)/25))/(LN(2)/25)*Calculateur!AQ125*Calculateur!AS125*VLOOKUP('Données projet'!$B$10,Paramètres!$A$1:$I$89,3,0)*0.475*44/12</f>
        <v>0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104.09090162387903</v>
      </c>
      <c r="AY125" s="7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 t="e">
        <f>BD125*VLOOKUP('Données projet'!$B$11,Paramètres!$A$1:$I$89,3,0)*VLOOKUP('Données projet'!$B$11,Paramètres!$A$1:$I$89,5,0)</f>
        <v>#N/A</v>
      </c>
      <c r="BF125" s="13" t="e">
        <f t="shared" si="91"/>
        <v>#N/A</v>
      </c>
      <c r="BG125" s="20" t="e">
        <f t="shared" si="61"/>
        <v>#N/A</v>
      </c>
      <c r="BH125" s="59" t="e">
        <f t="shared" si="62"/>
        <v>#N/A</v>
      </c>
      <c r="BI125" s="59" t="e">
        <f ca="1">AVERAGE(OFFSET($BH$3,0,0,'Données projet'!$E$11+1,1))-AVERAGE(OFFSET($H$3,0,0,'Données projet'!$E$11+1,1))</f>
        <v>#N/A</v>
      </c>
      <c r="BJ125" s="59" t="e">
        <f t="shared" si="92"/>
        <v>#N/A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 t="e">
        <f>EXP(-LN(2)/35)*BP124+(1-EXP(-LN(2)/35))/(LN(2)/35)*BL125*BM125*VLOOKUP('Données projet'!$B$11,Paramètres!$A$1:$I$89,3,0)*0.475*44/12</f>
        <v>#N/A</v>
      </c>
      <c r="BQ125" s="21" t="e">
        <f>EXP(-LN(2)/25)*BQ124+(1-EXP(-LN(2)/25))/(LN(2)/25)*Calculateur!BL125*Calculateur!BN125*VLOOKUP('Données projet'!$B$11,Paramètres!$A$1:$I$89,3,0)*0.475*44/12</f>
        <v>#N/A</v>
      </c>
      <c r="BR125" s="21" t="e">
        <f>EXP(-LN(2)/2)*BR124+(1-EXP(-LN(2)/2))/(LN(2)/2)*BL125*BO125*VLOOKUP('Données projet'!$B$11,Paramètres!$A$1:$I$89,3,0)*0.475*44/12</f>
        <v>#N/A</v>
      </c>
      <c r="BS125" s="22" t="e">
        <f t="shared" si="63"/>
        <v>#N/A</v>
      </c>
      <c r="BT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">
      <c r="A126" s="10">
        <f t="shared" si="85"/>
        <v>123</v>
      </c>
      <c r="B126" s="72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73.553999999999917</v>
      </c>
      <c r="D126" s="11">
        <f t="shared" si="86"/>
        <v>20.553481077376667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726.44371357974899</v>
      </c>
      <c r="H126" s="66">
        <f t="shared" si="56"/>
        <v>457.23719620976419</v>
      </c>
      <c r="I126" s="6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0</v>
      </c>
      <c r="O126" s="13">
        <f>N126*VLOOKUP('Données projet'!$B$9,Paramètres!$A$1:$I$89,3,0)*VLOOKUP('Données projet'!$B$9,Paramètres!$A$1:$I$89,5,0)</f>
        <v>0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148.39628895278571</v>
      </c>
      <c r="T126" s="59">
        <f t="shared" si="88"/>
        <v>361.07991692964788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19.580416983270165</v>
      </c>
      <c r="AA126" s="21">
        <f>EXP(-LN(2)/25)*AA125+(1-EXP(-LN(2)/25))/(LN(2)/25)*Calculateur!V126*Calculateur!X126*VLOOKUP('Données projet'!$B$9,Paramètres!$A$1:$I$89,3,0)*0.475*44/12</f>
        <v>1.0910534853276663</v>
      </c>
      <c r="AB126" s="21">
        <f>EXP(-LN(2)/2)*AB125+(1-EXP(-LN(2)/2))/(LN(2)/2)*V126*Y126*VLOOKUP('Données projet'!$B$9,Paramètres!$A$1:$I$89,3,0)*0.475*44/12</f>
        <v>4.5180484193219881E-16</v>
      </c>
      <c r="AC126" s="22">
        <f t="shared" si="57"/>
        <v>20.671470468597832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8.3369999999999997</v>
      </c>
      <c r="AI126" s="13">
        <f>IF('Données projet'!$A$62&gt;35,AI125+AH126-AQ125,IF(A126&lt;'Données projet'!$A$62,$AF$205^A126,IF(A126='Données projet'!$A$62,'Données projet'!$B$62,AI125+AH126-AQ125)))</f>
        <v>443.52300000000008</v>
      </c>
      <c r="AJ126" s="13">
        <f>AI126*VLOOKUP('Données projet'!$B$10,Paramètres!$A$1:$I$89,3,0)*VLOOKUP('Données projet'!$B$10,Paramètres!$A$1:$I$89,5,0)</f>
        <v>442.81336320000008</v>
      </c>
      <c r="AK126" s="13">
        <f t="shared" si="89"/>
        <v>100.40438764008933</v>
      </c>
      <c r="AL126" s="20">
        <f t="shared" si="58"/>
        <v>946.10424937982225</v>
      </c>
      <c r="AM126" s="59">
        <f t="shared" si="59"/>
        <v>1239.4375827131555</v>
      </c>
      <c r="AN126" s="59">
        <f ca="1">AVERAGE(OFFSET($AM$3,0,0,'Données projet'!$E$10+1,1))-AVERAGE(OFFSET($H$3,0,0,'Données projet'!$E$10+1,1))</f>
        <v>525.29195699741149</v>
      </c>
      <c r="AO126" s="59">
        <f t="shared" si="90"/>
        <v>125.99812193007153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102.04974253221572</v>
      </c>
      <c r="AV126" s="21">
        <f>EXP(-LN(2)/25)*AV125+(1-EXP(-LN(2)/25))/(LN(2)/25)*Calculateur!AQ126*Calculateur!AS126*VLOOKUP('Données projet'!$B$10,Paramètres!$A$1:$I$89,3,0)*0.475*44/12</f>
        <v>0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102.04974253221572</v>
      </c>
      <c r="AY126" s="7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 t="e">
        <f>BD126*VLOOKUP('Données projet'!$B$11,Paramètres!$A$1:$I$89,3,0)*VLOOKUP('Données projet'!$B$11,Paramètres!$A$1:$I$89,5,0)</f>
        <v>#N/A</v>
      </c>
      <c r="BF126" s="13" t="e">
        <f t="shared" si="91"/>
        <v>#N/A</v>
      </c>
      <c r="BG126" s="20" t="e">
        <f t="shared" si="61"/>
        <v>#N/A</v>
      </c>
      <c r="BH126" s="59" t="e">
        <f t="shared" si="62"/>
        <v>#N/A</v>
      </c>
      <c r="BI126" s="59" t="e">
        <f ca="1">AVERAGE(OFFSET($BH$3,0,0,'Données projet'!$E$11+1,1))-AVERAGE(OFFSET($H$3,0,0,'Données projet'!$E$11+1,1))</f>
        <v>#N/A</v>
      </c>
      <c r="BJ126" s="59" t="e">
        <f t="shared" si="92"/>
        <v>#N/A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 t="e">
        <f>EXP(-LN(2)/35)*BP125+(1-EXP(-LN(2)/35))/(LN(2)/35)*BL126*BM126*VLOOKUP('Données projet'!$B$11,Paramètres!$A$1:$I$89,3,0)*0.475*44/12</f>
        <v>#N/A</v>
      </c>
      <c r="BQ126" s="21" t="e">
        <f>EXP(-LN(2)/25)*BQ125+(1-EXP(-LN(2)/25))/(LN(2)/25)*Calculateur!BL126*Calculateur!BN126*VLOOKUP('Données projet'!$B$11,Paramètres!$A$1:$I$89,3,0)*0.475*44/12</f>
        <v>#N/A</v>
      </c>
      <c r="BR126" s="21" t="e">
        <f>EXP(-LN(2)/2)*BR125+(1-EXP(-LN(2)/2))/(LN(2)/2)*BL126*BO126*VLOOKUP('Données projet'!$B$11,Paramètres!$A$1:$I$89,3,0)*0.475*44/12</f>
        <v>#N/A</v>
      </c>
      <c r="BS126" s="22" t="e">
        <f t="shared" si="63"/>
        <v>#N/A</v>
      </c>
      <c r="BT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">
      <c r="A127" s="10">
        <f t="shared" si="85"/>
        <v>124</v>
      </c>
      <c r="B127" s="72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74.151999999999916</v>
      </c>
      <c r="D127" s="11">
        <f t="shared" si="86"/>
        <v>20.701062284590861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732.19907728456053</v>
      </c>
      <c r="H127" s="66">
        <f t="shared" si="56"/>
        <v>458.53575014566229</v>
      </c>
      <c r="I127" s="6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0</v>
      </c>
      <c r="O127" s="13">
        <f>N127*VLOOKUP('Données projet'!$B$9,Paramètres!$A$1:$I$89,3,0)*VLOOKUP('Données projet'!$B$9,Paramètres!$A$1:$I$89,5,0)</f>
        <v>0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148.39628895278571</v>
      </c>
      <c r="T127" s="59">
        <f t="shared" si="88"/>
        <v>361.07991692964788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19.196456949103336</v>
      </c>
      <c r="AA127" s="21">
        <f>EXP(-LN(2)/25)*AA126+(1-EXP(-LN(2)/25))/(LN(2)/25)*Calculateur!V127*Calculateur!X127*VLOOKUP('Données projet'!$B$9,Paramètres!$A$1:$I$89,3,0)*0.475*44/12</f>
        <v>1.061218570395372</v>
      </c>
      <c r="AB127" s="21">
        <f>EXP(-LN(2)/2)*AB126+(1-EXP(-LN(2)/2))/(LN(2)/2)*V127*Y127*VLOOKUP('Données projet'!$B$9,Paramètres!$A$1:$I$89,3,0)*0.475*44/12</f>
        <v>3.1947426750317399E-16</v>
      </c>
      <c r="AC127" s="22">
        <f t="shared" si="57"/>
        <v>20.257675519498708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>
        <f>VLOOKUP(A127,'Données projet'!$A$61:$I$81,2,0)</f>
        <v>451.86</v>
      </c>
      <c r="AG127" s="12">
        <f>VLOOKUP(A127,'Données projet'!$A$61:$I$81,9,0)</f>
        <v>8.3369999999999997</v>
      </c>
      <c r="AH127" s="12">
        <f t="array" ref="AH127">INDEX(AG:AG,MIN(IF(ISNUMBER(AG127:AG323),ROW(AG127:AG323),"")))</f>
        <v>8.3369999999999997</v>
      </c>
      <c r="AI127" s="13">
        <f>IF('Données projet'!$A$62&gt;35,AI126+AH127-AQ126,IF(A127&lt;'Données projet'!$A$62,$AF$205^A127,IF(A127='Données projet'!$A$62,'Données projet'!$B$62,AI126+AH127-AQ126)))</f>
        <v>451.86000000000007</v>
      </c>
      <c r="AJ127" s="13">
        <f>AI127*VLOOKUP('Données projet'!$B$10,Paramètres!$A$1:$I$89,3,0)*VLOOKUP('Données projet'!$B$10,Paramètres!$A$1:$I$89,5,0)</f>
        <v>451.13702400000011</v>
      </c>
      <c r="AK127" s="13">
        <f t="shared" si="89"/>
        <v>102.07021492489365</v>
      </c>
      <c r="AL127" s="20">
        <f t="shared" si="58"/>
        <v>963.50260779418988</v>
      </c>
      <c r="AM127" s="59">
        <f t="shared" si="59"/>
        <v>1256.8359411275233</v>
      </c>
      <c r="AN127" s="59">
        <f ca="1">AVERAGE(OFFSET($AM$3,0,0,'Données projet'!$E$10+1,1))-AVERAGE(OFFSET($H$3,0,0,'Données projet'!$E$10+1,1))</f>
        <v>525.29195699741149</v>
      </c>
      <c r="AO127" s="59">
        <f t="shared" si="90"/>
        <v>125.99812193007153</v>
      </c>
      <c r="AP127" s="15">
        <f>IF(ISNA(VLOOKUP(A127,'Données projet'!$A$61:$I$81,3,0)),0,VLOOKUP(A127,'Données projet'!$A$61:$I$81,3,0))</f>
        <v>10</v>
      </c>
      <c r="AQ127" s="15">
        <f>IF(ISNA(VLOOKUP(A127,'Données projet'!$A$61:$I$81,4,0)),0,VLOOKUP(A127,'Données projet'!$A$61:$I$81,4,0))</f>
        <v>52.53</v>
      </c>
      <c r="AR127" s="16">
        <f>IF(ISNA(VLOOKUP(A127,'Données projet'!$A$61:$I$81,5,0)),0%,VLOOKUP(A127,'Données projet'!$A$61:$I$81,5,0)*VLOOKUP('Données projet'!$B$10,Paramètres!$A$1:$I$89,7,0))</f>
        <v>0.43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124.97891130419077</v>
      </c>
      <c r="AV127" s="21">
        <f>EXP(-LN(2)/25)*AV126+(1-EXP(-LN(2)/25))/(LN(2)/25)*Calculateur!AQ127*Calculateur!AS127*VLOOKUP('Données projet'!$B$10,Paramètres!$A$1:$I$89,3,0)*0.475*44/12</f>
        <v>0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124.97891130419077</v>
      </c>
      <c r="AY127" s="7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 t="e">
        <f>BD127*VLOOKUP('Données projet'!$B$11,Paramètres!$A$1:$I$89,3,0)*VLOOKUP('Données projet'!$B$11,Paramètres!$A$1:$I$89,5,0)</f>
        <v>#N/A</v>
      </c>
      <c r="BF127" s="13" t="e">
        <f t="shared" si="91"/>
        <v>#N/A</v>
      </c>
      <c r="BG127" s="20" t="e">
        <f t="shared" si="61"/>
        <v>#N/A</v>
      </c>
      <c r="BH127" s="59" t="e">
        <f t="shared" si="62"/>
        <v>#N/A</v>
      </c>
      <c r="BI127" s="59" t="e">
        <f ca="1">AVERAGE(OFFSET($BH$3,0,0,'Données projet'!$E$11+1,1))-AVERAGE(OFFSET($H$3,0,0,'Données projet'!$E$11+1,1))</f>
        <v>#N/A</v>
      </c>
      <c r="BJ127" s="59" t="e">
        <f t="shared" si="92"/>
        <v>#N/A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 t="e">
        <f>EXP(-LN(2)/35)*BP126+(1-EXP(-LN(2)/35))/(LN(2)/35)*BL127*BM127*VLOOKUP('Données projet'!$B$11,Paramètres!$A$1:$I$89,3,0)*0.475*44/12</f>
        <v>#N/A</v>
      </c>
      <c r="BQ127" s="21" t="e">
        <f>EXP(-LN(2)/25)*BQ126+(1-EXP(-LN(2)/25))/(LN(2)/25)*Calculateur!BL127*Calculateur!BN127*VLOOKUP('Données projet'!$B$11,Paramètres!$A$1:$I$89,3,0)*0.475*44/12</f>
        <v>#N/A</v>
      </c>
      <c r="BR127" s="21" t="e">
        <f>EXP(-LN(2)/2)*BR126+(1-EXP(-LN(2)/2))/(LN(2)/2)*BL127*BO127*VLOOKUP('Données projet'!$B$11,Paramètres!$A$1:$I$89,3,0)*0.475*44/12</f>
        <v>#N/A</v>
      </c>
      <c r="BS127" s="22" t="e">
        <f t="shared" si="63"/>
        <v>#N/A</v>
      </c>
      <c r="BT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">
      <c r="A128" s="10">
        <f t="shared" si="85"/>
        <v>125</v>
      </c>
      <c r="B128" s="72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74.749999999999915</v>
      </c>
      <c r="D128" s="11">
        <f t="shared" si="86"/>
        <v>20.848505019312185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737.95337207890043</v>
      </c>
      <c r="H128" s="66">
        <f t="shared" si="56"/>
        <v>459.83406290863525</v>
      </c>
      <c r="I128" s="6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0</v>
      </c>
      <c r="O128" s="13">
        <f>N128*VLOOKUP('Données projet'!$B$9,Paramètres!$A$1:$I$89,3,0)*VLOOKUP('Données projet'!$B$9,Paramètres!$A$1:$I$89,5,0)</f>
        <v>0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148.39628895278571</v>
      </c>
      <c r="T128" s="59">
        <f t="shared" si="88"/>
        <v>361.07991692964788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18.820026137014022</v>
      </c>
      <c r="AA128" s="21">
        <f>EXP(-LN(2)/25)*AA127+(1-EXP(-LN(2)/25))/(LN(2)/25)*Calculateur!V128*Calculateur!X128*VLOOKUP('Données projet'!$B$9,Paramètres!$A$1:$I$89,3,0)*0.475*44/12</f>
        <v>1.0321994927808513</v>
      </c>
      <c r="AB128" s="21">
        <f>EXP(-LN(2)/2)*AB127+(1-EXP(-LN(2)/2))/(LN(2)/2)*V128*Y128*VLOOKUP('Données projet'!$B$9,Paramètres!$A$1:$I$89,3,0)*0.475*44/12</f>
        <v>2.259024209660994E-16</v>
      </c>
      <c r="AC128" s="22">
        <f t="shared" si="57"/>
        <v>19.852225629794873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8.4949999999999939</v>
      </c>
      <c r="AI128" s="13">
        <f>IF('Données projet'!$A$62&gt;35,AI127+AH128-AQ127,IF(A128&lt;'Données projet'!$A$62,$AF$205^A128,IF(A128='Données projet'!$A$62,'Données projet'!$B$62,AI127+AH128-AQ127)))</f>
        <v>407.82500000000005</v>
      </c>
      <c r="AJ128" s="13">
        <f>AI128*VLOOKUP('Données projet'!$B$10,Paramètres!$A$1:$I$89,3,0)*VLOOKUP('Données projet'!$B$10,Paramètres!$A$1:$I$89,5,0)</f>
        <v>407.17248000000006</v>
      </c>
      <c r="AK128" s="13">
        <f t="shared" si="89"/>
        <v>93.229267996171714</v>
      </c>
      <c r="AL128" s="20">
        <f t="shared" si="58"/>
        <v>871.5330444266657</v>
      </c>
      <c r="AM128" s="59">
        <f t="shared" si="59"/>
        <v>1164.8663777599991</v>
      </c>
      <c r="AN128" s="59">
        <f ca="1">AVERAGE(OFFSET($AM$3,0,0,'Données projet'!$E$10+1,1))-AVERAGE(OFFSET($H$3,0,0,'Données projet'!$E$10+1,1))</f>
        <v>525.29195699741149</v>
      </c>
      <c r="AO128" s="59">
        <f t="shared" si="90"/>
        <v>125.99812193007153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122.52815108312444</v>
      </c>
      <c r="AV128" s="21">
        <f>EXP(-LN(2)/25)*AV127+(1-EXP(-LN(2)/25))/(LN(2)/25)*Calculateur!AQ128*Calculateur!AS128*VLOOKUP('Données projet'!$B$10,Paramètres!$A$1:$I$89,3,0)*0.475*44/12</f>
        <v>0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122.52815108312444</v>
      </c>
      <c r="AY128" s="7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 t="e">
        <f>BD128*VLOOKUP('Données projet'!$B$11,Paramètres!$A$1:$I$89,3,0)*VLOOKUP('Données projet'!$B$11,Paramètres!$A$1:$I$89,5,0)</f>
        <v>#N/A</v>
      </c>
      <c r="BF128" s="13" t="e">
        <f t="shared" si="91"/>
        <v>#N/A</v>
      </c>
      <c r="BG128" s="20" t="e">
        <f t="shared" si="61"/>
        <v>#N/A</v>
      </c>
      <c r="BH128" s="59" t="e">
        <f t="shared" si="62"/>
        <v>#N/A</v>
      </c>
      <c r="BI128" s="59" t="e">
        <f ca="1">AVERAGE(OFFSET($BH$3,0,0,'Données projet'!$E$11+1,1))-AVERAGE(OFFSET($H$3,0,0,'Données projet'!$E$11+1,1))</f>
        <v>#N/A</v>
      </c>
      <c r="BJ128" s="59" t="e">
        <f t="shared" si="92"/>
        <v>#N/A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 t="e">
        <f>EXP(-LN(2)/35)*BP127+(1-EXP(-LN(2)/35))/(LN(2)/35)*BL128*BM128*VLOOKUP('Données projet'!$B$11,Paramètres!$A$1:$I$89,3,0)*0.475*44/12</f>
        <v>#N/A</v>
      </c>
      <c r="BQ128" s="21" t="e">
        <f>EXP(-LN(2)/25)*BQ127+(1-EXP(-LN(2)/25))/(LN(2)/25)*Calculateur!BL128*Calculateur!BN128*VLOOKUP('Données projet'!$B$11,Paramètres!$A$1:$I$89,3,0)*0.475*44/12</f>
        <v>#N/A</v>
      </c>
      <c r="BR128" s="21" t="e">
        <f>EXP(-LN(2)/2)*BR127+(1-EXP(-LN(2)/2))/(LN(2)/2)*BL128*BO128*VLOOKUP('Données projet'!$B$11,Paramètres!$A$1:$I$89,3,0)*0.475*44/12</f>
        <v>#N/A</v>
      </c>
      <c r="BS128" s="22" t="e">
        <f t="shared" si="63"/>
        <v>#N/A</v>
      </c>
      <c r="BT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">
      <c r="A129" s="10">
        <f t="shared" si="85"/>
        <v>126</v>
      </c>
      <c r="B129" s="72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75.347999999999914</v>
      </c>
      <c r="D129" s="11">
        <f t="shared" si="86"/>
        <v>20.995810517717022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743.70660750518334</v>
      </c>
      <c r="H129" s="66">
        <f t="shared" si="56"/>
        <v>461.1321366516903</v>
      </c>
      <c r="I129" s="6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0</v>
      </c>
      <c r="O129" s="13">
        <f>N129*VLOOKUP('Données projet'!$B$9,Paramètres!$A$1:$I$89,3,0)*VLOOKUP('Données projet'!$B$9,Paramètres!$A$1:$I$89,5,0)</f>
        <v>0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148.39628895278571</v>
      </c>
      <c r="T129" s="59">
        <f t="shared" si="88"/>
        <v>361.07991692964788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18.450976903549655</v>
      </c>
      <c r="AA129" s="21">
        <f>EXP(-LN(2)/25)*AA128+(1-EXP(-LN(2)/25))/(LN(2)/25)*Calculateur!V129*Calculateur!X129*VLOOKUP('Données projet'!$B$9,Paramètres!$A$1:$I$89,3,0)*0.475*44/12</f>
        <v>1.0039739433697468</v>
      </c>
      <c r="AB129" s="21">
        <f>EXP(-LN(2)/2)*AB128+(1-EXP(-LN(2)/2))/(LN(2)/2)*V129*Y129*VLOOKUP('Données projet'!$B$9,Paramètres!$A$1:$I$89,3,0)*0.475*44/12</f>
        <v>1.59737133751587E-16</v>
      </c>
      <c r="AC129" s="22">
        <f t="shared" si="57"/>
        <v>19.454950846919402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8.4949999999999939</v>
      </c>
      <c r="AI129" s="13">
        <f>IF('Données projet'!$A$62&gt;35,AI128+AH129-AQ128,IF(A129&lt;'Données projet'!$A$62,$AF$205^A129,IF(A129='Données projet'!$A$62,'Données projet'!$B$62,AI128+AH129-AQ128)))</f>
        <v>416.32000000000005</v>
      </c>
      <c r="AJ129" s="13">
        <f>AI129*VLOOKUP('Données projet'!$B$10,Paramètres!$A$1:$I$89,3,0)*VLOOKUP('Données projet'!$B$10,Paramètres!$A$1:$I$89,5,0)</f>
        <v>415.65388800000011</v>
      </c>
      <c r="AK129" s="13">
        <f t="shared" si="89"/>
        <v>94.94312563284241</v>
      </c>
      <c r="AL129" s="20">
        <f t="shared" si="58"/>
        <v>889.28979874386732</v>
      </c>
      <c r="AM129" s="59">
        <f t="shared" si="59"/>
        <v>1182.6231320772006</v>
      </c>
      <c r="AN129" s="59">
        <f ca="1">AVERAGE(OFFSET($AM$3,0,0,'Données projet'!$E$10+1,1))-AVERAGE(OFFSET($H$3,0,0,'Données projet'!$E$10+1,1))</f>
        <v>525.29195699741149</v>
      </c>
      <c r="AO129" s="59">
        <f t="shared" si="90"/>
        <v>125.99812193007153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120.12544877517709</v>
      </c>
      <c r="AV129" s="21">
        <f>EXP(-LN(2)/25)*AV128+(1-EXP(-LN(2)/25))/(LN(2)/25)*Calculateur!AQ129*Calculateur!AS129*VLOOKUP('Données projet'!$B$10,Paramètres!$A$1:$I$89,3,0)*0.475*44/12</f>
        <v>0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120.12544877517709</v>
      </c>
      <c r="AY129" s="7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 t="e">
        <f>BD129*VLOOKUP('Données projet'!$B$11,Paramètres!$A$1:$I$89,3,0)*VLOOKUP('Données projet'!$B$11,Paramètres!$A$1:$I$89,5,0)</f>
        <v>#N/A</v>
      </c>
      <c r="BF129" s="13" t="e">
        <f t="shared" si="91"/>
        <v>#N/A</v>
      </c>
      <c r="BG129" s="20" t="e">
        <f t="shared" si="61"/>
        <v>#N/A</v>
      </c>
      <c r="BH129" s="59" t="e">
        <f t="shared" si="62"/>
        <v>#N/A</v>
      </c>
      <c r="BI129" s="59" t="e">
        <f ca="1">AVERAGE(OFFSET($BH$3,0,0,'Données projet'!$E$11+1,1))-AVERAGE(OFFSET($H$3,0,0,'Données projet'!$E$11+1,1))</f>
        <v>#N/A</v>
      </c>
      <c r="BJ129" s="59" t="e">
        <f t="shared" si="92"/>
        <v>#N/A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 t="e">
        <f>EXP(-LN(2)/35)*BP128+(1-EXP(-LN(2)/35))/(LN(2)/35)*BL129*BM129*VLOOKUP('Données projet'!$B$11,Paramètres!$A$1:$I$89,3,0)*0.475*44/12</f>
        <v>#N/A</v>
      </c>
      <c r="BQ129" s="21" t="e">
        <f>EXP(-LN(2)/25)*BQ128+(1-EXP(-LN(2)/25))/(LN(2)/25)*Calculateur!BL129*Calculateur!BN129*VLOOKUP('Données projet'!$B$11,Paramètres!$A$1:$I$89,3,0)*0.475*44/12</f>
        <v>#N/A</v>
      </c>
      <c r="BR129" s="21" t="e">
        <f>EXP(-LN(2)/2)*BR128+(1-EXP(-LN(2)/2))/(LN(2)/2)*BL129*BO129*VLOOKUP('Données projet'!$B$11,Paramètres!$A$1:$I$89,3,0)*0.475*44/12</f>
        <v>#N/A</v>
      </c>
      <c r="BS129" s="22" t="e">
        <f t="shared" si="63"/>
        <v>#N/A</v>
      </c>
      <c r="BT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">
      <c r="A130" s="10">
        <f t="shared" si="85"/>
        <v>127</v>
      </c>
      <c r="B130" s="72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75.945999999999913</v>
      </c>
      <c r="D130" s="11">
        <f t="shared" si="86"/>
        <v>21.142979995226813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749.45879294560984</v>
      </c>
      <c r="H130" s="66">
        <f t="shared" si="56"/>
        <v>462.4299734916865</v>
      </c>
      <c r="I130" s="6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0</v>
      </c>
      <c r="O130" s="13">
        <f>N130*VLOOKUP('Données projet'!$B$9,Paramètres!$A$1:$I$89,3,0)*VLOOKUP('Données projet'!$B$9,Paramètres!$A$1:$I$89,5,0)</f>
        <v>0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148.39628895278571</v>
      </c>
      <c r="T130" s="59">
        <f t="shared" si="88"/>
        <v>361.07991692964788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18.08916450045572</v>
      </c>
      <c r="AA130" s="21">
        <f>EXP(-LN(2)/25)*AA129+(1-EXP(-LN(2)/25))/(LN(2)/25)*Calculateur!V130*Calculateur!X130*VLOOKUP('Données projet'!$B$9,Paramètres!$A$1:$I$89,3,0)*0.475*44/12</f>
        <v>0.97652022309160602</v>
      </c>
      <c r="AB130" s="21">
        <f>EXP(-LN(2)/2)*AB129+(1-EXP(-LN(2)/2))/(LN(2)/2)*V130*Y130*VLOOKUP('Données projet'!$B$9,Paramètres!$A$1:$I$89,3,0)*0.475*44/12</f>
        <v>1.129512104830497E-16</v>
      </c>
      <c r="AC130" s="22">
        <f t="shared" si="57"/>
        <v>19.065684723547324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8.4949999999999939</v>
      </c>
      <c r="AI130" s="13">
        <f>IF('Données projet'!$A$62&gt;35,AI129+AH130-AQ129,IF(A130&lt;'Données projet'!$A$62,$AF$205^A130,IF(A130='Données projet'!$A$62,'Données projet'!$B$62,AI129+AH130-AQ129)))</f>
        <v>424.81500000000005</v>
      </c>
      <c r="AJ130" s="13">
        <f>AI130*VLOOKUP('Données projet'!$B$10,Paramètres!$A$1:$I$89,3,0)*VLOOKUP('Données projet'!$B$10,Paramètres!$A$1:$I$89,5,0)</f>
        <v>424.1352960000001</v>
      </c>
      <c r="AK130" s="13">
        <f t="shared" si="89"/>
        <v>96.652917150953471</v>
      </c>
      <c r="AL130" s="20">
        <f t="shared" si="58"/>
        <v>907.03947123791067</v>
      </c>
      <c r="AM130" s="59">
        <f t="shared" si="59"/>
        <v>1200.3728045712439</v>
      </c>
      <c r="AN130" s="59">
        <f ca="1">AVERAGE(OFFSET($AM$3,0,0,'Données projet'!$E$10+1,1))-AVERAGE(OFFSET($H$3,0,0,'Données projet'!$E$10+1,1))</f>
        <v>525.29195699741149</v>
      </c>
      <c r="AO130" s="59">
        <f t="shared" si="90"/>
        <v>125.99812193007153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117.76986199398488</v>
      </c>
      <c r="AV130" s="21">
        <f>EXP(-LN(2)/25)*AV129+(1-EXP(-LN(2)/25))/(LN(2)/25)*Calculateur!AQ130*Calculateur!AS130*VLOOKUP('Données projet'!$B$10,Paramètres!$A$1:$I$89,3,0)*0.475*44/12</f>
        <v>0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117.76986199398488</v>
      </c>
      <c r="AY130" s="7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 t="e">
        <f>BD130*VLOOKUP('Données projet'!$B$11,Paramètres!$A$1:$I$89,3,0)*VLOOKUP('Données projet'!$B$11,Paramètres!$A$1:$I$89,5,0)</f>
        <v>#N/A</v>
      </c>
      <c r="BF130" s="13" t="e">
        <f t="shared" si="91"/>
        <v>#N/A</v>
      </c>
      <c r="BG130" s="20" t="e">
        <f t="shared" si="61"/>
        <v>#N/A</v>
      </c>
      <c r="BH130" s="59" t="e">
        <f t="shared" si="62"/>
        <v>#N/A</v>
      </c>
      <c r="BI130" s="59" t="e">
        <f ca="1">AVERAGE(OFFSET($BH$3,0,0,'Données projet'!$E$11+1,1))-AVERAGE(OFFSET($H$3,0,0,'Données projet'!$E$11+1,1))</f>
        <v>#N/A</v>
      </c>
      <c r="BJ130" s="59" t="e">
        <f t="shared" si="92"/>
        <v>#N/A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 t="e">
        <f>EXP(-LN(2)/35)*BP129+(1-EXP(-LN(2)/35))/(LN(2)/35)*BL130*BM130*VLOOKUP('Données projet'!$B$11,Paramètres!$A$1:$I$89,3,0)*0.475*44/12</f>
        <v>#N/A</v>
      </c>
      <c r="BQ130" s="21" t="e">
        <f>EXP(-LN(2)/25)*BQ129+(1-EXP(-LN(2)/25))/(LN(2)/25)*Calculateur!BL130*Calculateur!BN130*VLOOKUP('Données projet'!$B$11,Paramètres!$A$1:$I$89,3,0)*0.475*44/12</f>
        <v>#N/A</v>
      </c>
      <c r="BR130" s="21" t="e">
        <f>EXP(-LN(2)/2)*BR129+(1-EXP(-LN(2)/2))/(LN(2)/2)*BL130*BO130*VLOOKUP('Données projet'!$B$11,Paramètres!$A$1:$I$89,3,0)*0.475*44/12</f>
        <v>#N/A</v>
      </c>
      <c r="BS130" s="22" t="e">
        <f t="shared" si="63"/>
        <v>#N/A</v>
      </c>
      <c r="BT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">
      <c r="A131" s="10">
        <f t="shared" si="85"/>
        <v>128</v>
      </c>
      <c r="B131" s="72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76.543999999999912</v>
      </c>
      <c r="D131" s="11">
        <f t="shared" si="86"/>
        <v>21.290014647017198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755.20993762609703</v>
      </c>
      <c r="H131" s="66">
        <f t="shared" si="56"/>
        <v>463.72757551022141</v>
      </c>
      <c r="I131" s="6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0</v>
      </c>
      <c r="O131" s="13">
        <f>N131*VLOOKUP('Données projet'!$B$9,Paramètres!$A$1:$I$89,3,0)*VLOOKUP('Données projet'!$B$9,Paramètres!$A$1:$I$89,5,0)</f>
        <v>0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148.39628895278571</v>
      </c>
      <c r="T131" s="59">
        <f t="shared" si="88"/>
        <v>361.07991692964788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17.734447017902681</v>
      </c>
      <c r="AA131" s="21">
        <f>EXP(-LN(2)/25)*AA130+(1-EXP(-LN(2)/25))/(LN(2)/25)*Calculateur!V131*Calculateur!X131*VLOOKUP('Données projet'!$B$9,Paramètres!$A$1:$I$89,3,0)*0.475*44/12</f>
        <v>0.94981722623819942</v>
      </c>
      <c r="AB131" s="21">
        <f>EXP(-LN(2)/2)*AB130+(1-EXP(-LN(2)/2))/(LN(2)/2)*V131*Y131*VLOOKUP('Données projet'!$B$9,Paramètres!$A$1:$I$89,3,0)*0.475*44/12</f>
        <v>7.9868566875793499E-17</v>
      </c>
      <c r="AC131" s="22">
        <f t="shared" si="57"/>
        <v>18.684264244140881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8.4949999999999939</v>
      </c>
      <c r="AI131" s="13">
        <f>IF('Données projet'!$A$62&gt;35,AI130+AH131-AQ130,IF(A131&lt;'Données projet'!$A$62,$AF$205^A131,IF(A131='Données projet'!$A$62,'Données projet'!$B$62,AI130+AH131-AQ130)))</f>
        <v>433.31000000000006</v>
      </c>
      <c r="AJ131" s="13">
        <f>AI131*VLOOKUP('Données projet'!$B$10,Paramètres!$A$1:$I$89,3,0)*VLOOKUP('Données projet'!$B$10,Paramètres!$A$1:$I$89,5,0)</f>
        <v>432.61670400000008</v>
      </c>
      <c r="AK131" s="13">
        <f t="shared" si="89"/>
        <v>98.358733231542629</v>
      </c>
      <c r="AL131" s="20">
        <f t="shared" si="58"/>
        <v>924.782219844937</v>
      </c>
      <c r="AM131" s="59">
        <f t="shared" si="59"/>
        <v>1218.1155531782704</v>
      </c>
      <c r="AN131" s="59">
        <f ca="1">AVERAGE(OFFSET($AM$3,0,0,'Données projet'!$E$10+1,1))-AVERAGE(OFFSET($H$3,0,0,'Données projet'!$E$10+1,1))</f>
        <v>525.29195699741149</v>
      </c>
      <c r="AO131" s="59">
        <f t="shared" si="90"/>
        <v>125.99812193007153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115.46046683280578</v>
      </c>
      <c r="AV131" s="21">
        <f>EXP(-LN(2)/25)*AV130+(1-EXP(-LN(2)/25))/(LN(2)/25)*Calculateur!AQ131*Calculateur!AS131*VLOOKUP('Données projet'!$B$10,Paramètres!$A$1:$I$89,3,0)*0.475*44/12</f>
        <v>0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115.46046683280578</v>
      </c>
      <c r="AY131" s="7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 t="e">
        <f>BD131*VLOOKUP('Données projet'!$B$11,Paramètres!$A$1:$I$89,3,0)*VLOOKUP('Données projet'!$B$11,Paramètres!$A$1:$I$89,5,0)</f>
        <v>#N/A</v>
      </c>
      <c r="BF131" s="13" t="e">
        <f t="shared" si="91"/>
        <v>#N/A</v>
      </c>
      <c r="BG131" s="20" t="e">
        <f t="shared" si="61"/>
        <v>#N/A</v>
      </c>
      <c r="BH131" s="59" t="e">
        <f t="shared" si="62"/>
        <v>#N/A</v>
      </c>
      <c r="BI131" s="59" t="e">
        <f ca="1">AVERAGE(OFFSET($BH$3,0,0,'Données projet'!$E$11+1,1))-AVERAGE(OFFSET($H$3,0,0,'Données projet'!$E$11+1,1))</f>
        <v>#N/A</v>
      </c>
      <c r="BJ131" s="59" t="e">
        <f t="shared" si="92"/>
        <v>#N/A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 t="e">
        <f>EXP(-LN(2)/35)*BP130+(1-EXP(-LN(2)/35))/(LN(2)/35)*BL131*BM131*VLOOKUP('Données projet'!$B$11,Paramètres!$A$1:$I$89,3,0)*0.475*44/12</f>
        <v>#N/A</v>
      </c>
      <c r="BQ131" s="21" t="e">
        <f>EXP(-LN(2)/25)*BQ130+(1-EXP(-LN(2)/25))/(LN(2)/25)*Calculateur!BL131*Calculateur!BN131*VLOOKUP('Données projet'!$B$11,Paramètres!$A$1:$I$89,3,0)*0.475*44/12</f>
        <v>#N/A</v>
      </c>
      <c r="BR131" s="21" t="e">
        <f>EXP(-LN(2)/2)*BR130+(1-EXP(-LN(2)/2))/(LN(2)/2)*BL131*BO131*VLOOKUP('Données projet'!$B$11,Paramètres!$A$1:$I$89,3,0)*0.475*44/12</f>
        <v>#N/A</v>
      </c>
      <c r="BS131" s="22" t="e">
        <f t="shared" si="63"/>
        <v>#N/A</v>
      </c>
      <c r="BT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">
      <c r="A132" s="10">
        <f t="shared" si="85"/>
        <v>129</v>
      </c>
      <c r="B132" s="72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77.141999999999911</v>
      </c>
      <c r="D132" s="11">
        <f t="shared" si="86"/>
        <v>21.436915648510737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760.96005062008214</v>
      </c>
      <c r="H132" s="66">
        <f t="shared" ref="H132:H195" si="110">(B132+E132+F132)*44/12+(C132+D132)*0.475*44/12</f>
        <v>465.0249447544893</v>
      </c>
      <c r="I132" s="6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0</v>
      </c>
      <c r="O132" s="13">
        <f>N132*VLOOKUP('Données projet'!$B$9,Paramètres!$A$1:$I$89,3,0)*VLOOKUP('Données projet'!$B$9,Paramètres!$A$1:$I$89,5,0)</f>
        <v>0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148.39628895278571</v>
      </c>
      <c r="T132" s="59">
        <f t="shared" si="88"/>
        <v>361.07991692964788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17.386685328826207</v>
      </c>
      <c r="AA132" s="21">
        <f>EXP(-LN(2)/25)*AA131+(1-EXP(-LN(2)/25))/(LN(2)/25)*Calculateur!V132*Calculateur!X132*VLOOKUP('Données projet'!$B$9,Paramètres!$A$1:$I$89,3,0)*0.475*44/12</f>
        <v>0.92384442423799873</v>
      </c>
      <c r="AB132" s="21">
        <f>EXP(-LN(2)/2)*AB131+(1-EXP(-LN(2)/2))/(LN(2)/2)*V132*Y132*VLOOKUP('Données projet'!$B$9,Paramètres!$A$1:$I$89,3,0)*0.475*44/12</f>
        <v>5.6475605241524851E-17</v>
      </c>
      <c r="AC132" s="22">
        <f t="shared" ref="AC132:AC153" si="111">SUM(Z132:AB132)</f>
        <v>18.310529753064205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8.4949999999999939</v>
      </c>
      <c r="AI132" s="13">
        <f>IF('Données projet'!$A$62&gt;35,AI131+AH132-AQ131,IF(A132&lt;'Données projet'!$A$62,$AF$205^A132,IF(A132='Données projet'!$A$62,'Données projet'!$B$62,AI131+AH132-AQ131)))</f>
        <v>441.80500000000006</v>
      </c>
      <c r="AJ132" s="13">
        <f>AI132*VLOOKUP('Données projet'!$B$10,Paramètres!$A$1:$I$89,3,0)*VLOOKUP('Données projet'!$B$10,Paramètres!$A$1:$I$89,5,0)</f>
        <v>441.09811200000013</v>
      </c>
      <c r="AK132" s="13">
        <f t="shared" si="89"/>
        <v>100.060660796695</v>
      </c>
      <c r="AL132" s="20">
        <f t="shared" ref="AL132:AL153" si="112">(AJ132+AK132)*0.475*44/12</f>
        <v>942.51819595424388</v>
      </c>
      <c r="AM132" s="59">
        <f t="shared" ref="AM132:AM195" si="113">AL132+(AD132+AE132)*44/12</f>
        <v>1235.8515292875773</v>
      </c>
      <c r="AN132" s="59">
        <f ca="1">AVERAGE(OFFSET($AM$3,0,0,'Données projet'!$E$10+1,1))-AVERAGE(OFFSET($H$3,0,0,'Données projet'!$E$10+1,1))</f>
        <v>525.29195699741149</v>
      </c>
      <c r="AO132" s="59">
        <f t="shared" si="90"/>
        <v>125.99812193007153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113.19635750214545</v>
      </c>
      <c r="AV132" s="21">
        <f>EXP(-LN(2)/25)*AV131+(1-EXP(-LN(2)/25))/(LN(2)/25)*Calculateur!AQ132*Calculateur!AS132*VLOOKUP('Données projet'!$B$10,Paramètres!$A$1:$I$89,3,0)*0.475*44/12</f>
        <v>0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113.19635750214545</v>
      </c>
      <c r="AY132" s="7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 t="e">
        <f>BD132*VLOOKUP('Données projet'!$B$11,Paramètres!$A$1:$I$89,3,0)*VLOOKUP('Données projet'!$B$11,Paramètres!$A$1:$I$89,5,0)</f>
        <v>#N/A</v>
      </c>
      <c r="BF132" s="13" t="e">
        <f t="shared" si="91"/>
        <v>#N/A</v>
      </c>
      <c r="BG132" s="20" t="e">
        <f t="shared" ref="BG132:BG153" si="115">(BE132+BF132)*0.475*44/12</f>
        <v>#N/A</v>
      </c>
      <c r="BH132" s="59" t="e">
        <f t="shared" ref="BH132:BH195" si="116">BG132+(AY132+AZ132)*44/12</f>
        <v>#N/A</v>
      </c>
      <c r="BI132" s="59" t="e">
        <f ca="1">AVERAGE(OFFSET($BH$3,0,0,'Données projet'!$E$11+1,1))-AVERAGE(OFFSET($H$3,0,0,'Données projet'!$E$11+1,1))</f>
        <v>#N/A</v>
      </c>
      <c r="BJ132" s="59" t="e">
        <f t="shared" si="92"/>
        <v>#N/A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 t="e">
        <f>EXP(-LN(2)/35)*BP131+(1-EXP(-LN(2)/35))/(LN(2)/35)*BL132*BM132*VLOOKUP('Données projet'!$B$11,Paramètres!$A$1:$I$89,3,0)*0.475*44/12</f>
        <v>#N/A</v>
      </c>
      <c r="BQ132" s="21" t="e">
        <f>EXP(-LN(2)/25)*BQ131+(1-EXP(-LN(2)/25))/(LN(2)/25)*Calculateur!BL132*Calculateur!BN132*VLOOKUP('Données projet'!$B$11,Paramètres!$A$1:$I$89,3,0)*0.475*44/12</f>
        <v>#N/A</v>
      </c>
      <c r="BR132" s="21" t="e">
        <f>EXP(-LN(2)/2)*BR131+(1-EXP(-LN(2)/2))/(LN(2)/2)*BL132*BO132*VLOOKUP('Données projet'!$B$11,Paramètres!$A$1:$I$89,3,0)*0.475*44/12</f>
        <v>#N/A</v>
      </c>
      <c r="BS132" s="22" t="e">
        <f t="shared" ref="BS132:BS153" si="117">SUM(BP132:BR132)</f>
        <v>#N/A</v>
      </c>
      <c r="BT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">
      <c r="A133" s="10">
        <f t="shared" ref="A133:A152" si="139">A132+1</f>
        <v>130</v>
      </c>
      <c r="B133" s="72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77.73999999999991</v>
      </c>
      <c r="D133" s="11">
        <f t="shared" ref="D133:D196" si="140">IFERROR(EXP(-1.0587+0.8836*LN(C133)+0.284),0)</f>
        <v>21.583684155853874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766.70914085220465</v>
      </c>
      <c r="H133" s="66">
        <f t="shared" si="110"/>
        <v>466.32208323811199</v>
      </c>
      <c r="I133" s="6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0</v>
      </c>
      <c r="O133" s="13">
        <f>N133*VLOOKUP('Données projet'!$B$9,Paramètres!$A$1:$I$89,3,0)*VLOOKUP('Données projet'!$B$9,Paramètres!$A$1:$I$89,5,0)</f>
        <v>0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148.39628895278571</v>
      </c>
      <c r="T133" s="59">
        <f t="shared" ref="T133:T196" si="142">$T$3</f>
        <v>361.07991692964788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17.045743034358836</v>
      </c>
      <c r="AA133" s="21">
        <f>EXP(-LN(2)/25)*AA132+(1-EXP(-LN(2)/25))/(LN(2)/25)*Calculateur!V133*Calculateur!X133*VLOOKUP('Données projet'!$B$9,Paramètres!$A$1:$I$89,3,0)*0.475*44/12</f>
        <v>0.89858184987434386</v>
      </c>
      <c r="AB133" s="21">
        <f>EXP(-LN(2)/2)*AB132+(1-EXP(-LN(2)/2))/(LN(2)/2)*V133*Y133*VLOOKUP('Données projet'!$B$9,Paramètres!$A$1:$I$89,3,0)*0.475*44/12</f>
        <v>3.9934283437896749E-17</v>
      </c>
      <c r="AC133" s="22">
        <f t="shared" si="111"/>
        <v>17.944324884233179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8.4949999999999939</v>
      </c>
      <c r="AI133" s="13">
        <f>IF('Données projet'!$A$62&gt;35,AI132+AH133-AQ132,IF(A133&lt;'Données projet'!$A$62,$AF$205^A133,IF(A133='Données projet'!$A$62,'Données projet'!$B$62,AI132+AH133-AQ132)))</f>
        <v>450.30000000000007</v>
      </c>
      <c r="AJ133" s="13">
        <f>AI133*VLOOKUP('Données projet'!$B$10,Paramètres!$A$1:$I$89,3,0)*VLOOKUP('Données projet'!$B$10,Paramètres!$A$1:$I$89,5,0)</f>
        <v>449.57952000000012</v>
      </c>
      <c r="AK133" s="13">
        <f t="shared" ref="AK133:AK153" si="143">EXP(-1.0587+0.8836*LN(AJ133)+0.284)</f>
        <v>101.75878323459008</v>
      </c>
      <c r="AL133" s="20">
        <f t="shared" si="112"/>
        <v>960.24754480024455</v>
      </c>
      <c r="AM133" s="59">
        <f t="shared" si="113"/>
        <v>1253.5808781335779</v>
      </c>
      <c r="AN133" s="59">
        <f ca="1">AVERAGE(OFFSET($AM$3,0,0,'Données projet'!$E$10+1,1))-AVERAGE(OFFSET($H$3,0,0,'Données projet'!$E$10+1,1))</f>
        <v>525.29195699741149</v>
      </c>
      <c r="AO133" s="59">
        <f t="shared" ref="AO133:AO196" si="144">$AO$3</f>
        <v>125.99812193007153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110.97664597448902</v>
      </c>
      <c r="AV133" s="21">
        <f>EXP(-LN(2)/25)*AV132+(1-EXP(-LN(2)/25))/(LN(2)/25)*Calculateur!AQ133*Calculateur!AS133*VLOOKUP('Données projet'!$B$10,Paramètres!$A$1:$I$89,3,0)*0.475*44/12</f>
        <v>0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110.97664597448902</v>
      </c>
      <c r="AY133" s="7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 t="e">
        <f>BD133*VLOOKUP('Données projet'!$B$11,Paramètres!$A$1:$I$89,3,0)*VLOOKUP('Données projet'!$B$11,Paramètres!$A$1:$I$89,5,0)</f>
        <v>#N/A</v>
      </c>
      <c r="BF133" s="13" t="e">
        <f t="shared" ref="BF133:BF153" si="145">EXP(-1.0587+0.8836*LN(BE133)+0.284)</f>
        <v>#N/A</v>
      </c>
      <c r="BG133" s="20" t="e">
        <f t="shared" si="115"/>
        <v>#N/A</v>
      </c>
      <c r="BH133" s="59" t="e">
        <f t="shared" si="116"/>
        <v>#N/A</v>
      </c>
      <c r="BI133" s="59" t="e">
        <f ca="1">AVERAGE(OFFSET($BH$3,0,0,'Données projet'!$E$11+1,1))-AVERAGE(OFFSET($H$3,0,0,'Données projet'!$E$11+1,1))</f>
        <v>#N/A</v>
      </c>
      <c r="BJ133" s="59" t="e">
        <f t="shared" ref="BJ133:BJ196" si="146">$BJ$3</f>
        <v>#N/A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 t="e">
        <f>EXP(-LN(2)/35)*BP132+(1-EXP(-LN(2)/35))/(LN(2)/35)*BL133*BM133*VLOOKUP('Données projet'!$B$11,Paramètres!$A$1:$I$89,3,0)*0.475*44/12</f>
        <v>#N/A</v>
      </c>
      <c r="BQ133" s="21" t="e">
        <f>EXP(-LN(2)/25)*BQ132+(1-EXP(-LN(2)/25))/(LN(2)/25)*Calculateur!BL133*Calculateur!BN133*VLOOKUP('Données projet'!$B$11,Paramètres!$A$1:$I$89,3,0)*0.475*44/12</f>
        <v>#N/A</v>
      </c>
      <c r="BR133" s="21" t="e">
        <f>EXP(-LN(2)/2)*BR132+(1-EXP(-LN(2)/2))/(LN(2)/2)*BL133*BO133*VLOOKUP('Données projet'!$B$11,Paramètres!$A$1:$I$89,3,0)*0.475*44/12</f>
        <v>#N/A</v>
      </c>
      <c r="BS133" s="22" t="e">
        <f t="shared" si="117"/>
        <v>#N/A</v>
      </c>
      <c r="BT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">
      <c r="A134" s="10">
        <f t="shared" si="139"/>
        <v>131</v>
      </c>
      <c r="B134" s="72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78.337999999999909</v>
      </c>
      <c r="D134" s="11">
        <f t="shared" si="140"/>
        <v>21.730321306378883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772.45721710187138</v>
      </c>
      <c r="H134" s="66">
        <f t="shared" si="110"/>
        <v>467.61899294194302</v>
      </c>
      <c r="I134" s="6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0</v>
      </c>
      <c r="O134" s="13">
        <f>N134*VLOOKUP('Données projet'!$B$9,Paramètres!$A$1:$I$89,3,0)*VLOOKUP('Données projet'!$B$9,Paramètres!$A$1:$I$89,5,0)</f>
        <v>0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148.39628895278571</v>
      </c>
      <c r="T134" s="59">
        <f t="shared" si="142"/>
        <v>361.07991692964788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16.711486410331702</v>
      </c>
      <c r="AA134" s="21">
        <f>EXP(-LN(2)/25)*AA133+(1-EXP(-LN(2)/25))/(LN(2)/25)*Calculateur!V134*Calculateur!X134*VLOOKUP('Données projet'!$B$9,Paramètres!$A$1:$I$89,3,0)*0.475*44/12</f>
        <v>0.87401008193516416</v>
      </c>
      <c r="AB134" s="21">
        <f>EXP(-LN(2)/2)*AB133+(1-EXP(-LN(2)/2))/(LN(2)/2)*V134*Y134*VLOOKUP('Données projet'!$B$9,Paramètres!$A$1:$I$89,3,0)*0.475*44/12</f>
        <v>2.8237802620762425E-17</v>
      </c>
      <c r="AC134" s="22">
        <f t="shared" si="111"/>
        <v>17.585496492266866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8.4949999999999939</v>
      </c>
      <c r="AI134" s="13">
        <f>IF('Données projet'!$A$62&gt;35,AI133+AH134-AQ133,IF(A134&lt;'Données projet'!$A$62,$AF$205^A134,IF(A134='Données projet'!$A$62,'Données projet'!$B$62,AI133+AH134-AQ133)))</f>
        <v>458.79500000000007</v>
      </c>
      <c r="AJ134" s="13">
        <f>AI134*VLOOKUP('Données projet'!$B$10,Paramètres!$A$1:$I$89,3,0)*VLOOKUP('Données projet'!$B$10,Paramètres!$A$1:$I$89,5,0)</f>
        <v>458.0609280000001</v>
      </c>
      <c r="AK134" s="13">
        <f t="shared" si="143"/>
        <v>103.45318060708627</v>
      </c>
      <c r="AL134" s="20">
        <f t="shared" si="112"/>
        <v>977.97040582400894</v>
      </c>
      <c r="AM134" s="59">
        <f t="shared" si="113"/>
        <v>1271.3037391573423</v>
      </c>
      <c r="AN134" s="59">
        <f ca="1">AVERAGE(OFFSET($AM$3,0,0,'Données projet'!$E$10+1,1))-AVERAGE(OFFSET($H$3,0,0,'Données projet'!$E$10+1,1))</f>
        <v>525.29195699741149</v>
      </c>
      <c r="AO134" s="59">
        <f t="shared" si="144"/>
        <v>125.99812193007153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108.8004616359996</v>
      </c>
      <c r="AV134" s="21">
        <f>EXP(-LN(2)/25)*AV133+(1-EXP(-LN(2)/25))/(LN(2)/25)*Calculateur!AQ134*Calculateur!AS134*VLOOKUP('Données projet'!$B$10,Paramètres!$A$1:$I$89,3,0)*0.475*44/12</f>
        <v>0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108.8004616359996</v>
      </c>
      <c r="AY134" s="7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 t="e">
        <f>BD134*VLOOKUP('Données projet'!$B$11,Paramètres!$A$1:$I$89,3,0)*VLOOKUP('Données projet'!$B$11,Paramètres!$A$1:$I$89,5,0)</f>
        <v>#N/A</v>
      </c>
      <c r="BF134" s="13" t="e">
        <f t="shared" si="145"/>
        <v>#N/A</v>
      </c>
      <c r="BG134" s="20" t="e">
        <f t="shared" si="115"/>
        <v>#N/A</v>
      </c>
      <c r="BH134" s="59" t="e">
        <f t="shared" si="116"/>
        <v>#N/A</v>
      </c>
      <c r="BI134" s="59" t="e">
        <f ca="1">AVERAGE(OFFSET($BH$3,0,0,'Données projet'!$E$11+1,1))-AVERAGE(OFFSET($H$3,0,0,'Données projet'!$E$11+1,1))</f>
        <v>#N/A</v>
      </c>
      <c r="BJ134" s="59" t="e">
        <f t="shared" si="146"/>
        <v>#N/A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 t="e">
        <f>EXP(-LN(2)/35)*BP133+(1-EXP(-LN(2)/35))/(LN(2)/35)*BL134*BM134*VLOOKUP('Données projet'!$B$11,Paramètres!$A$1:$I$89,3,0)*0.475*44/12</f>
        <v>#N/A</v>
      </c>
      <c r="BQ134" s="21" t="e">
        <f>EXP(-LN(2)/25)*BQ133+(1-EXP(-LN(2)/25))/(LN(2)/25)*Calculateur!BL134*Calculateur!BN134*VLOOKUP('Données projet'!$B$11,Paramètres!$A$1:$I$89,3,0)*0.475*44/12</f>
        <v>#N/A</v>
      </c>
      <c r="BR134" s="21" t="e">
        <f>EXP(-LN(2)/2)*BR133+(1-EXP(-LN(2)/2))/(LN(2)/2)*BL134*BO134*VLOOKUP('Données projet'!$B$11,Paramètres!$A$1:$I$89,3,0)*0.475*44/12</f>
        <v>#N/A</v>
      </c>
      <c r="BS134" s="22" t="e">
        <f t="shared" si="117"/>
        <v>#N/A</v>
      </c>
      <c r="BT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">
      <c r="A135" s="10">
        <f t="shared" si="139"/>
        <v>132</v>
      </c>
      <c r="B135" s="72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78.935999999999908</v>
      </c>
      <c r="D135" s="11">
        <f t="shared" si="140"/>
        <v>21.876828219051234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778.20428800671061</v>
      </c>
      <c r="H135" s="66">
        <f t="shared" si="110"/>
        <v>468.91567581484742</v>
      </c>
      <c r="I135" s="6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0</v>
      </c>
      <c r="O135" s="13">
        <f>N135*VLOOKUP('Données projet'!$B$9,Paramètres!$A$1:$I$89,3,0)*VLOOKUP('Données projet'!$B$9,Paramètres!$A$1:$I$89,5,0)</f>
        <v>0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148.39628895278571</v>
      </c>
      <c r="T135" s="59">
        <f t="shared" si="142"/>
        <v>361.07991692964788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16.383784354825334</v>
      </c>
      <c r="AA135" s="21">
        <f>EXP(-LN(2)/25)*AA134+(1-EXP(-LN(2)/25))/(LN(2)/25)*Calculateur!V135*Calculateur!X135*VLOOKUP('Données projet'!$B$9,Paramètres!$A$1:$I$89,3,0)*0.475*44/12</f>
        <v>0.85011023028245447</v>
      </c>
      <c r="AB135" s="21">
        <f>EXP(-LN(2)/2)*AB134+(1-EXP(-LN(2)/2))/(LN(2)/2)*V135*Y135*VLOOKUP('Données projet'!$B$9,Paramètres!$A$1:$I$89,3,0)*0.475*44/12</f>
        <v>1.9967141718948375E-17</v>
      </c>
      <c r="AC135" s="22">
        <f t="shared" si="111"/>
        <v>17.233894585107787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8.4949999999999939</v>
      </c>
      <c r="AI135" s="13">
        <f>IF('Données projet'!$A$62&gt;35,AI134+AH135-AQ134,IF(A135&lt;'Données projet'!$A$62,$AF$205^A135,IF(A135='Données projet'!$A$62,'Données projet'!$B$62,AI134+AH135-AQ134)))</f>
        <v>467.29000000000008</v>
      </c>
      <c r="AJ135" s="13">
        <f>AI135*VLOOKUP('Données projet'!$B$10,Paramètres!$A$1:$I$89,3,0)*VLOOKUP('Données projet'!$B$10,Paramètres!$A$1:$I$89,5,0)</f>
        <v>466.54233600000015</v>
      </c>
      <c r="AK135" s="13">
        <f t="shared" si="143"/>
        <v>105.14392984149734</v>
      </c>
      <c r="AL135" s="20">
        <f t="shared" si="112"/>
        <v>995.68691300727494</v>
      </c>
      <c r="AM135" s="59">
        <f t="shared" si="113"/>
        <v>1289.0202463406083</v>
      </c>
      <c r="AN135" s="59">
        <f ca="1">AVERAGE(OFFSET($AM$3,0,0,'Données projet'!$E$10+1,1))-AVERAGE(OFFSET($H$3,0,0,'Données projet'!$E$10+1,1))</f>
        <v>525.29195699741149</v>
      </c>
      <c r="AO135" s="59">
        <f t="shared" si="144"/>
        <v>125.99812193007153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106.66695094504657</v>
      </c>
      <c r="AV135" s="21">
        <f>EXP(-LN(2)/25)*AV134+(1-EXP(-LN(2)/25))/(LN(2)/25)*Calculateur!AQ135*Calculateur!AS135*VLOOKUP('Données projet'!$B$10,Paramètres!$A$1:$I$89,3,0)*0.475*44/12</f>
        <v>0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106.66695094504657</v>
      </c>
      <c r="AY135" s="7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 t="e">
        <f>BD135*VLOOKUP('Données projet'!$B$11,Paramètres!$A$1:$I$89,3,0)*VLOOKUP('Données projet'!$B$11,Paramètres!$A$1:$I$89,5,0)</f>
        <v>#N/A</v>
      </c>
      <c r="BF135" s="13" t="e">
        <f t="shared" si="145"/>
        <v>#N/A</v>
      </c>
      <c r="BG135" s="20" t="e">
        <f t="shared" si="115"/>
        <v>#N/A</v>
      </c>
      <c r="BH135" s="59" t="e">
        <f t="shared" si="116"/>
        <v>#N/A</v>
      </c>
      <c r="BI135" s="59" t="e">
        <f ca="1">AVERAGE(OFFSET($BH$3,0,0,'Données projet'!$E$11+1,1))-AVERAGE(OFFSET($H$3,0,0,'Données projet'!$E$11+1,1))</f>
        <v>#N/A</v>
      </c>
      <c r="BJ135" s="59" t="e">
        <f t="shared" si="146"/>
        <v>#N/A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 t="e">
        <f>EXP(-LN(2)/35)*BP134+(1-EXP(-LN(2)/35))/(LN(2)/35)*BL135*BM135*VLOOKUP('Données projet'!$B$11,Paramètres!$A$1:$I$89,3,0)*0.475*44/12</f>
        <v>#N/A</v>
      </c>
      <c r="BQ135" s="21" t="e">
        <f>EXP(-LN(2)/25)*BQ134+(1-EXP(-LN(2)/25))/(LN(2)/25)*Calculateur!BL135*Calculateur!BN135*VLOOKUP('Données projet'!$B$11,Paramètres!$A$1:$I$89,3,0)*0.475*44/12</f>
        <v>#N/A</v>
      </c>
      <c r="BR135" s="21" t="e">
        <f>EXP(-LN(2)/2)*BR134+(1-EXP(-LN(2)/2))/(LN(2)/2)*BL135*BO135*VLOOKUP('Données projet'!$B$11,Paramètres!$A$1:$I$89,3,0)*0.475*44/12</f>
        <v>#N/A</v>
      </c>
      <c r="BS135" s="22" t="e">
        <f t="shared" si="117"/>
        <v>#N/A</v>
      </c>
      <c r="BT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">
      <c r="A136" s="10">
        <f t="shared" si="139"/>
        <v>133</v>
      </c>
      <c r="B136" s="72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79.533999999999907</v>
      </c>
      <c r="D136" s="11">
        <f t="shared" si="140"/>
        <v>22.023205994903051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783.9503620659176</v>
      </c>
      <c r="H136" s="66">
        <f t="shared" si="110"/>
        <v>470.21213377445594</v>
      </c>
      <c r="I136" s="6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0</v>
      </c>
      <c r="O136" s="13">
        <f>N136*VLOOKUP('Données projet'!$B$9,Paramètres!$A$1:$I$89,3,0)*VLOOKUP('Données projet'!$B$9,Paramètres!$A$1:$I$89,5,0)</f>
        <v>0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148.39628895278571</v>
      </c>
      <c r="T136" s="59">
        <f t="shared" si="142"/>
        <v>361.07991692964788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16.062508336748927</v>
      </c>
      <c r="AA136" s="21">
        <f>EXP(-LN(2)/25)*AA135+(1-EXP(-LN(2)/25))/(LN(2)/25)*Calculateur!V136*Calculateur!X136*VLOOKUP('Données projet'!$B$9,Paramètres!$A$1:$I$89,3,0)*0.475*44/12</f>
        <v>0.82686392133002673</v>
      </c>
      <c r="AB136" s="21">
        <f>EXP(-LN(2)/2)*AB135+(1-EXP(-LN(2)/2))/(LN(2)/2)*V136*Y136*VLOOKUP('Données projet'!$B$9,Paramètres!$A$1:$I$89,3,0)*0.475*44/12</f>
        <v>1.4118901310381213E-17</v>
      </c>
      <c r="AC136" s="22">
        <f t="shared" si="111"/>
        <v>16.889372258078954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8.4949999999999939</v>
      </c>
      <c r="AI136" s="13">
        <f>IF('Données projet'!$A$62&gt;35,AI135+AH136-AQ135,IF(A136&lt;'Données projet'!$A$62,$AF$205^A136,IF(A136='Données projet'!$A$62,'Données projet'!$B$62,AI135+AH136-AQ135)))</f>
        <v>475.78500000000008</v>
      </c>
      <c r="AJ136" s="13">
        <f>AI136*VLOOKUP('Données projet'!$B$10,Paramètres!$A$1:$I$89,3,0)*VLOOKUP('Données projet'!$B$10,Paramètres!$A$1:$I$89,5,0)</f>
        <v>475.02374400000014</v>
      </c>
      <c r="AK136" s="13">
        <f t="shared" si="143"/>
        <v>106.83110490802692</v>
      </c>
      <c r="AL136" s="20">
        <f t="shared" si="112"/>
        <v>1013.3971951814802</v>
      </c>
      <c r="AM136" s="59">
        <f t="shared" si="113"/>
        <v>1306.7305285148136</v>
      </c>
      <c r="AN136" s="59">
        <f ca="1">AVERAGE(OFFSET($AM$3,0,0,'Données projet'!$E$10+1,1))-AVERAGE(OFFSET($H$3,0,0,'Données projet'!$E$10+1,1))</f>
        <v>525.29195699741149</v>
      </c>
      <c r="AO136" s="59">
        <f t="shared" si="144"/>
        <v>125.99812193007153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104.5752770974301</v>
      </c>
      <c r="AV136" s="21">
        <f>EXP(-LN(2)/25)*AV135+(1-EXP(-LN(2)/25))/(LN(2)/25)*Calculateur!AQ136*Calculateur!AS136*VLOOKUP('Données projet'!$B$10,Paramètres!$A$1:$I$89,3,0)*0.475*44/12</f>
        <v>0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104.5752770974301</v>
      </c>
      <c r="AY136" s="7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 t="e">
        <f>BD136*VLOOKUP('Données projet'!$B$11,Paramètres!$A$1:$I$89,3,0)*VLOOKUP('Données projet'!$B$11,Paramètres!$A$1:$I$89,5,0)</f>
        <v>#N/A</v>
      </c>
      <c r="BF136" s="13" t="e">
        <f t="shared" si="145"/>
        <v>#N/A</v>
      </c>
      <c r="BG136" s="20" t="e">
        <f t="shared" si="115"/>
        <v>#N/A</v>
      </c>
      <c r="BH136" s="59" t="e">
        <f t="shared" si="116"/>
        <v>#N/A</v>
      </c>
      <c r="BI136" s="59" t="e">
        <f ca="1">AVERAGE(OFFSET($BH$3,0,0,'Données projet'!$E$11+1,1))-AVERAGE(OFFSET($H$3,0,0,'Données projet'!$E$11+1,1))</f>
        <v>#N/A</v>
      </c>
      <c r="BJ136" s="59" t="e">
        <f t="shared" si="146"/>
        <v>#N/A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 t="e">
        <f>EXP(-LN(2)/35)*BP135+(1-EXP(-LN(2)/35))/(LN(2)/35)*BL136*BM136*VLOOKUP('Données projet'!$B$11,Paramètres!$A$1:$I$89,3,0)*0.475*44/12</f>
        <v>#N/A</v>
      </c>
      <c r="BQ136" s="21" t="e">
        <f>EXP(-LN(2)/25)*BQ135+(1-EXP(-LN(2)/25))/(LN(2)/25)*Calculateur!BL136*Calculateur!BN136*VLOOKUP('Données projet'!$B$11,Paramètres!$A$1:$I$89,3,0)*0.475*44/12</f>
        <v>#N/A</v>
      </c>
      <c r="BR136" s="21" t="e">
        <f>EXP(-LN(2)/2)*BR135+(1-EXP(-LN(2)/2))/(LN(2)/2)*BL136*BO136*VLOOKUP('Données projet'!$B$11,Paramètres!$A$1:$I$89,3,0)*0.475*44/12</f>
        <v>#N/A</v>
      </c>
      <c r="BS136" s="22" t="e">
        <f t="shared" si="117"/>
        <v>#N/A</v>
      </c>
      <c r="BT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">
      <c r="A137" s="10">
        <f t="shared" si="139"/>
        <v>134</v>
      </c>
      <c r="B137" s="72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80.131999999999906</v>
      </c>
      <c r="D137" s="11">
        <f t="shared" si="140"/>
        <v>22.16945571745314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789.69544764349723</v>
      </c>
      <c r="H137" s="66">
        <f t="shared" si="110"/>
        <v>471.50836870789738</v>
      </c>
      <c r="I137" s="6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0</v>
      </c>
      <c r="O137" s="13">
        <f>N137*VLOOKUP('Données projet'!$B$9,Paramètres!$A$1:$I$89,3,0)*VLOOKUP('Données projet'!$B$9,Paramètres!$A$1:$I$89,5,0)</f>
        <v>0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148.39628895278571</v>
      </c>
      <c r="T137" s="59">
        <f t="shared" si="142"/>
        <v>361.07991692964788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15.747532345427976</v>
      </c>
      <c r="AA137" s="21">
        <f>EXP(-LN(2)/25)*AA136+(1-EXP(-LN(2)/25))/(LN(2)/25)*Calculateur!V137*Calculateur!X137*VLOOKUP('Données projet'!$B$9,Paramètres!$A$1:$I$89,3,0)*0.475*44/12</f>
        <v>0.80425328391837336</v>
      </c>
      <c r="AB137" s="21">
        <f>EXP(-LN(2)/2)*AB136+(1-EXP(-LN(2)/2))/(LN(2)/2)*V137*Y137*VLOOKUP('Données projet'!$B$9,Paramètres!$A$1:$I$89,3,0)*0.475*44/12</f>
        <v>9.9835708594741873E-18</v>
      </c>
      <c r="AC137" s="22">
        <f t="shared" si="111"/>
        <v>16.551785629346348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>
        <f>VLOOKUP(A137,'Données projet'!$A$61:$I$81,2,0)</f>
        <v>484.28</v>
      </c>
      <c r="AG137" s="12">
        <f>VLOOKUP(A137,'Données projet'!$A$61:$I$81,9,0)</f>
        <v>8.4949999999999939</v>
      </c>
      <c r="AH137" s="12">
        <f t="array" ref="AH137">INDEX(AG:AG,MIN(IF(ISNUMBER(AG137:AG333),ROW(AG137:AG333),"")))</f>
        <v>8.4949999999999939</v>
      </c>
      <c r="AI137" s="13">
        <f>IF('Données projet'!$A$62&gt;35,AI136+AH137-AQ136,IF(A137&lt;'Données projet'!$A$62,$AF$205^A137,IF(A137='Données projet'!$A$62,'Données projet'!$B$62,AI136+AH137-AQ136)))</f>
        <v>484.28000000000009</v>
      </c>
      <c r="AJ137" s="13">
        <f>AI137*VLOOKUP('Données projet'!$B$10,Paramètres!$A$1:$I$89,3,0)*VLOOKUP('Données projet'!$B$10,Paramètres!$A$1:$I$89,5,0)</f>
        <v>483.50515200000012</v>
      </c>
      <c r="AK137" s="13">
        <f t="shared" si="143"/>
        <v>108.51477698417389</v>
      </c>
      <c r="AL137" s="20">
        <f t="shared" si="112"/>
        <v>1031.1013763141029</v>
      </c>
      <c r="AM137" s="59">
        <f t="shared" si="113"/>
        <v>1324.4347096474362</v>
      </c>
      <c r="AN137" s="59">
        <f ca="1">AVERAGE(OFFSET($AM$3,0,0,'Données projet'!$E$10+1,1))-AVERAGE(OFFSET($H$3,0,0,'Données projet'!$E$10+1,1))</f>
        <v>525.29195699741149</v>
      </c>
      <c r="AO137" s="59">
        <f t="shared" si="144"/>
        <v>125.99812193007153</v>
      </c>
      <c r="AP137" s="15">
        <f>IF(ISNA(VLOOKUP(A137,'Données projet'!$A$61:$I$81,3,0)),0,VLOOKUP(A137,'Données projet'!$A$61:$I$81,3,0))</f>
        <v>11</v>
      </c>
      <c r="AQ137" s="15">
        <f>IF(ISNA(VLOOKUP(A137,'Données projet'!$A$61:$I$81,4,0)),0,VLOOKUP(A137,'Données projet'!$A$61:$I$81,4,0))</f>
        <v>54.95</v>
      </c>
      <c r="AR137" s="16">
        <f>IF(ISNA(VLOOKUP(A137,'Données projet'!$A$61:$I$81,5,0)),0%,VLOOKUP(A137,'Données projet'!$A$61:$I$81,5,0)*VLOOKUP('Données projet'!$B$10,Paramètres!$A$1:$I$89,7,0))</f>
        <v>0.43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128.60343358998418</v>
      </c>
      <c r="AV137" s="21">
        <f>EXP(-LN(2)/25)*AV136+(1-EXP(-LN(2)/25))/(LN(2)/25)*Calculateur!AQ137*Calculateur!AS137*VLOOKUP('Données projet'!$B$10,Paramètres!$A$1:$I$89,3,0)*0.475*44/12</f>
        <v>0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128.60343358998418</v>
      </c>
      <c r="AY137" s="7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 t="e">
        <f>BD137*VLOOKUP('Données projet'!$B$11,Paramètres!$A$1:$I$89,3,0)*VLOOKUP('Données projet'!$B$11,Paramètres!$A$1:$I$89,5,0)</f>
        <v>#N/A</v>
      </c>
      <c r="BF137" s="13" t="e">
        <f t="shared" si="145"/>
        <v>#N/A</v>
      </c>
      <c r="BG137" s="20" t="e">
        <f t="shared" si="115"/>
        <v>#N/A</v>
      </c>
      <c r="BH137" s="59" t="e">
        <f t="shared" si="116"/>
        <v>#N/A</v>
      </c>
      <c r="BI137" s="59" t="e">
        <f ca="1">AVERAGE(OFFSET($BH$3,0,0,'Données projet'!$E$11+1,1))-AVERAGE(OFFSET($H$3,0,0,'Données projet'!$E$11+1,1))</f>
        <v>#N/A</v>
      </c>
      <c r="BJ137" s="59" t="e">
        <f t="shared" si="146"/>
        <v>#N/A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 t="e">
        <f>EXP(-LN(2)/35)*BP136+(1-EXP(-LN(2)/35))/(LN(2)/35)*BL137*BM137*VLOOKUP('Données projet'!$B$11,Paramètres!$A$1:$I$89,3,0)*0.475*44/12</f>
        <v>#N/A</v>
      </c>
      <c r="BQ137" s="21" t="e">
        <f>EXP(-LN(2)/25)*BQ136+(1-EXP(-LN(2)/25))/(LN(2)/25)*Calculateur!BL137*Calculateur!BN137*VLOOKUP('Données projet'!$B$11,Paramètres!$A$1:$I$89,3,0)*0.475*44/12</f>
        <v>#N/A</v>
      </c>
      <c r="BR137" s="21" t="e">
        <f>EXP(-LN(2)/2)*BR136+(1-EXP(-LN(2)/2))/(LN(2)/2)*BL137*BO137*VLOOKUP('Données projet'!$B$11,Paramètres!$A$1:$I$89,3,0)*0.475*44/12</f>
        <v>#N/A</v>
      </c>
      <c r="BS137" s="22" t="e">
        <f t="shared" si="117"/>
        <v>#N/A</v>
      </c>
      <c r="BT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">
      <c r="A138" s="10">
        <f t="shared" si="139"/>
        <v>135</v>
      </c>
      <c r="B138" s="72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80.729999999999905</v>
      </c>
      <c r="D138" s="11">
        <f t="shared" si="140"/>
        <v>22.31557845311416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795.4395529714069</v>
      </c>
      <c r="H138" s="66">
        <f t="shared" si="110"/>
        <v>472.80438247250697</v>
      </c>
      <c r="I138" s="6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0</v>
      </c>
      <c r="O138" s="13">
        <f>N138*VLOOKUP('Données projet'!$B$9,Paramètres!$A$1:$I$89,3,0)*VLOOKUP('Données projet'!$B$9,Paramètres!$A$1:$I$89,5,0)</f>
        <v>0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148.39628895278571</v>
      </c>
      <c r="T138" s="59">
        <f t="shared" si="142"/>
        <v>361.07991692964788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15.438732841180444</v>
      </c>
      <c r="AA138" s="21">
        <f>EXP(-LN(2)/25)*AA137+(1-EXP(-LN(2)/25))/(LN(2)/25)*Calculateur!V138*Calculateur!X138*VLOOKUP('Données projet'!$B$9,Paramètres!$A$1:$I$89,3,0)*0.475*44/12</f>
        <v>0.78226093557578336</v>
      </c>
      <c r="AB138" s="21">
        <f>EXP(-LN(2)/2)*AB137+(1-EXP(-LN(2)/2))/(LN(2)/2)*V138*Y138*VLOOKUP('Données projet'!$B$9,Paramètres!$A$1:$I$89,3,0)*0.475*44/12</f>
        <v>7.0594506551906064E-18</v>
      </c>
      <c r="AC138" s="22">
        <f t="shared" si="111"/>
        <v>16.220993776756227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8.561000000000007</v>
      </c>
      <c r="AI138" s="13">
        <f>IF('Données projet'!$A$62&gt;35,AI137+AH138-AQ137,IF(A138&lt;'Données projet'!$A$62,$AF$205^A138,IF(A138='Données projet'!$A$62,'Données projet'!$B$62,AI137+AH138-AQ137)))</f>
        <v>437.89100000000013</v>
      </c>
      <c r="AJ138" s="13">
        <f>AI138*VLOOKUP('Données projet'!$B$10,Paramètres!$A$1:$I$89,3,0)*VLOOKUP('Données projet'!$B$10,Paramètres!$A$1:$I$89,5,0)</f>
        <v>437.19037440000011</v>
      </c>
      <c r="AK138" s="13">
        <f t="shared" si="143"/>
        <v>99.276989618585688</v>
      </c>
      <c r="AL138" s="20">
        <f t="shared" si="112"/>
        <v>934.34732566570358</v>
      </c>
      <c r="AM138" s="59">
        <f t="shared" si="113"/>
        <v>1227.680658999037</v>
      </c>
      <c r="AN138" s="59">
        <f ca="1">AVERAGE(OFFSET($AM$3,0,0,'Données projet'!$E$10+1,1))-AVERAGE(OFFSET($H$3,0,0,'Données projet'!$E$10+1,1))</f>
        <v>525.29195699741149</v>
      </c>
      <c r="AO138" s="59">
        <f t="shared" si="144"/>
        <v>125.99812193007153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126.08159869763374</v>
      </c>
      <c r="AV138" s="21">
        <f>EXP(-LN(2)/25)*AV137+(1-EXP(-LN(2)/25))/(LN(2)/25)*Calculateur!AQ138*Calculateur!AS138*VLOOKUP('Données projet'!$B$10,Paramètres!$A$1:$I$89,3,0)*0.475*44/12</f>
        <v>0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126.08159869763374</v>
      </c>
      <c r="AY138" s="7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 t="e">
        <f>BD138*VLOOKUP('Données projet'!$B$11,Paramètres!$A$1:$I$89,3,0)*VLOOKUP('Données projet'!$B$11,Paramètres!$A$1:$I$89,5,0)</f>
        <v>#N/A</v>
      </c>
      <c r="BF138" s="13" t="e">
        <f t="shared" si="145"/>
        <v>#N/A</v>
      </c>
      <c r="BG138" s="20" t="e">
        <f t="shared" si="115"/>
        <v>#N/A</v>
      </c>
      <c r="BH138" s="59" t="e">
        <f t="shared" si="116"/>
        <v>#N/A</v>
      </c>
      <c r="BI138" s="59" t="e">
        <f ca="1">AVERAGE(OFFSET($BH$3,0,0,'Données projet'!$E$11+1,1))-AVERAGE(OFFSET($H$3,0,0,'Données projet'!$E$11+1,1))</f>
        <v>#N/A</v>
      </c>
      <c r="BJ138" s="59" t="e">
        <f t="shared" si="146"/>
        <v>#N/A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 t="e">
        <f>EXP(-LN(2)/35)*BP137+(1-EXP(-LN(2)/35))/(LN(2)/35)*BL138*BM138*VLOOKUP('Données projet'!$B$11,Paramètres!$A$1:$I$89,3,0)*0.475*44/12</f>
        <v>#N/A</v>
      </c>
      <c r="BQ138" s="21" t="e">
        <f>EXP(-LN(2)/25)*BQ137+(1-EXP(-LN(2)/25))/(LN(2)/25)*Calculateur!BL138*Calculateur!BN138*VLOOKUP('Données projet'!$B$11,Paramètres!$A$1:$I$89,3,0)*0.475*44/12</f>
        <v>#N/A</v>
      </c>
      <c r="BR138" s="21" t="e">
        <f>EXP(-LN(2)/2)*BR137+(1-EXP(-LN(2)/2))/(LN(2)/2)*BL138*BO138*VLOOKUP('Données projet'!$B$11,Paramètres!$A$1:$I$89,3,0)*0.475*44/12</f>
        <v>#N/A</v>
      </c>
      <c r="BS138" s="22" t="e">
        <f t="shared" si="117"/>
        <v>#N/A</v>
      </c>
      <c r="BT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">
      <c r="A139" s="10">
        <f t="shared" si="139"/>
        <v>136</v>
      </c>
      <c r="B139" s="72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81.327999999999903</v>
      </c>
      <c r="D139" s="11">
        <f t="shared" si="140"/>
        <v>22.461575251587284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801.18268615260297</v>
      </c>
      <c r="H139" s="66">
        <f t="shared" si="110"/>
        <v>474.10017689651431</v>
      </c>
      <c r="I139" s="6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0</v>
      </c>
      <c r="O139" s="13">
        <f>N139*VLOOKUP('Données projet'!$B$9,Paramètres!$A$1:$I$89,3,0)*VLOOKUP('Données projet'!$B$9,Paramètres!$A$1:$I$89,5,0)</f>
        <v>0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148.39628895278571</v>
      </c>
      <c r="T139" s="59">
        <f t="shared" si="142"/>
        <v>361.07991692964788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15.135988706862108</v>
      </c>
      <c r="AA139" s="21">
        <f>EXP(-LN(2)/25)*AA138+(1-EXP(-LN(2)/25))/(LN(2)/25)*Calculateur!V139*Calculateur!X139*VLOOKUP('Données projet'!$B$9,Paramètres!$A$1:$I$89,3,0)*0.475*44/12</f>
        <v>0.76086996915514882</v>
      </c>
      <c r="AB139" s="21">
        <f>EXP(-LN(2)/2)*AB138+(1-EXP(-LN(2)/2))/(LN(2)/2)*V139*Y139*VLOOKUP('Données projet'!$B$9,Paramètres!$A$1:$I$89,3,0)*0.475*44/12</f>
        <v>4.9917854297370937E-18</v>
      </c>
      <c r="AC139" s="22">
        <f t="shared" si="111"/>
        <v>15.896858676017256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8.561000000000007</v>
      </c>
      <c r="AI139" s="13">
        <f>IF('Données projet'!$A$62&gt;35,AI138+AH139-AQ138,IF(A139&lt;'Données projet'!$A$62,$AF$205^A139,IF(A139='Données projet'!$A$62,'Données projet'!$B$62,AI138+AH139-AQ138)))</f>
        <v>446.45200000000011</v>
      </c>
      <c r="AJ139" s="13">
        <f>AI139*VLOOKUP('Données projet'!$B$10,Paramètres!$A$1:$I$89,3,0)*VLOOKUP('Données projet'!$B$10,Paramètres!$A$1:$I$89,5,0)</f>
        <v>445.73767680000014</v>
      </c>
      <c r="AK139" s="13">
        <f t="shared" si="143"/>
        <v>100.99004698919526</v>
      </c>
      <c r="AL139" s="20">
        <f t="shared" si="112"/>
        <v>952.21745226618202</v>
      </c>
      <c r="AM139" s="59">
        <f t="shared" si="113"/>
        <v>1245.5507855995154</v>
      </c>
      <c r="AN139" s="59">
        <f ca="1">AVERAGE(OFFSET($AM$3,0,0,'Données projet'!$E$10+1,1))-AVERAGE(OFFSET($H$3,0,0,'Données projet'!$E$10+1,1))</f>
        <v>525.29195699741149</v>
      </c>
      <c r="AO139" s="59">
        <f t="shared" si="144"/>
        <v>125.99812193007153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123.60921544935489</v>
      </c>
      <c r="AV139" s="21">
        <f>EXP(-LN(2)/25)*AV138+(1-EXP(-LN(2)/25))/(LN(2)/25)*Calculateur!AQ139*Calculateur!AS139*VLOOKUP('Données projet'!$B$10,Paramètres!$A$1:$I$89,3,0)*0.475*44/12</f>
        <v>0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123.60921544935489</v>
      </c>
      <c r="AY139" s="7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 t="e">
        <f>BD139*VLOOKUP('Données projet'!$B$11,Paramètres!$A$1:$I$89,3,0)*VLOOKUP('Données projet'!$B$11,Paramètres!$A$1:$I$89,5,0)</f>
        <v>#N/A</v>
      </c>
      <c r="BF139" s="13" t="e">
        <f t="shared" si="145"/>
        <v>#N/A</v>
      </c>
      <c r="BG139" s="20" t="e">
        <f t="shared" si="115"/>
        <v>#N/A</v>
      </c>
      <c r="BH139" s="59" t="e">
        <f t="shared" si="116"/>
        <v>#N/A</v>
      </c>
      <c r="BI139" s="59" t="e">
        <f ca="1">AVERAGE(OFFSET($BH$3,0,0,'Données projet'!$E$11+1,1))-AVERAGE(OFFSET($H$3,0,0,'Données projet'!$E$11+1,1))</f>
        <v>#N/A</v>
      </c>
      <c r="BJ139" s="59" t="e">
        <f t="shared" si="146"/>
        <v>#N/A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 t="e">
        <f>EXP(-LN(2)/35)*BP138+(1-EXP(-LN(2)/35))/(LN(2)/35)*BL139*BM139*VLOOKUP('Données projet'!$B$11,Paramètres!$A$1:$I$89,3,0)*0.475*44/12</f>
        <v>#N/A</v>
      </c>
      <c r="BQ139" s="21" t="e">
        <f>EXP(-LN(2)/25)*BQ138+(1-EXP(-LN(2)/25))/(LN(2)/25)*Calculateur!BL139*Calculateur!BN139*VLOOKUP('Données projet'!$B$11,Paramètres!$A$1:$I$89,3,0)*0.475*44/12</f>
        <v>#N/A</v>
      </c>
      <c r="BR139" s="21" t="e">
        <f>EXP(-LN(2)/2)*BR138+(1-EXP(-LN(2)/2))/(LN(2)/2)*BL139*BO139*VLOOKUP('Données projet'!$B$11,Paramètres!$A$1:$I$89,3,0)*0.475*44/12</f>
        <v>#N/A</v>
      </c>
      <c r="BS139" s="22" t="e">
        <f t="shared" si="117"/>
        <v>#N/A</v>
      </c>
      <c r="BT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">
      <c r="A140" s="10">
        <f t="shared" si="139"/>
        <v>137</v>
      </c>
      <c r="B140" s="72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81.925999999999902</v>
      </c>
      <c r="D140" s="11">
        <f t="shared" si="140"/>
        <v>22.607447146245129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806.92485516399677</v>
      </c>
      <c r="H140" s="66">
        <f t="shared" si="110"/>
        <v>475.39575377971011</v>
      </c>
      <c r="I140" s="6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0</v>
      </c>
      <c r="O140" s="13">
        <f>N140*VLOOKUP('Données projet'!$B$9,Paramètres!$A$1:$I$89,3,0)*VLOOKUP('Données projet'!$B$9,Paramètres!$A$1:$I$89,5,0)</f>
        <v>0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148.39628895278571</v>
      </c>
      <c r="T140" s="59">
        <f t="shared" si="142"/>
        <v>361.07991692964788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14.839181200362065</v>
      </c>
      <c r="AA140" s="21">
        <f>EXP(-LN(2)/25)*AA139+(1-EXP(-LN(2)/25))/(LN(2)/25)*Calculateur!V140*Calculateur!X140*VLOOKUP('Données projet'!$B$9,Paramètres!$A$1:$I$89,3,0)*0.475*44/12</f>
        <v>0.74006393983618857</v>
      </c>
      <c r="AB140" s="21">
        <f>EXP(-LN(2)/2)*AB139+(1-EXP(-LN(2)/2))/(LN(2)/2)*V140*Y140*VLOOKUP('Données projet'!$B$9,Paramètres!$A$1:$I$89,3,0)*0.475*44/12</f>
        <v>3.5297253275953032E-18</v>
      </c>
      <c r="AC140" s="22">
        <f t="shared" si="111"/>
        <v>15.579245140198253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8.561000000000007</v>
      </c>
      <c r="AI140" s="13">
        <f>IF('Données projet'!$A$62&gt;35,AI139+AH140-AQ139,IF(A140&lt;'Données projet'!$A$62,$AF$205^A140,IF(A140='Données projet'!$A$62,'Données projet'!$B$62,AI139+AH140-AQ139)))</f>
        <v>455.01300000000015</v>
      </c>
      <c r="AJ140" s="13">
        <f>AI140*VLOOKUP('Données projet'!$B$10,Paramètres!$A$1:$I$89,3,0)*VLOOKUP('Données projet'!$B$10,Paramètres!$A$1:$I$89,5,0)</f>
        <v>454.28497920000024</v>
      </c>
      <c r="AK140" s="13">
        <f t="shared" si="143"/>
        <v>102.69928475741209</v>
      </c>
      <c r="AL140" s="20">
        <f t="shared" si="112"/>
        <v>970.08092639249298</v>
      </c>
      <c r="AM140" s="59">
        <f t="shared" si="113"/>
        <v>1263.4142597258262</v>
      </c>
      <c r="AN140" s="59">
        <f ca="1">AVERAGE(OFFSET($AM$3,0,0,'Données projet'!$E$10+1,1))-AVERAGE(OFFSET($H$3,0,0,'Données projet'!$E$10+1,1))</f>
        <v>525.29195699741149</v>
      </c>
      <c r="AO140" s="59">
        <f t="shared" si="144"/>
        <v>125.99812193007153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121.18531412856991</v>
      </c>
      <c r="AV140" s="21">
        <f>EXP(-LN(2)/25)*AV139+(1-EXP(-LN(2)/25))/(LN(2)/25)*Calculateur!AQ140*Calculateur!AS140*VLOOKUP('Données projet'!$B$10,Paramètres!$A$1:$I$89,3,0)*0.475*44/12</f>
        <v>0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121.18531412856991</v>
      </c>
      <c r="AY140" s="7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 t="e">
        <f>BD140*VLOOKUP('Données projet'!$B$11,Paramètres!$A$1:$I$89,3,0)*VLOOKUP('Données projet'!$B$11,Paramètres!$A$1:$I$89,5,0)</f>
        <v>#N/A</v>
      </c>
      <c r="BF140" s="13" t="e">
        <f t="shared" si="145"/>
        <v>#N/A</v>
      </c>
      <c r="BG140" s="20" t="e">
        <f t="shared" si="115"/>
        <v>#N/A</v>
      </c>
      <c r="BH140" s="59" t="e">
        <f t="shared" si="116"/>
        <v>#N/A</v>
      </c>
      <c r="BI140" s="59" t="e">
        <f ca="1">AVERAGE(OFFSET($BH$3,0,0,'Données projet'!$E$11+1,1))-AVERAGE(OFFSET($H$3,0,0,'Données projet'!$E$11+1,1))</f>
        <v>#N/A</v>
      </c>
      <c r="BJ140" s="59" t="e">
        <f t="shared" si="146"/>
        <v>#N/A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 t="e">
        <f>EXP(-LN(2)/35)*BP139+(1-EXP(-LN(2)/35))/(LN(2)/35)*BL140*BM140*VLOOKUP('Données projet'!$B$11,Paramètres!$A$1:$I$89,3,0)*0.475*44/12</f>
        <v>#N/A</v>
      </c>
      <c r="BQ140" s="21" t="e">
        <f>EXP(-LN(2)/25)*BQ139+(1-EXP(-LN(2)/25))/(LN(2)/25)*Calculateur!BL140*Calculateur!BN140*VLOOKUP('Données projet'!$B$11,Paramètres!$A$1:$I$89,3,0)*0.475*44/12</f>
        <v>#N/A</v>
      </c>
      <c r="BR140" s="21" t="e">
        <f>EXP(-LN(2)/2)*BR139+(1-EXP(-LN(2)/2))/(LN(2)/2)*BL140*BO140*VLOOKUP('Données projet'!$B$11,Paramètres!$A$1:$I$89,3,0)*0.475*44/12</f>
        <v>#N/A</v>
      </c>
      <c r="BS140" s="22" t="e">
        <f t="shared" si="117"/>
        <v>#N/A</v>
      </c>
      <c r="BT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">
      <c r="A141" s="10">
        <f t="shared" si="139"/>
        <v>138</v>
      </c>
      <c r="B141" s="72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82.523999999999901</v>
      </c>
      <c r="D141" s="11">
        <f t="shared" si="140"/>
        <v>22.75319515450283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812.66606785931936</v>
      </c>
      <c r="H141" s="66">
        <f t="shared" si="110"/>
        <v>476.69111489409227</v>
      </c>
      <c r="I141" s="6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0</v>
      </c>
      <c r="O141" s="13">
        <f>N141*VLOOKUP('Données projet'!$B$9,Paramètres!$A$1:$I$89,3,0)*VLOOKUP('Données projet'!$B$9,Paramètres!$A$1:$I$89,5,0)</f>
        <v>0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148.39628895278571</v>
      </c>
      <c r="T141" s="59">
        <f t="shared" si="142"/>
        <v>361.07991692964788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14.548193908029784</v>
      </c>
      <c r="AA141" s="21">
        <f>EXP(-LN(2)/25)*AA140+(1-EXP(-LN(2)/25))/(LN(2)/25)*Calculateur!V141*Calculateur!X141*VLOOKUP('Données projet'!$B$9,Paramètres!$A$1:$I$89,3,0)*0.475*44/12</f>
        <v>0.71982685248309686</v>
      </c>
      <c r="AB141" s="21">
        <f>EXP(-LN(2)/2)*AB140+(1-EXP(-LN(2)/2))/(LN(2)/2)*V141*Y141*VLOOKUP('Données projet'!$B$9,Paramètres!$A$1:$I$89,3,0)*0.475*44/12</f>
        <v>2.4958927148685468E-18</v>
      </c>
      <c r="AC141" s="22">
        <f t="shared" si="111"/>
        <v>15.268020760512881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8.561000000000007</v>
      </c>
      <c r="AI141" s="13">
        <f>IF('Données projet'!$A$62&gt;35,AI140+AH141-AQ140,IF(A141&lt;'Données projet'!$A$62,$AF$205^A141,IF(A141='Données projet'!$A$62,'Données projet'!$B$62,AI140+AH141-AQ140)))</f>
        <v>463.57400000000018</v>
      </c>
      <c r="AJ141" s="13">
        <f>AI141*VLOOKUP('Données projet'!$B$10,Paramètres!$A$1:$I$89,3,0)*VLOOKUP('Données projet'!$B$10,Paramètres!$A$1:$I$89,5,0)</f>
        <v>462.83228160000021</v>
      </c>
      <c r="AK141" s="13">
        <f t="shared" si="143"/>
        <v>104.40478307533309</v>
      </c>
      <c r="AL141" s="20">
        <f t="shared" si="112"/>
        <v>987.93788764287194</v>
      </c>
      <c r="AM141" s="59">
        <f t="shared" si="113"/>
        <v>1281.2712209762053</v>
      </c>
      <c r="AN141" s="59">
        <f ca="1">AVERAGE(OFFSET($AM$3,0,0,'Données projet'!$E$10+1,1))-AVERAGE(OFFSET($H$3,0,0,'Données projet'!$E$10+1,1))</f>
        <v>525.29195699741149</v>
      </c>
      <c r="AO141" s="59">
        <f t="shared" si="144"/>
        <v>125.99812193007153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118.80894403425171</v>
      </c>
      <c r="AV141" s="21">
        <f>EXP(-LN(2)/25)*AV140+(1-EXP(-LN(2)/25))/(LN(2)/25)*Calculateur!AQ141*Calculateur!AS141*VLOOKUP('Données projet'!$B$10,Paramètres!$A$1:$I$89,3,0)*0.475*44/12</f>
        <v>0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118.80894403425171</v>
      </c>
      <c r="AY141" s="7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 t="e">
        <f>BD141*VLOOKUP('Données projet'!$B$11,Paramètres!$A$1:$I$89,3,0)*VLOOKUP('Données projet'!$B$11,Paramètres!$A$1:$I$89,5,0)</f>
        <v>#N/A</v>
      </c>
      <c r="BF141" s="13" t="e">
        <f t="shared" si="145"/>
        <v>#N/A</v>
      </c>
      <c r="BG141" s="20" t="e">
        <f t="shared" si="115"/>
        <v>#N/A</v>
      </c>
      <c r="BH141" s="59" t="e">
        <f t="shared" si="116"/>
        <v>#N/A</v>
      </c>
      <c r="BI141" s="59" t="e">
        <f ca="1">AVERAGE(OFFSET($BH$3,0,0,'Données projet'!$E$11+1,1))-AVERAGE(OFFSET($H$3,0,0,'Données projet'!$E$11+1,1))</f>
        <v>#N/A</v>
      </c>
      <c r="BJ141" s="59" t="e">
        <f t="shared" si="146"/>
        <v>#N/A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 t="e">
        <f>EXP(-LN(2)/35)*BP140+(1-EXP(-LN(2)/35))/(LN(2)/35)*BL141*BM141*VLOOKUP('Données projet'!$B$11,Paramètres!$A$1:$I$89,3,0)*0.475*44/12</f>
        <v>#N/A</v>
      </c>
      <c r="BQ141" s="21" t="e">
        <f>EXP(-LN(2)/25)*BQ140+(1-EXP(-LN(2)/25))/(LN(2)/25)*Calculateur!BL141*Calculateur!BN141*VLOOKUP('Données projet'!$B$11,Paramètres!$A$1:$I$89,3,0)*0.475*44/12</f>
        <v>#N/A</v>
      </c>
      <c r="BR141" s="21" t="e">
        <f>EXP(-LN(2)/2)*BR140+(1-EXP(-LN(2)/2))/(LN(2)/2)*BL141*BO141*VLOOKUP('Données projet'!$B$11,Paramètres!$A$1:$I$89,3,0)*0.475*44/12</f>
        <v>#N/A</v>
      </c>
      <c r="BS141" s="22" t="e">
        <f t="shared" si="117"/>
        <v>#N/A</v>
      </c>
      <c r="BT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">
      <c r="A142" s="10">
        <f t="shared" si="139"/>
        <v>139</v>
      </c>
      <c r="B142" s="72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83.1219999999999</v>
      </c>
      <c r="D142" s="11">
        <f t="shared" si="140"/>
        <v>22.898820278178491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818.40633197190346</v>
      </c>
      <c r="H142" s="66">
        <f t="shared" si="110"/>
        <v>477.98626198449398</v>
      </c>
      <c r="I142" s="6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0</v>
      </c>
      <c r="O142" s="13">
        <f>N142*VLOOKUP('Données projet'!$B$9,Paramètres!$A$1:$I$89,3,0)*VLOOKUP('Données projet'!$B$9,Paramètres!$A$1:$I$89,5,0)</f>
        <v>0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148.39628895278571</v>
      </c>
      <c r="T142" s="59">
        <f t="shared" si="142"/>
        <v>361.07991692964788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14.262912699015416</v>
      </c>
      <c r="AA142" s="21">
        <f>EXP(-LN(2)/25)*AA141+(1-EXP(-LN(2)/25))/(LN(2)/25)*Calculateur!V142*Calculateur!X142*VLOOKUP('Données projet'!$B$9,Paramètres!$A$1:$I$89,3,0)*0.475*44/12</f>
        <v>0.70014314934789756</v>
      </c>
      <c r="AB142" s="21">
        <f>EXP(-LN(2)/2)*AB141+(1-EXP(-LN(2)/2))/(LN(2)/2)*V142*Y142*VLOOKUP('Données projet'!$B$9,Paramètres!$A$1:$I$89,3,0)*0.475*44/12</f>
        <v>1.7648626637976516E-18</v>
      </c>
      <c r="AC142" s="22">
        <f t="shared" si="111"/>
        <v>14.963055848363314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8.561000000000007</v>
      </c>
      <c r="AI142" s="13">
        <f>IF('Données projet'!$A$62&gt;35,AI141+AH142-AQ141,IF(A142&lt;'Données projet'!$A$62,$AF$205^A142,IF(A142='Données projet'!$A$62,'Données projet'!$B$62,AI141+AH142-AQ141)))</f>
        <v>472.13500000000022</v>
      </c>
      <c r="AJ142" s="13">
        <f>AI142*VLOOKUP('Données projet'!$B$10,Paramètres!$A$1:$I$89,3,0)*VLOOKUP('Données projet'!$B$10,Paramètres!$A$1:$I$89,5,0)</f>
        <v>471.37958400000019</v>
      </c>
      <c r="AK142" s="13">
        <f t="shared" si="143"/>
        <v>106.10661896519242</v>
      </c>
      <c r="AL142" s="20">
        <f t="shared" si="112"/>
        <v>1005.7884701643774</v>
      </c>
      <c r="AM142" s="59">
        <f t="shared" si="113"/>
        <v>1299.1218034977107</v>
      </c>
      <c r="AN142" s="59">
        <f ca="1">AVERAGE(OFFSET($AM$3,0,0,'Données projet'!$E$10+1,1))-AVERAGE(OFFSET($H$3,0,0,'Données projet'!$E$10+1,1))</f>
        <v>525.29195699741149</v>
      </c>
      <c r="AO142" s="59">
        <f t="shared" si="144"/>
        <v>125.99812193007153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116.47917310804044</v>
      </c>
      <c r="AV142" s="21">
        <f>EXP(-LN(2)/25)*AV141+(1-EXP(-LN(2)/25))/(LN(2)/25)*Calculateur!AQ142*Calculateur!AS142*VLOOKUP('Données projet'!$B$10,Paramètres!$A$1:$I$89,3,0)*0.475*44/12</f>
        <v>0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116.47917310804044</v>
      </c>
      <c r="AY142" s="7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 t="e">
        <f>BD142*VLOOKUP('Données projet'!$B$11,Paramètres!$A$1:$I$89,3,0)*VLOOKUP('Données projet'!$B$11,Paramètres!$A$1:$I$89,5,0)</f>
        <v>#N/A</v>
      </c>
      <c r="BF142" s="13" t="e">
        <f t="shared" si="145"/>
        <v>#N/A</v>
      </c>
      <c r="BG142" s="20" t="e">
        <f t="shared" si="115"/>
        <v>#N/A</v>
      </c>
      <c r="BH142" s="59" t="e">
        <f t="shared" si="116"/>
        <v>#N/A</v>
      </c>
      <c r="BI142" s="59" t="e">
        <f ca="1">AVERAGE(OFFSET($BH$3,0,0,'Données projet'!$E$11+1,1))-AVERAGE(OFFSET($H$3,0,0,'Données projet'!$E$11+1,1))</f>
        <v>#N/A</v>
      </c>
      <c r="BJ142" s="59" t="e">
        <f t="shared" si="146"/>
        <v>#N/A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 t="e">
        <f>EXP(-LN(2)/35)*BP141+(1-EXP(-LN(2)/35))/(LN(2)/35)*BL142*BM142*VLOOKUP('Données projet'!$B$11,Paramètres!$A$1:$I$89,3,0)*0.475*44/12</f>
        <v>#N/A</v>
      </c>
      <c r="BQ142" s="21" t="e">
        <f>EXP(-LN(2)/25)*BQ141+(1-EXP(-LN(2)/25))/(LN(2)/25)*Calculateur!BL142*Calculateur!BN142*VLOOKUP('Données projet'!$B$11,Paramètres!$A$1:$I$89,3,0)*0.475*44/12</f>
        <v>#N/A</v>
      </c>
      <c r="BR142" s="21" t="e">
        <f>EXP(-LN(2)/2)*BR141+(1-EXP(-LN(2)/2))/(LN(2)/2)*BL142*BO142*VLOOKUP('Données projet'!$B$11,Paramètres!$A$1:$I$89,3,0)*0.475*44/12</f>
        <v>#N/A</v>
      </c>
      <c r="BS142" s="22" t="e">
        <f t="shared" si="117"/>
        <v>#N/A</v>
      </c>
      <c r="BT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">
      <c r="A143" s="10">
        <f t="shared" si="139"/>
        <v>140</v>
      </c>
      <c r="B143" s="72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83.719999999999899</v>
      </c>
      <c r="D143" s="11">
        <f t="shared" si="140"/>
        <v>23.044323503842559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824.14565511738044</v>
      </c>
      <c r="H143" s="66">
        <f t="shared" si="110"/>
        <v>479.28119676919226</v>
      </c>
      <c r="I143" s="6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0</v>
      </c>
      <c r="O143" s="13">
        <f>N143*VLOOKUP('Données projet'!$B$9,Paramètres!$A$1:$I$89,3,0)*VLOOKUP('Données projet'!$B$9,Paramètres!$A$1:$I$89,5,0)</f>
        <v>0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148.39628895278571</v>
      </c>
      <c r="T143" s="59">
        <f t="shared" si="142"/>
        <v>361.07991692964788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13.983225680505464</v>
      </c>
      <c r="AA143" s="21">
        <f>EXP(-LN(2)/25)*AA142+(1-EXP(-LN(2)/25))/(LN(2)/25)*Calculateur!V143*Calculateur!X143*VLOOKUP('Données projet'!$B$9,Paramètres!$A$1:$I$89,3,0)*0.475*44/12</f>
        <v>0.68099769811005129</v>
      </c>
      <c r="AB143" s="21">
        <f>EXP(-LN(2)/2)*AB142+(1-EXP(-LN(2)/2))/(LN(2)/2)*V143*Y143*VLOOKUP('Données projet'!$B$9,Paramètres!$A$1:$I$89,3,0)*0.475*44/12</f>
        <v>1.2479463574342734E-18</v>
      </c>
      <c r="AC143" s="22">
        <f t="shared" si="111"/>
        <v>14.664223378615516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8.561000000000007</v>
      </c>
      <c r="AI143" s="13">
        <f>IF('Données projet'!$A$62&gt;35,AI142+AH143-AQ142,IF(A143&lt;'Données projet'!$A$62,$AF$205^A143,IF(A143='Données projet'!$A$62,'Données projet'!$B$62,AI142+AH143-AQ142)))</f>
        <v>480.69600000000025</v>
      </c>
      <c r="AJ143" s="13">
        <f>AI143*VLOOKUP('Données projet'!$B$10,Paramètres!$A$1:$I$89,3,0)*VLOOKUP('Données projet'!$B$10,Paramètres!$A$1:$I$89,5,0)</f>
        <v>479.92688640000028</v>
      </c>
      <c r="AK143" s="13">
        <f t="shared" si="143"/>
        <v>107.80486649607667</v>
      </c>
      <c r="AL143" s="20">
        <f t="shared" si="112"/>
        <v>1023.6328029606674</v>
      </c>
      <c r="AM143" s="59">
        <f t="shared" si="113"/>
        <v>1316.9661362940008</v>
      </c>
      <c r="AN143" s="59">
        <f ca="1">AVERAGE(OFFSET($AM$3,0,0,'Données projet'!$E$10+1,1))-AVERAGE(OFFSET($H$3,0,0,'Données projet'!$E$10+1,1))</f>
        <v>525.29195699741149</v>
      </c>
      <c r="AO143" s="59">
        <f t="shared" si="144"/>
        <v>125.99812193007153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114.19508756867222</v>
      </c>
      <c r="AV143" s="21">
        <f>EXP(-LN(2)/25)*AV142+(1-EXP(-LN(2)/25))/(LN(2)/25)*Calculateur!AQ143*Calculateur!AS143*VLOOKUP('Données projet'!$B$10,Paramètres!$A$1:$I$89,3,0)*0.475*44/12</f>
        <v>0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114.19508756867222</v>
      </c>
      <c r="AY143" s="7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 t="e">
        <f>BD143*VLOOKUP('Données projet'!$B$11,Paramètres!$A$1:$I$89,3,0)*VLOOKUP('Données projet'!$B$11,Paramètres!$A$1:$I$89,5,0)</f>
        <v>#N/A</v>
      </c>
      <c r="BF143" s="13" t="e">
        <f t="shared" si="145"/>
        <v>#N/A</v>
      </c>
      <c r="BG143" s="20" t="e">
        <f t="shared" si="115"/>
        <v>#N/A</v>
      </c>
      <c r="BH143" s="59" t="e">
        <f t="shared" si="116"/>
        <v>#N/A</v>
      </c>
      <c r="BI143" s="59" t="e">
        <f ca="1">AVERAGE(OFFSET($BH$3,0,0,'Données projet'!$E$11+1,1))-AVERAGE(OFFSET($H$3,0,0,'Données projet'!$E$11+1,1))</f>
        <v>#N/A</v>
      </c>
      <c r="BJ143" s="59" t="e">
        <f t="shared" si="146"/>
        <v>#N/A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 t="e">
        <f>EXP(-LN(2)/35)*BP142+(1-EXP(-LN(2)/35))/(LN(2)/35)*BL143*BM143*VLOOKUP('Données projet'!$B$11,Paramètres!$A$1:$I$89,3,0)*0.475*44/12</f>
        <v>#N/A</v>
      </c>
      <c r="BQ143" s="21" t="e">
        <f>EXP(-LN(2)/25)*BQ142+(1-EXP(-LN(2)/25))/(LN(2)/25)*Calculateur!BL143*Calculateur!BN143*VLOOKUP('Données projet'!$B$11,Paramètres!$A$1:$I$89,3,0)*0.475*44/12</f>
        <v>#N/A</v>
      </c>
      <c r="BR143" s="21" t="e">
        <f>EXP(-LN(2)/2)*BR142+(1-EXP(-LN(2)/2))/(LN(2)/2)*BL143*BO143*VLOOKUP('Données projet'!$B$11,Paramètres!$A$1:$I$89,3,0)*0.475*44/12</f>
        <v>#N/A</v>
      </c>
      <c r="BS143" s="22" t="e">
        <f t="shared" si="117"/>
        <v>#N/A</v>
      </c>
      <c r="BT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">
      <c r="A144" s="10">
        <f t="shared" si="139"/>
        <v>141</v>
      </c>
      <c r="B144" s="72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84.317999999999898</v>
      </c>
      <c r="D144" s="11">
        <f t="shared" si="140"/>
        <v>23.189705803157228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829.8840447963006</v>
      </c>
      <c r="H144" s="66">
        <f t="shared" si="110"/>
        <v>480.57592094049863</v>
      </c>
      <c r="I144" s="6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0</v>
      </c>
      <c r="O144" s="13">
        <f>N144*VLOOKUP('Données projet'!$B$9,Paramètres!$A$1:$I$89,3,0)*VLOOKUP('Données projet'!$B$9,Paramètres!$A$1:$I$89,5,0)</f>
        <v>0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148.39628895278571</v>
      </c>
      <c r="T144" s="59">
        <f t="shared" si="142"/>
        <v>361.07991692964788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13.709023153836256</v>
      </c>
      <c r="AA144" s="21">
        <f>EXP(-LN(2)/25)*AA143+(1-EXP(-LN(2)/25))/(LN(2)/25)*Calculateur!V144*Calculateur!X144*VLOOKUP('Données projet'!$B$9,Paramètres!$A$1:$I$89,3,0)*0.475*44/12</f>
        <v>0.66237578024311938</v>
      </c>
      <c r="AB144" s="21">
        <f>EXP(-LN(2)/2)*AB143+(1-EXP(-LN(2)/2))/(LN(2)/2)*V144*Y144*VLOOKUP('Données projet'!$B$9,Paramètres!$A$1:$I$89,3,0)*0.475*44/12</f>
        <v>8.8243133189882579E-19</v>
      </c>
      <c r="AC144" s="22">
        <f t="shared" si="111"/>
        <v>14.371398934079375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8.561000000000007</v>
      </c>
      <c r="AI144" s="13">
        <f>IF('Données projet'!$A$62&gt;35,AI143+AH144-AQ143,IF(A144&lt;'Données projet'!$A$62,$AF$205^A144,IF(A144='Données projet'!$A$62,'Données projet'!$B$62,AI143+AH144-AQ143)))</f>
        <v>489.25700000000029</v>
      </c>
      <c r="AJ144" s="13">
        <f>AI144*VLOOKUP('Données projet'!$B$10,Paramètres!$A$1:$I$89,3,0)*VLOOKUP('Données projet'!$B$10,Paramètres!$A$1:$I$89,5,0)</f>
        <v>488.47418880000026</v>
      </c>
      <c r="AK144" s="13">
        <f t="shared" si="143"/>
        <v>109.49959694769375</v>
      </c>
      <c r="AL144" s="20">
        <f t="shared" si="112"/>
        <v>1041.4710101772337</v>
      </c>
      <c r="AM144" s="59">
        <f t="shared" si="113"/>
        <v>1334.8043435105669</v>
      </c>
      <c r="AN144" s="59">
        <f ca="1">AVERAGE(OFFSET($AM$3,0,0,'Données projet'!$E$10+1,1))-AVERAGE(OFFSET($H$3,0,0,'Données projet'!$E$10+1,1))</f>
        <v>525.29195699741149</v>
      </c>
      <c r="AO144" s="59">
        <f t="shared" si="144"/>
        <v>125.99812193007153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111.9557915535764</v>
      </c>
      <c r="AV144" s="21">
        <f>EXP(-LN(2)/25)*AV143+(1-EXP(-LN(2)/25))/(LN(2)/25)*Calculateur!AQ144*Calculateur!AS144*VLOOKUP('Données projet'!$B$10,Paramètres!$A$1:$I$89,3,0)*0.475*44/12</f>
        <v>0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111.9557915535764</v>
      </c>
      <c r="AY144" s="7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 t="e">
        <f>BD144*VLOOKUP('Données projet'!$B$11,Paramètres!$A$1:$I$89,3,0)*VLOOKUP('Données projet'!$B$11,Paramètres!$A$1:$I$89,5,0)</f>
        <v>#N/A</v>
      </c>
      <c r="BF144" s="13" t="e">
        <f t="shared" si="145"/>
        <v>#N/A</v>
      </c>
      <c r="BG144" s="20" t="e">
        <f t="shared" si="115"/>
        <v>#N/A</v>
      </c>
      <c r="BH144" s="59" t="e">
        <f t="shared" si="116"/>
        <v>#N/A</v>
      </c>
      <c r="BI144" s="59" t="e">
        <f ca="1">AVERAGE(OFFSET($BH$3,0,0,'Données projet'!$E$11+1,1))-AVERAGE(OFFSET($H$3,0,0,'Données projet'!$E$11+1,1))</f>
        <v>#N/A</v>
      </c>
      <c r="BJ144" s="59" t="e">
        <f t="shared" si="146"/>
        <v>#N/A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 t="e">
        <f>EXP(-LN(2)/35)*BP143+(1-EXP(-LN(2)/35))/(LN(2)/35)*BL144*BM144*VLOOKUP('Données projet'!$B$11,Paramètres!$A$1:$I$89,3,0)*0.475*44/12</f>
        <v>#N/A</v>
      </c>
      <c r="BQ144" s="21" t="e">
        <f>EXP(-LN(2)/25)*BQ143+(1-EXP(-LN(2)/25))/(LN(2)/25)*Calculateur!BL144*Calculateur!BN144*VLOOKUP('Données projet'!$B$11,Paramètres!$A$1:$I$89,3,0)*0.475*44/12</f>
        <v>#N/A</v>
      </c>
      <c r="BR144" s="21" t="e">
        <f>EXP(-LN(2)/2)*BR143+(1-EXP(-LN(2)/2))/(LN(2)/2)*BL144*BO144*VLOOKUP('Données projet'!$B$11,Paramètres!$A$1:$I$89,3,0)*0.475*44/12</f>
        <v>#N/A</v>
      </c>
      <c r="BS144" s="22" t="e">
        <f t="shared" si="117"/>
        <v>#N/A</v>
      </c>
      <c r="BT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">
      <c r="A145" s="10">
        <f t="shared" si="139"/>
        <v>142</v>
      </c>
      <c r="B145" s="72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84.915999999999897</v>
      </c>
      <c r="D145" s="11">
        <f t="shared" si="140"/>
        <v>23.334968133205699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835.62150839667481</v>
      </c>
      <c r="H145" s="66">
        <f t="shared" si="110"/>
        <v>481.87043616533305</v>
      </c>
      <c r="I145" s="6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0</v>
      </c>
      <c r="O145" s="13">
        <f>N145*VLOOKUP('Données projet'!$B$9,Paramètres!$A$1:$I$89,3,0)*VLOOKUP('Données projet'!$B$9,Paramètres!$A$1:$I$89,5,0)</f>
        <v>0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148.39628895278571</v>
      </c>
      <c r="T145" s="59">
        <f t="shared" si="142"/>
        <v>361.07991692964788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13.440197571468003</v>
      </c>
      <c r="AA145" s="21">
        <f>EXP(-LN(2)/25)*AA144+(1-EXP(-LN(2)/25))/(LN(2)/25)*Calculateur!V145*Calculateur!X145*VLOOKUP('Données projet'!$B$9,Paramètres!$A$1:$I$89,3,0)*0.475*44/12</f>
        <v>0.64426307969954288</v>
      </c>
      <c r="AB145" s="21">
        <f>EXP(-LN(2)/2)*AB144+(1-EXP(-LN(2)/2))/(LN(2)/2)*V145*Y145*VLOOKUP('Données projet'!$B$9,Paramètres!$A$1:$I$89,3,0)*0.475*44/12</f>
        <v>6.2397317871713671E-19</v>
      </c>
      <c r="AC145" s="22">
        <f t="shared" si="111"/>
        <v>14.084460651167547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8.561000000000007</v>
      </c>
      <c r="AI145" s="13">
        <f>IF('Données projet'!$A$62&gt;35,AI144+AH145-AQ144,IF(A145&lt;'Données projet'!$A$62,$AF$205^A145,IF(A145='Données projet'!$A$62,'Données projet'!$B$62,AI144+AH145-AQ144)))</f>
        <v>497.81800000000032</v>
      </c>
      <c r="AJ145" s="13">
        <f>AI145*VLOOKUP('Données projet'!$B$10,Paramètres!$A$1:$I$89,3,0)*VLOOKUP('Données projet'!$B$10,Paramètres!$A$1:$I$89,5,0)</f>
        <v>497.02149120000036</v>
      </c>
      <c r="AK145" s="13">
        <f t="shared" si="143"/>
        <v>111.19087896235689</v>
      </c>
      <c r="AL145" s="20">
        <f t="shared" si="112"/>
        <v>1059.3032113661056</v>
      </c>
      <c r="AM145" s="59">
        <f t="shared" si="113"/>
        <v>1352.6365446994389</v>
      </c>
      <c r="AN145" s="59">
        <f ca="1">AVERAGE(OFFSET($AM$3,0,0,'Données projet'!$E$10+1,1))-AVERAGE(OFFSET($H$3,0,0,'Données projet'!$E$10+1,1))</f>
        <v>525.29195699741149</v>
      </c>
      <c r="AO145" s="59">
        <f t="shared" si="144"/>
        <v>125.99812193007153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109.76040676750091</v>
      </c>
      <c r="AV145" s="21">
        <f>EXP(-LN(2)/25)*AV144+(1-EXP(-LN(2)/25))/(LN(2)/25)*Calculateur!AQ145*Calculateur!AS145*VLOOKUP('Données projet'!$B$10,Paramètres!$A$1:$I$89,3,0)*0.475*44/12</f>
        <v>0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109.76040676750091</v>
      </c>
      <c r="AY145" s="7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 t="e">
        <f>BD145*VLOOKUP('Données projet'!$B$11,Paramètres!$A$1:$I$89,3,0)*VLOOKUP('Données projet'!$B$11,Paramètres!$A$1:$I$89,5,0)</f>
        <v>#N/A</v>
      </c>
      <c r="BF145" s="13" t="e">
        <f t="shared" si="145"/>
        <v>#N/A</v>
      </c>
      <c r="BG145" s="20" t="e">
        <f t="shared" si="115"/>
        <v>#N/A</v>
      </c>
      <c r="BH145" s="59" t="e">
        <f t="shared" si="116"/>
        <v>#N/A</v>
      </c>
      <c r="BI145" s="59" t="e">
        <f ca="1">AVERAGE(OFFSET($BH$3,0,0,'Données projet'!$E$11+1,1))-AVERAGE(OFFSET($H$3,0,0,'Données projet'!$E$11+1,1))</f>
        <v>#N/A</v>
      </c>
      <c r="BJ145" s="59" t="e">
        <f t="shared" si="146"/>
        <v>#N/A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 t="e">
        <f>EXP(-LN(2)/35)*BP144+(1-EXP(-LN(2)/35))/(LN(2)/35)*BL145*BM145*VLOOKUP('Données projet'!$B$11,Paramètres!$A$1:$I$89,3,0)*0.475*44/12</f>
        <v>#N/A</v>
      </c>
      <c r="BQ145" s="21" t="e">
        <f>EXP(-LN(2)/25)*BQ144+(1-EXP(-LN(2)/25))/(LN(2)/25)*Calculateur!BL145*Calculateur!BN145*VLOOKUP('Données projet'!$B$11,Paramètres!$A$1:$I$89,3,0)*0.475*44/12</f>
        <v>#N/A</v>
      </c>
      <c r="BR145" s="21" t="e">
        <f>EXP(-LN(2)/2)*BR144+(1-EXP(-LN(2)/2))/(LN(2)/2)*BL145*BO145*VLOOKUP('Données projet'!$B$11,Paramètres!$A$1:$I$89,3,0)*0.475*44/12</f>
        <v>#N/A</v>
      </c>
      <c r="BS145" s="22" t="e">
        <f t="shared" si="117"/>
        <v>#N/A</v>
      </c>
      <c r="BT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">
      <c r="A146" s="10">
        <f t="shared" si="139"/>
        <v>143</v>
      </c>
      <c r="B146" s="72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85.513999999999896</v>
      </c>
      <c r="D146" s="11">
        <f t="shared" si="140"/>
        <v>23.480111436812148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841.35805319644396</v>
      </c>
      <c r="H146" s="66">
        <f t="shared" si="110"/>
        <v>483.16474408578097</v>
      </c>
      <c r="I146" s="6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0</v>
      </c>
      <c r="O146" s="13">
        <f>N146*VLOOKUP('Données projet'!$B$9,Paramètres!$A$1:$I$89,3,0)*VLOOKUP('Données projet'!$B$9,Paramètres!$A$1:$I$89,5,0)</f>
        <v>0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148.39628895278571</v>
      </c>
      <c r="T146" s="59">
        <f t="shared" si="142"/>
        <v>361.07991692964788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13.176643494802578</v>
      </c>
      <c r="AA146" s="21">
        <f>EXP(-LN(2)/25)*AA145+(1-EXP(-LN(2)/25))/(LN(2)/25)*Calculateur!V146*Calculateur!X146*VLOOKUP('Données projet'!$B$9,Paramètres!$A$1:$I$89,3,0)*0.475*44/12</f>
        <v>0.626645671904836</v>
      </c>
      <c r="AB146" s="21">
        <f>EXP(-LN(2)/2)*AB145+(1-EXP(-LN(2)/2))/(LN(2)/2)*V146*Y146*VLOOKUP('Données projet'!$B$9,Paramètres!$A$1:$I$89,3,0)*0.475*44/12</f>
        <v>4.412156659494129E-19</v>
      </c>
      <c r="AC146" s="22">
        <f t="shared" si="111"/>
        <v>13.803289166707414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8.561000000000007</v>
      </c>
      <c r="AI146" s="13">
        <f>IF('Données projet'!$A$62&gt;35,AI145+AH146-AQ145,IF(A146&lt;'Données projet'!$A$62,$AF$205^A146,IF(A146='Données projet'!$A$62,'Données projet'!$B$62,AI145+AH146-AQ145)))</f>
        <v>506.37900000000036</v>
      </c>
      <c r="AJ146" s="13">
        <f>AI146*VLOOKUP('Données projet'!$B$10,Paramètres!$A$1:$I$89,3,0)*VLOOKUP('Données projet'!$B$10,Paramètres!$A$1:$I$89,5,0)</f>
        <v>505.56879360000039</v>
      </c>
      <c r="AK146" s="13">
        <f t="shared" si="143"/>
        <v>112.8787786862158</v>
      </c>
      <c r="AL146" s="20">
        <f t="shared" si="112"/>
        <v>1077.1295217318266</v>
      </c>
      <c r="AM146" s="59">
        <f t="shared" si="113"/>
        <v>1370.4628550651598</v>
      </c>
      <c r="AN146" s="59">
        <f ca="1">AVERAGE(OFFSET($AM$3,0,0,'Données projet'!$E$10+1,1))-AVERAGE(OFFSET($H$3,0,0,'Données projet'!$E$10+1,1))</f>
        <v>525.29195699741149</v>
      </c>
      <c r="AO146" s="59">
        <f t="shared" si="144"/>
        <v>125.99812193007153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107.60807213802785</v>
      </c>
      <c r="AV146" s="21">
        <f>EXP(-LN(2)/25)*AV145+(1-EXP(-LN(2)/25))/(LN(2)/25)*Calculateur!AQ146*Calculateur!AS146*VLOOKUP('Données projet'!$B$10,Paramètres!$A$1:$I$89,3,0)*0.475*44/12</f>
        <v>0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107.60807213802785</v>
      </c>
      <c r="AY146" s="7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 t="e">
        <f>BD146*VLOOKUP('Données projet'!$B$11,Paramètres!$A$1:$I$89,3,0)*VLOOKUP('Données projet'!$B$11,Paramètres!$A$1:$I$89,5,0)</f>
        <v>#N/A</v>
      </c>
      <c r="BF146" s="13" t="e">
        <f t="shared" si="145"/>
        <v>#N/A</v>
      </c>
      <c r="BG146" s="20" t="e">
        <f t="shared" si="115"/>
        <v>#N/A</v>
      </c>
      <c r="BH146" s="59" t="e">
        <f t="shared" si="116"/>
        <v>#N/A</v>
      </c>
      <c r="BI146" s="59" t="e">
        <f ca="1">AVERAGE(OFFSET($BH$3,0,0,'Données projet'!$E$11+1,1))-AVERAGE(OFFSET($H$3,0,0,'Données projet'!$E$11+1,1))</f>
        <v>#N/A</v>
      </c>
      <c r="BJ146" s="59" t="e">
        <f t="shared" si="146"/>
        <v>#N/A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 t="e">
        <f>EXP(-LN(2)/35)*BP145+(1-EXP(-LN(2)/35))/(LN(2)/35)*BL146*BM146*VLOOKUP('Données projet'!$B$11,Paramètres!$A$1:$I$89,3,0)*0.475*44/12</f>
        <v>#N/A</v>
      </c>
      <c r="BQ146" s="21" t="e">
        <f>EXP(-LN(2)/25)*BQ145+(1-EXP(-LN(2)/25))/(LN(2)/25)*Calculateur!BL146*Calculateur!BN146*VLOOKUP('Données projet'!$B$11,Paramètres!$A$1:$I$89,3,0)*0.475*44/12</f>
        <v>#N/A</v>
      </c>
      <c r="BR146" s="21" t="e">
        <f>EXP(-LN(2)/2)*BR145+(1-EXP(-LN(2)/2))/(LN(2)/2)*BL146*BO146*VLOOKUP('Données projet'!$B$11,Paramètres!$A$1:$I$89,3,0)*0.475*44/12</f>
        <v>#N/A</v>
      </c>
      <c r="BS146" s="22" t="e">
        <f t="shared" si="117"/>
        <v>#N/A</v>
      </c>
      <c r="BT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">
      <c r="A147" s="10">
        <f t="shared" si="139"/>
        <v>144</v>
      </c>
      <c r="B147" s="72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86.111999999999895</v>
      </c>
      <c r="D147" s="11">
        <f t="shared" si="140"/>
        <v>23.625136642852276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847.09368636587635</v>
      </c>
      <c r="H147" s="66">
        <f t="shared" si="110"/>
        <v>484.45884631963418</v>
      </c>
      <c r="I147" s="6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0</v>
      </c>
      <c r="O147" s="13">
        <f>N147*VLOOKUP('Données projet'!$B$9,Paramètres!$A$1:$I$89,3,0)*VLOOKUP('Données projet'!$B$9,Paramètres!$A$1:$I$89,5,0)</f>
        <v>0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148.39628895278571</v>
      </c>
      <c r="T147" s="59">
        <f t="shared" si="142"/>
        <v>361.07991692964788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12.918257552828447</v>
      </c>
      <c r="AA147" s="21">
        <f>EXP(-LN(2)/25)*AA146+(1-EXP(-LN(2)/25))/(LN(2)/25)*Calculateur!V147*Calculateur!X147*VLOOKUP('Données projet'!$B$9,Paramètres!$A$1:$I$89,3,0)*0.475*44/12</f>
        <v>0.60951001305273456</v>
      </c>
      <c r="AB147" s="21">
        <f>EXP(-LN(2)/2)*AB146+(1-EXP(-LN(2)/2))/(LN(2)/2)*V147*Y147*VLOOKUP('Données projet'!$B$9,Paramètres!$A$1:$I$89,3,0)*0.475*44/12</f>
        <v>3.1198658935856835E-19</v>
      </c>
      <c r="AC147" s="22">
        <f t="shared" si="111"/>
        <v>13.527767565881181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>
        <f>VLOOKUP(A147,'Données projet'!$A$61:$I$81,2,0)</f>
        <v>514.94000000000005</v>
      </c>
      <c r="AG147" s="12">
        <f>VLOOKUP(A147,'Données projet'!$A$61:$I$81,9,0)</f>
        <v>8.561000000000007</v>
      </c>
      <c r="AH147" s="12">
        <f t="array" ref="AH147">INDEX(AG:AG,MIN(IF(ISNUMBER(AG147:AG343),ROW(AG147:AG343),"")))</f>
        <v>8.561000000000007</v>
      </c>
      <c r="AI147" s="13">
        <f>IF('Données projet'!$A$62&gt;35,AI146+AH147-AQ146,IF(A147&lt;'Données projet'!$A$62,$AF$205^A147,IF(A147='Données projet'!$A$62,'Données projet'!$B$62,AI146+AH147-AQ146)))</f>
        <v>514.9400000000004</v>
      </c>
      <c r="AJ147" s="13">
        <f>AI147*VLOOKUP('Données projet'!$B$10,Paramètres!$A$1:$I$89,3,0)*VLOOKUP('Données projet'!$B$10,Paramètres!$A$1:$I$89,5,0)</f>
        <v>514.11609600000043</v>
      </c>
      <c r="AK147" s="13">
        <f t="shared" si="143"/>
        <v>114.56335990066729</v>
      </c>
      <c r="AL147" s="20">
        <f t="shared" si="112"/>
        <v>1094.9500523603294</v>
      </c>
      <c r="AM147" s="59">
        <f t="shared" si="113"/>
        <v>1388.2833856936627</v>
      </c>
      <c r="AN147" s="59">
        <f ca="1">AVERAGE(OFFSET($AM$3,0,0,'Données projet'!$E$10+1,1))-AVERAGE(OFFSET($H$3,0,0,'Données projet'!$E$10+1,1))</f>
        <v>525.29195699741149</v>
      </c>
      <c r="AO147" s="59">
        <f t="shared" si="144"/>
        <v>125.99812193007153</v>
      </c>
      <c r="AP147" s="15">
        <f>IF(ISNA(VLOOKUP(A147,'Données projet'!$A$61:$I$81,3,0)),0,VLOOKUP(A147,'Données projet'!$A$61:$I$81,3,0))</f>
        <v>12</v>
      </c>
      <c r="AQ147" s="15">
        <f>IF(ISNA(VLOOKUP(A147,'Données projet'!$A$61:$I$81,4,0)),0,VLOOKUP(A147,'Données projet'!$A$61:$I$81,4,0))</f>
        <v>56.01</v>
      </c>
      <c r="AR147" s="16">
        <f>IF(ISNA(VLOOKUP(A147,'Données projet'!$A$61:$I$81,5,0)),0%,VLOOKUP(A147,'Données projet'!$A$61:$I$81,5,0)*VLOOKUP('Données projet'!$B$10,Paramètres!$A$1:$I$89,7,0))</f>
        <v>0.43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132.07982457121085</v>
      </c>
      <c r="AV147" s="21">
        <f>EXP(-LN(2)/25)*AV146+(1-EXP(-LN(2)/25))/(LN(2)/25)*Calculateur!AQ147*Calculateur!AS147*VLOOKUP('Données projet'!$B$10,Paramètres!$A$1:$I$89,3,0)*0.475*44/12</f>
        <v>0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132.07982457121085</v>
      </c>
      <c r="AY147" s="7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 t="e">
        <f>BD147*VLOOKUP('Données projet'!$B$11,Paramètres!$A$1:$I$89,3,0)*VLOOKUP('Données projet'!$B$11,Paramètres!$A$1:$I$89,5,0)</f>
        <v>#N/A</v>
      </c>
      <c r="BF147" s="13" t="e">
        <f t="shared" si="145"/>
        <v>#N/A</v>
      </c>
      <c r="BG147" s="20" t="e">
        <f t="shared" si="115"/>
        <v>#N/A</v>
      </c>
      <c r="BH147" s="59" t="e">
        <f t="shared" si="116"/>
        <v>#N/A</v>
      </c>
      <c r="BI147" s="59" t="e">
        <f ca="1">AVERAGE(OFFSET($BH$3,0,0,'Données projet'!$E$11+1,1))-AVERAGE(OFFSET($H$3,0,0,'Données projet'!$E$11+1,1))</f>
        <v>#N/A</v>
      </c>
      <c r="BJ147" s="59" t="e">
        <f t="shared" si="146"/>
        <v>#N/A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 t="e">
        <f>EXP(-LN(2)/35)*BP146+(1-EXP(-LN(2)/35))/(LN(2)/35)*BL147*BM147*VLOOKUP('Données projet'!$B$11,Paramètres!$A$1:$I$89,3,0)*0.475*44/12</f>
        <v>#N/A</v>
      </c>
      <c r="BQ147" s="21" t="e">
        <f>EXP(-LN(2)/25)*BQ146+(1-EXP(-LN(2)/25))/(LN(2)/25)*Calculateur!BL147*Calculateur!BN147*VLOOKUP('Données projet'!$B$11,Paramètres!$A$1:$I$89,3,0)*0.475*44/12</f>
        <v>#N/A</v>
      </c>
      <c r="BR147" s="21" t="e">
        <f>EXP(-LN(2)/2)*BR146+(1-EXP(-LN(2)/2))/(LN(2)/2)*BL147*BO147*VLOOKUP('Données projet'!$B$11,Paramètres!$A$1:$I$89,3,0)*0.475*44/12</f>
        <v>#N/A</v>
      </c>
      <c r="BS147" s="22" t="e">
        <f t="shared" si="117"/>
        <v>#N/A</v>
      </c>
      <c r="BT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">
      <c r="A148" s="10">
        <f t="shared" si="139"/>
        <v>145</v>
      </c>
      <c r="B148" s="72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86.709999999999894</v>
      </c>
      <c r="D148" s="11">
        <f t="shared" si="140"/>
        <v>23.770044666555076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852.82841496989806</v>
      </c>
      <c r="H148" s="66">
        <f t="shared" si="110"/>
        <v>485.75274446091657</v>
      </c>
      <c r="I148" s="6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0</v>
      </c>
      <c r="O148" s="13">
        <f>N148*VLOOKUP('Données projet'!$B$9,Paramètres!$A$1:$I$89,3,0)*VLOOKUP('Données projet'!$B$9,Paramètres!$A$1:$I$89,5,0)</f>
        <v>0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148.39628895278571</v>
      </c>
      <c r="T148" s="59">
        <f t="shared" si="142"/>
        <v>361.07991692964788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12.664938401576565</v>
      </c>
      <c r="AA148" s="21">
        <f>EXP(-LN(2)/25)*AA147+(1-EXP(-LN(2)/25))/(LN(2)/25)*Calculateur!V148*Calculateur!X148*VLOOKUP('Données projet'!$B$9,Paramètres!$A$1:$I$89,3,0)*0.475*44/12</f>
        <v>0.59284292969306895</v>
      </c>
      <c r="AB148" s="21">
        <f>EXP(-LN(2)/2)*AB147+(1-EXP(-LN(2)/2))/(LN(2)/2)*V148*Y148*VLOOKUP('Données projet'!$B$9,Paramètres!$A$1:$I$89,3,0)*0.475*44/12</f>
        <v>2.2060783297470645E-19</v>
      </c>
      <c r="AC148" s="22">
        <f t="shared" si="111"/>
        <v>13.257781331269634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8.7559999999999949</v>
      </c>
      <c r="AI148" s="13">
        <f>IF('Données projet'!$A$62&gt;35,AI147+AH148-AQ147,IF(A148&lt;'Données projet'!$A$62,$AF$205^A148,IF(A148='Données projet'!$A$62,'Données projet'!$B$62,AI147+AH148-AQ147)))</f>
        <v>467.68600000000038</v>
      </c>
      <c r="AJ148" s="13">
        <f>AI148*VLOOKUP('Données projet'!$B$10,Paramètres!$A$1:$I$89,3,0)*VLOOKUP('Données projet'!$B$10,Paramètres!$A$1:$I$89,5,0)</f>
        <v>466.93770240000043</v>
      </c>
      <c r="AK148" s="13">
        <f t="shared" si="143"/>
        <v>105.22265747506228</v>
      </c>
      <c r="AL148" s="20">
        <f t="shared" si="112"/>
        <v>996.51262678240073</v>
      </c>
      <c r="AM148" s="59">
        <f t="shared" si="113"/>
        <v>1289.845960115734</v>
      </c>
      <c r="AN148" s="59">
        <f ca="1">AVERAGE(OFFSET($AM$3,0,0,'Données projet'!$E$10+1,1))-AVERAGE(OFFSET($H$3,0,0,'Données projet'!$E$10+1,1))</f>
        <v>525.29195699741149</v>
      </c>
      <c r="AO148" s="59">
        <f t="shared" si="144"/>
        <v>125.99812193007153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129.48981977210769</v>
      </c>
      <c r="AV148" s="21">
        <f>EXP(-LN(2)/25)*AV147+(1-EXP(-LN(2)/25))/(LN(2)/25)*Calculateur!AQ148*Calculateur!AS148*VLOOKUP('Données projet'!$B$10,Paramètres!$A$1:$I$89,3,0)*0.475*44/12</f>
        <v>0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129.48981977210769</v>
      </c>
      <c r="AY148" s="7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 t="e">
        <f>BD148*VLOOKUP('Données projet'!$B$11,Paramètres!$A$1:$I$89,3,0)*VLOOKUP('Données projet'!$B$11,Paramètres!$A$1:$I$89,5,0)</f>
        <v>#N/A</v>
      </c>
      <c r="BF148" s="13" t="e">
        <f t="shared" si="145"/>
        <v>#N/A</v>
      </c>
      <c r="BG148" s="20" t="e">
        <f t="shared" si="115"/>
        <v>#N/A</v>
      </c>
      <c r="BH148" s="59" t="e">
        <f t="shared" si="116"/>
        <v>#N/A</v>
      </c>
      <c r="BI148" s="59" t="e">
        <f ca="1">AVERAGE(OFFSET($BH$3,0,0,'Données projet'!$E$11+1,1))-AVERAGE(OFFSET($H$3,0,0,'Données projet'!$E$11+1,1))</f>
        <v>#N/A</v>
      </c>
      <c r="BJ148" s="59" t="e">
        <f t="shared" si="146"/>
        <v>#N/A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 t="e">
        <f>EXP(-LN(2)/35)*BP147+(1-EXP(-LN(2)/35))/(LN(2)/35)*BL148*BM148*VLOOKUP('Données projet'!$B$11,Paramètres!$A$1:$I$89,3,0)*0.475*44/12</f>
        <v>#N/A</v>
      </c>
      <c r="BQ148" s="21" t="e">
        <f>EXP(-LN(2)/25)*BQ147+(1-EXP(-LN(2)/25))/(LN(2)/25)*Calculateur!BL148*Calculateur!BN148*VLOOKUP('Données projet'!$B$11,Paramètres!$A$1:$I$89,3,0)*0.475*44/12</f>
        <v>#N/A</v>
      </c>
      <c r="BR148" s="21" t="e">
        <f>EXP(-LN(2)/2)*BR147+(1-EXP(-LN(2)/2))/(LN(2)/2)*BL148*BO148*VLOOKUP('Données projet'!$B$11,Paramètres!$A$1:$I$89,3,0)*0.475*44/12</f>
        <v>#N/A</v>
      </c>
      <c r="BS148" s="22" t="e">
        <f t="shared" si="117"/>
        <v>#N/A</v>
      </c>
      <c r="BT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">
      <c r="A149" s="10">
        <f t="shared" si="139"/>
        <v>146</v>
      </c>
      <c r="B149" s="72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87.307999999999893</v>
      </c>
      <c r="D149" s="11">
        <f t="shared" si="140"/>
        <v>23.914836409796042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858.56224597035452</v>
      </c>
      <c r="H149" s="66">
        <f t="shared" si="110"/>
        <v>487.04644008039458</v>
      </c>
      <c r="I149" s="6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0</v>
      </c>
      <c r="O149" s="13">
        <f>N149*VLOOKUP('Données projet'!$B$9,Paramètres!$A$1:$I$89,3,0)*VLOOKUP('Données projet'!$B$9,Paramètres!$A$1:$I$89,5,0)</f>
        <v>0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148.39628895278571</v>
      </c>
      <c r="T149" s="59">
        <f t="shared" si="142"/>
        <v>361.07991692964788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12.416586684371309</v>
      </c>
      <c r="AA149" s="21">
        <f>EXP(-LN(2)/25)*AA148+(1-EXP(-LN(2)/25))/(LN(2)/25)*Calculateur!V149*Calculateur!X149*VLOOKUP('Données projet'!$B$9,Paramètres!$A$1:$I$89,3,0)*0.475*44/12</f>
        <v>0.57663160860435725</v>
      </c>
      <c r="AB149" s="21">
        <f>EXP(-LN(2)/2)*AB148+(1-EXP(-LN(2)/2))/(LN(2)/2)*V149*Y149*VLOOKUP('Données projet'!$B$9,Paramètres!$A$1:$I$89,3,0)*0.475*44/12</f>
        <v>1.5599329467928418E-19</v>
      </c>
      <c r="AC149" s="22">
        <f t="shared" si="111"/>
        <v>12.993218292975666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8.7559999999999949</v>
      </c>
      <c r="AI149" s="13">
        <f>IF('Données projet'!$A$62&gt;35,AI148+AH149-AQ148,IF(A149&lt;'Données projet'!$A$62,$AF$205^A149,IF(A149='Données projet'!$A$62,'Données projet'!$B$62,AI148+AH149-AQ148)))</f>
        <v>476.44200000000035</v>
      </c>
      <c r="AJ149" s="13">
        <f>AI149*VLOOKUP('Données projet'!$B$10,Paramètres!$A$1:$I$89,3,0)*VLOOKUP('Données projet'!$B$10,Paramètres!$A$1:$I$89,5,0)</f>
        <v>475.6796928000004</v>
      </c>
      <c r="AK149" s="13">
        <f t="shared" si="143"/>
        <v>106.96144354184572</v>
      </c>
      <c r="AL149" s="20">
        <f t="shared" si="112"/>
        <v>1014.7666457953819</v>
      </c>
      <c r="AM149" s="59">
        <f t="shared" si="113"/>
        <v>1308.0999791287152</v>
      </c>
      <c r="AN149" s="59">
        <f ca="1">AVERAGE(OFFSET($AM$3,0,0,'Données projet'!$E$10+1,1))-AVERAGE(OFFSET($H$3,0,0,'Données projet'!$E$10+1,1))</f>
        <v>525.29195699741149</v>
      </c>
      <c r="AO149" s="59">
        <f t="shared" si="144"/>
        <v>125.99812193007153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126.95060338736799</v>
      </c>
      <c r="AV149" s="21">
        <f>EXP(-LN(2)/25)*AV148+(1-EXP(-LN(2)/25))/(LN(2)/25)*Calculateur!AQ149*Calculateur!AS149*VLOOKUP('Données projet'!$B$10,Paramètres!$A$1:$I$89,3,0)*0.475*44/12</f>
        <v>0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126.95060338736799</v>
      </c>
      <c r="AY149" s="7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 t="e">
        <f>BD149*VLOOKUP('Données projet'!$B$11,Paramètres!$A$1:$I$89,3,0)*VLOOKUP('Données projet'!$B$11,Paramètres!$A$1:$I$89,5,0)</f>
        <v>#N/A</v>
      </c>
      <c r="BF149" s="13" t="e">
        <f t="shared" si="145"/>
        <v>#N/A</v>
      </c>
      <c r="BG149" s="20" t="e">
        <f t="shared" si="115"/>
        <v>#N/A</v>
      </c>
      <c r="BH149" s="59" t="e">
        <f t="shared" si="116"/>
        <v>#N/A</v>
      </c>
      <c r="BI149" s="59" t="e">
        <f ca="1">AVERAGE(OFFSET($BH$3,0,0,'Données projet'!$E$11+1,1))-AVERAGE(OFFSET($H$3,0,0,'Données projet'!$E$11+1,1))</f>
        <v>#N/A</v>
      </c>
      <c r="BJ149" s="59" t="e">
        <f t="shared" si="146"/>
        <v>#N/A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 t="e">
        <f>EXP(-LN(2)/35)*BP148+(1-EXP(-LN(2)/35))/(LN(2)/35)*BL149*BM149*VLOOKUP('Données projet'!$B$11,Paramètres!$A$1:$I$89,3,0)*0.475*44/12</f>
        <v>#N/A</v>
      </c>
      <c r="BQ149" s="21" t="e">
        <f>EXP(-LN(2)/25)*BQ148+(1-EXP(-LN(2)/25))/(LN(2)/25)*Calculateur!BL149*Calculateur!BN149*VLOOKUP('Données projet'!$B$11,Paramètres!$A$1:$I$89,3,0)*0.475*44/12</f>
        <v>#N/A</v>
      </c>
      <c r="BR149" s="21" t="e">
        <f>EXP(-LN(2)/2)*BR148+(1-EXP(-LN(2)/2))/(LN(2)/2)*BL149*BO149*VLOOKUP('Données projet'!$B$11,Paramètres!$A$1:$I$89,3,0)*0.475*44/12</f>
        <v>#N/A</v>
      </c>
      <c r="BS149" s="22" t="e">
        <f t="shared" si="117"/>
        <v>#N/A</v>
      </c>
      <c r="BT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">
      <c r="A150" s="10">
        <f t="shared" si="139"/>
        <v>147</v>
      </c>
      <c r="B150" s="72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87.905999999999892</v>
      </c>
      <c r="D150" s="11">
        <f t="shared" si="140"/>
        <v>24.059512761382056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864.29518622821161</v>
      </c>
      <c r="H150" s="66">
        <f t="shared" si="110"/>
        <v>488.33993472607352</v>
      </c>
      <c r="I150" s="6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0</v>
      </c>
      <c r="O150" s="13">
        <f>N150*VLOOKUP('Données projet'!$B$9,Paramètres!$A$1:$I$89,3,0)*VLOOKUP('Données projet'!$B$9,Paramètres!$A$1:$I$89,5,0)</f>
        <v>0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148.39628895278571</v>
      </c>
      <c r="T150" s="59">
        <f t="shared" si="142"/>
        <v>361.07991692964788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12.173104992860857</v>
      </c>
      <c r="AA150" s="21">
        <f>EXP(-LN(2)/25)*AA149+(1-EXP(-LN(2)/25))/(LN(2)/25)*Calculateur!V150*Calculateur!X150*VLOOKUP('Données projet'!$B$9,Paramètres!$A$1:$I$89,3,0)*0.475*44/12</f>
        <v>0.56086358694333271</v>
      </c>
      <c r="AB150" s="21">
        <f>EXP(-LN(2)/2)*AB149+(1-EXP(-LN(2)/2))/(LN(2)/2)*V150*Y150*VLOOKUP('Données projet'!$B$9,Paramètres!$A$1:$I$89,3,0)*0.475*44/12</f>
        <v>1.1030391648735322E-19</v>
      </c>
      <c r="AC150" s="22">
        <f t="shared" si="111"/>
        <v>12.73396857980419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8.7559999999999949</v>
      </c>
      <c r="AI150" s="13">
        <f>IF('Données projet'!$A$62&gt;35,AI149+AH150-AQ149,IF(A150&lt;'Données projet'!$A$62,$AF$205^A150,IF(A150='Données projet'!$A$62,'Données projet'!$B$62,AI149+AH150-AQ149)))</f>
        <v>485.19800000000032</v>
      </c>
      <c r="AJ150" s="13">
        <f>AI150*VLOOKUP('Données projet'!$B$10,Paramètres!$A$1:$I$89,3,0)*VLOOKUP('Données projet'!$B$10,Paramètres!$A$1:$I$89,5,0)</f>
        <v>484.42168320000042</v>
      </c>
      <c r="AK150" s="13">
        <f t="shared" si="143"/>
        <v>108.69651377505116</v>
      </c>
      <c r="AL150" s="20">
        <f t="shared" si="112"/>
        <v>1033.0141930648815</v>
      </c>
      <c r="AM150" s="59">
        <f t="shared" si="113"/>
        <v>1326.3475263982148</v>
      </c>
      <c r="AN150" s="59">
        <f ca="1">AVERAGE(OFFSET($AM$3,0,0,'Données projet'!$E$10+1,1))-AVERAGE(OFFSET($H$3,0,0,'Données projet'!$E$10+1,1))</f>
        <v>525.29195699741149</v>
      </c>
      <c r="AO150" s="59">
        <f t="shared" si="144"/>
        <v>125.99812193007153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124.46117948716397</v>
      </c>
      <c r="AV150" s="21">
        <f>EXP(-LN(2)/25)*AV149+(1-EXP(-LN(2)/25))/(LN(2)/25)*Calculateur!AQ150*Calculateur!AS150*VLOOKUP('Données projet'!$B$10,Paramètres!$A$1:$I$89,3,0)*0.475*44/12</f>
        <v>0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124.46117948716397</v>
      </c>
      <c r="AY150" s="7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 t="e">
        <f>BD150*VLOOKUP('Données projet'!$B$11,Paramètres!$A$1:$I$89,3,0)*VLOOKUP('Données projet'!$B$11,Paramètres!$A$1:$I$89,5,0)</f>
        <v>#N/A</v>
      </c>
      <c r="BF150" s="13" t="e">
        <f t="shared" si="145"/>
        <v>#N/A</v>
      </c>
      <c r="BG150" s="20" t="e">
        <f t="shared" si="115"/>
        <v>#N/A</v>
      </c>
      <c r="BH150" s="59" t="e">
        <f t="shared" si="116"/>
        <v>#N/A</v>
      </c>
      <c r="BI150" s="59" t="e">
        <f ca="1">AVERAGE(OFFSET($BH$3,0,0,'Données projet'!$E$11+1,1))-AVERAGE(OFFSET($H$3,0,0,'Données projet'!$E$11+1,1))</f>
        <v>#N/A</v>
      </c>
      <c r="BJ150" s="59" t="e">
        <f t="shared" si="146"/>
        <v>#N/A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 t="e">
        <f>EXP(-LN(2)/35)*BP149+(1-EXP(-LN(2)/35))/(LN(2)/35)*BL150*BM150*VLOOKUP('Données projet'!$B$11,Paramètres!$A$1:$I$89,3,0)*0.475*44/12</f>
        <v>#N/A</v>
      </c>
      <c r="BQ150" s="21" t="e">
        <f>EXP(-LN(2)/25)*BQ149+(1-EXP(-LN(2)/25))/(LN(2)/25)*Calculateur!BL150*Calculateur!BN150*VLOOKUP('Données projet'!$B$11,Paramètres!$A$1:$I$89,3,0)*0.475*44/12</f>
        <v>#N/A</v>
      </c>
      <c r="BR150" s="21" t="e">
        <f>EXP(-LN(2)/2)*BR149+(1-EXP(-LN(2)/2))/(LN(2)/2)*BL150*BO150*VLOOKUP('Données projet'!$B$11,Paramètres!$A$1:$I$89,3,0)*0.475*44/12</f>
        <v>#N/A</v>
      </c>
      <c r="BS150" s="22" t="e">
        <f t="shared" si="117"/>
        <v>#N/A</v>
      </c>
      <c r="BT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">
      <c r="A151" s="10">
        <f t="shared" si="139"/>
        <v>148</v>
      </c>
      <c r="B151" s="72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51" s="11">
        <f t="shared" si="140"/>
        <v>24.204074597328436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870.02724250569247</v>
      </c>
      <c r="H151" s="66">
        <f t="shared" si="110"/>
        <v>489.63322992368012</v>
      </c>
      <c r="I151" s="6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0</v>
      </c>
      <c r="O151" s="13">
        <f>N151*VLOOKUP('Données projet'!$B$9,Paramètres!$A$1:$I$89,3,0)*VLOOKUP('Données projet'!$B$9,Paramètres!$A$1:$I$89,5,0)</f>
        <v>0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148.39628895278571</v>
      </c>
      <c r="T151" s="59">
        <f t="shared" si="142"/>
        <v>361.07991692964788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11.934397828811758</v>
      </c>
      <c r="AA151" s="21">
        <f>EXP(-LN(2)/25)*AA150+(1-EXP(-LN(2)/25))/(LN(2)/25)*Calculateur!V151*Calculateur!X151*VLOOKUP('Données projet'!$B$9,Paramètres!$A$1:$I$89,3,0)*0.475*44/12</f>
        <v>0.54552674266383316</v>
      </c>
      <c r="AB151" s="21">
        <f>EXP(-LN(2)/2)*AB150+(1-EXP(-LN(2)/2))/(LN(2)/2)*V151*Y151*VLOOKUP('Données projet'!$B$9,Paramètres!$A$1:$I$89,3,0)*0.475*44/12</f>
        <v>7.7996647339642089E-20</v>
      </c>
      <c r="AC151" s="22">
        <f t="shared" si="111"/>
        <v>12.479924571475591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8.7559999999999949</v>
      </c>
      <c r="AI151" s="13">
        <f>IF('Données projet'!$A$62&gt;35,AI150+AH151-AQ150,IF(A151&lt;'Données projet'!$A$62,$AF$205^A151,IF(A151='Données projet'!$A$62,'Données projet'!$B$62,AI150+AH151-AQ150)))</f>
        <v>493.95400000000029</v>
      </c>
      <c r="AJ151" s="13">
        <f>AI151*VLOOKUP('Données projet'!$B$10,Paramètres!$A$1:$I$89,3,0)*VLOOKUP('Données projet'!$B$10,Paramètres!$A$1:$I$89,5,0)</f>
        <v>493.16367360000027</v>
      </c>
      <c r="AK151" s="13">
        <f t="shared" si="143"/>
        <v>110.42794296653494</v>
      </c>
      <c r="AL151" s="20">
        <f t="shared" si="112"/>
        <v>1051.2553988533821</v>
      </c>
      <c r="AM151" s="59">
        <f t="shared" si="113"/>
        <v>1344.5887321867153</v>
      </c>
      <c r="AN151" s="59">
        <f ca="1">AVERAGE(OFFSET($AM$3,0,0,'Données projet'!$E$10+1,1))-AVERAGE(OFFSET($H$3,0,0,'Données projet'!$E$10+1,1))</f>
        <v>525.29195699741149</v>
      </c>
      <c r="AO151" s="59">
        <f t="shared" si="144"/>
        <v>125.99812193007153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122.02057167124431</v>
      </c>
      <c r="AV151" s="21">
        <f>EXP(-LN(2)/25)*AV150+(1-EXP(-LN(2)/25))/(LN(2)/25)*Calculateur!AQ151*Calculateur!AS151*VLOOKUP('Données projet'!$B$10,Paramètres!$A$1:$I$89,3,0)*0.475*44/12</f>
        <v>0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122.02057167124431</v>
      </c>
      <c r="AY151" s="7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 t="e">
        <f>BD151*VLOOKUP('Données projet'!$B$11,Paramètres!$A$1:$I$89,3,0)*VLOOKUP('Données projet'!$B$11,Paramètres!$A$1:$I$89,5,0)</f>
        <v>#N/A</v>
      </c>
      <c r="BF151" s="13" t="e">
        <f t="shared" si="145"/>
        <v>#N/A</v>
      </c>
      <c r="BG151" s="20" t="e">
        <f t="shared" si="115"/>
        <v>#N/A</v>
      </c>
      <c r="BH151" s="59" t="e">
        <f t="shared" si="116"/>
        <v>#N/A</v>
      </c>
      <c r="BI151" s="59" t="e">
        <f ca="1">AVERAGE(OFFSET($BH$3,0,0,'Données projet'!$E$11+1,1))-AVERAGE(OFFSET($H$3,0,0,'Données projet'!$E$11+1,1))</f>
        <v>#N/A</v>
      </c>
      <c r="BJ151" s="59" t="e">
        <f t="shared" si="146"/>
        <v>#N/A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 t="e">
        <f>EXP(-LN(2)/35)*BP150+(1-EXP(-LN(2)/35))/(LN(2)/35)*BL151*BM151*VLOOKUP('Données projet'!$B$11,Paramètres!$A$1:$I$89,3,0)*0.475*44/12</f>
        <v>#N/A</v>
      </c>
      <c r="BQ151" s="21" t="e">
        <f>EXP(-LN(2)/25)*BQ150+(1-EXP(-LN(2)/25))/(LN(2)/25)*Calculateur!BL151*Calculateur!BN151*VLOOKUP('Données projet'!$B$11,Paramètres!$A$1:$I$89,3,0)*0.475*44/12</f>
        <v>#N/A</v>
      </c>
      <c r="BR151" s="21" t="e">
        <f>EXP(-LN(2)/2)*BR150+(1-EXP(-LN(2)/2))/(LN(2)/2)*BL151*BO151*VLOOKUP('Données projet'!$B$11,Paramètres!$A$1:$I$89,3,0)*0.475*44/12</f>
        <v>#N/A</v>
      </c>
      <c r="BS151" s="22" t="e">
        <f t="shared" si="117"/>
        <v>#N/A</v>
      </c>
      <c r="BT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">
      <c r="A152" s="10">
        <f t="shared" si="139"/>
        <v>149</v>
      </c>
      <c r="B152" s="72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89.10199999999989</v>
      </c>
      <c r="D152" s="11">
        <f t="shared" si="140"/>
        <v>24.348522781128061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875.75842146835612</v>
      </c>
      <c r="H152" s="66">
        <f t="shared" si="110"/>
        <v>490.92632717713116</v>
      </c>
      <c r="I152" s="6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0</v>
      </c>
      <c r="O152" s="13">
        <f>N152*VLOOKUP('Données projet'!$B$9,Paramètres!$A$1:$I$89,3,0)*VLOOKUP('Données projet'!$B$9,Paramètres!$A$1:$I$89,5,0)</f>
        <v>0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148.39628895278571</v>
      </c>
      <c r="T152" s="59">
        <f t="shared" si="142"/>
        <v>361.07991692964788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11.700371566652667</v>
      </c>
      <c r="AA152" s="21">
        <f>EXP(-LN(2)/25)*AA151+(1-EXP(-LN(2)/25))/(LN(2)/25)*Calculateur!V152*Calculateur!X152*VLOOKUP('Données projet'!$B$9,Paramètres!$A$1:$I$89,3,0)*0.475*44/12</f>
        <v>0.53060928519768602</v>
      </c>
      <c r="AB152" s="21">
        <f>EXP(-LN(2)/2)*AB151+(1-EXP(-LN(2)/2))/(LN(2)/2)*V152*Y152*VLOOKUP('Données projet'!$B$9,Paramètres!$A$1:$I$89,3,0)*0.475*44/12</f>
        <v>5.5151958243676612E-20</v>
      </c>
      <c r="AC152" s="22">
        <f t="shared" si="111"/>
        <v>12.230980851850353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8.7559999999999949</v>
      </c>
      <c r="AI152" s="13">
        <f>IF('Données projet'!$A$62&gt;35,AI151+AH152-AQ151,IF(A152&lt;'Données projet'!$A$62,$AF$205^A152,IF(A152='Données projet'!$A$62,'Données projet'!$B$62,AI151+AH152-AQ151)))</f>
        <v>502.71000000000026</v>
      </c>
      <c r="AJ152" s="13">
        <f>AI152*VLOOKUP('Données projet'!$B$10,Paramètres!$A$1:$I$89,3,0)*VLOOKUP('Données projet'!$B$10,Paramètres!$A$1:$I$89,5,0)</f>
        <v>501.90566400000029</v>
      </c>
      <c r="AK152" s="13">
        <f t="shared" si="143"/>
        <v>112.15580310471232</v>
      </c>
      <c r="AL152" s="20">
        <f t="shared" si="112"/>
        <v>1069.4903885407077</v>
      </c>
      <c r="AM152" s="59">
        <f t="shared" si="113"/>
        <v>1362.823721874041</v>
      </c>
      <c r="AN152" s="59">
        <f ca="1">AVERAGE(OFFSET($AM$3,0,0,'Données projet'!$E$10+1,1))-AVERAGE(OFFSET($H$3,0,0,'Données projet'!$E$10+1,1))</f>
        <v>525.29195699741149</v>
      </c>
      <c r="AO152" s="59">
        <f t="shared" si="144"/>
        <v>125.99812193007153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119.62782268597105</v>
      </c>
      <c r="AV152" s="21">
        <f>EXP(-LN(2)/25)*AV151+(1-EXP(-LN(2)/25))/(LN(2)/25)*Calculateur!AQ152*Calculateur!AS152*VLOOKUP('Données projet'!$B$10,Paramètres!$A$1:$I$89,3,0)*0.475*44/12</f>
        <v>0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119.62782268597105</v>
      </c>
      <c r="AY152" s="7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 t="e">
        <f>BD152*VLOOKUP('Données projet'!$B$11,Paramètres!$A$1:$I$89,3,0)*VLOOKUP('Données projet'!$B$11,Paramètres!$A$1:$I$89,5,0)</f>
        <v>#N/A</v>
      </c>
      <c r="BF152" s="13" t="e">
        <f t="shared" si="145"/>
        <v>#N/A</v>
      </c>
      <c r="BG152" s="20" t="e">
        <f t="shared" si="115"/>
        <v>#N/A</v>
      </c>
      <c r="BH152" s="59" t="e">
        <f t="shared" si="116"/>
        <v>#N/A</v>
      </c>
      <c r="BI152" s="59" t="e">
        <f ca="1">AVERAGE(OFFSET($BH$3,0,0,'Données projet'!$E$11+1,1))-AVERAGE(OFFSET($H$3,0,0,'Données projet'!$E$11+1,1))</f>
        <v>#N/A</v>
      </c>
      <c r="BJ152" s="59" t="e">
        <f t="shared" si="146"/>
        <v>#N/A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 t="e">
        <f>EXP(-LN(2)/35)*BP151+(1-EXP(-LN(2)/35))/(LN(2)/35)*BL152*BM152*VLOOKUP('Données projet'!$B$11,Paramètres!$A$1:$I$89,3,0)*0.475*44/12</f>
        <v>#N/A</v>
      </c>
      <c r="BQ152" s="21" t="e">
        <f>EXP(-LN(2)/25)*BQ151+(1-EXP(-LN(2)/25))/(LN(2)/25)*Calculateur!BL152*Calculateur!BN152*VLOOKUP('Données projet'!$B$11,Paramètres!$A$1:$I$89,3,0)*0.475*44/12</f>
        <v>#N/A</v>
      </c>
      <c r="BR152" s="21" t="e">
        <f>EXP(-LN(2)/2)*BR151+(1-EXP(-LN(2)/2))/(LN(2)/2)*BL152*BO152*VLOOKUP('Données projet'!$B$11,Paramètres!$A$1:$I$89,3,0)*0.475*44/12</f>
        <v>#N/A</v>
      </c>
      <c r="BS152" s="22" t="e">
        <f t="shared" si="117"/>
        <v>#N/A</v>
      </c>
      <c r="BT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">
      <c r="A153" s="10">
        <f>A152+1</f>
        <v>150</v>
      </c>
      <c r="B153" s="72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89.699999999999889</v>
      </c>
      <c r="D153" s="11">
        <f t="shared" si="140"/>
        <v>24.492858164013278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881.48872968711919</v>
      </c>
      <c r="H153" s="66">
        <f t="shared" si="110"/>
        <v>492.21922796898957</v>
      </c>
      <c r="I153" s="6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0</v>
      </c>
      <c r="O153" s="13">
        <f>N153*VLOOKUP('Données projet'!$B$9,Paramètres!$A$1:$I$89,3,0)*VLOOKUP('Données projet'!$B$9,Paramètres!$A$1:$I$89,5,0)</f>
        <v>0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148.39628895278571</v>
      </c>
      <c r="T153" s="59">
        <f t="shared" si="142"/>
        <v>361.07991692964788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11.470934416752591</v>
      </c>
      <c r="AA153" s="21">
        <f>EXP(-LN(2)/25)*AA152+(1-EXP(-LN(2)/25))/(LN(2)/25)*Calculateur!V153*Calculateur!X153*VLOOKUP('Données projet'!$B$9,Paramètres!$A$1:$I$89,3,0)*0.475*44/12</f>
        <v>0.51609974639042566</v>
      </c>
      <c r="AB153" s="21">
        <f>EXP(-LN(2)/2)*AB152+(1-EXP(-LN(2)/2))/(LN(2)/2)*V153*Y153*VLOOKUP('Données projet'!$B$9,Paramètres!$A$1:$I$89,3,0)*0.475*44/12</f>
        <v>3.8998323669821044E-20</v>
      </c>
      <c r="AC153" s="22">
        <f t="shared" si="111"/>
        <v>11.987034163143017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8.7559999999999949</v>
      </c>
      <c r="AI153" s="13">
        <f>IF('Données projet'!$A$62&gt;35,AI152+AH153-AQ152,IF(A153&lt;'Données projet'!$A$62,$AF$205^A153,IF(A153='Données projet'!$A$62,'Données projet'!$B$62,AI152+AH153-AQ152)))</f>
        <v>511.46600000000024</v>
      </c>
      <c r="AJ153" s="13">
        <f>AI153*VLOOKUP('Données projet'!$B$10,Paramètres!$A$1:$I$89,3,0)*VLOOKUP('Données projet'!$B$10,Paramètres!$A$1:$I$89,5,0)</f>
        <v>510.64765440000025</v>
      </c>
      <c r="AK153" s="13">
        <f t="shared" si="143"/>
        <v>113.88016352660551</v>
      </c>
      <c r="AL153" s="20">
        <f t="shared" si="112"/>
        <v>1087.7192828888385</v>
      </c>
      <c r="AM153" s="59">
        <f t="shared" si="113"/>
        <v>1381.0526162221718</v>
      </c>
      <c r="AN153" s="59">
        <f ca="1">AVERAGE(OFFSET($AM$3,0,0,'Données projet'!$E$10+1,1))-AVERAGE(OFFSET($H$3,0,0,'Données projet'!$E$10+1,1))</f>
        <v>525.29195699741149</v>
      </c>
      <c r="AO153" s="59">
        <f t="shared" si="144"/>
        <v>125.99812193007153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117.28199404886622</v>
      </c>
      <c r="AV153" s="21">
        <f>EXP(-LN(2)/25)*AV152+(1-EXP(-LN(2)/25))/(LN(2)/25)*Calculateur!AQ153*Calculateur!AS153*VLOOKUP('Données projet'!$B$10,Paramètres!$A$1:$I$89,3,0)*0.475*44/12</f>
        <v>0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117.28199404886622</v>
      </c>
      <c r="AY153" s="7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 t="e">
        <f>BD153*VLOOKUP('Données projet'!$B$11,Paramètres!$A$1:$I$89,3,0)*VLOOKUP('Données projet'!$B$11,Paramètres!$A$1:$I$89,5,0)</f>
        <v>#N/A</v>
      </c>
      <c r="BF153" s="13" t="e">
        <f t="shared" si="145"/>
        <v>#N/A</v>
      </c>
      <c r="BG153" s="20" t="e">
        <f t="shared" si="115"/>
        <v>#N/A</v>
      </c>
      <c r="BH153" s="59" t="e">
        <f t="shared" si="116"/>
        <v>#N/A</v>
      </c>
      <c r="BI153" s="59" t="e">
        <f ca="1">AVERAGE(OFFSET($BH$3,0,0,'Données projet'!$E$11+1,1))-AVERAGE(OFFSET($H$3,0,0,'Données projet'!$E$11+1,1))</f>
        <v>#N/A</v>
      </c>
      <c r="BJ153" s="59" t="e">
        <f t="shared" si="146"/>
        <v>#N/A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 t="e">
        <f>EXP(-LN(2)/35)*BP152+(1-EXP(-LN(2)/35))/(LN(2)/35)*BL153*BM153*VLOOKUP('Données projet'!$B$11,Paramètres!$A$1:$I$89,3,0)*0.475*44/12</f>
        <v>#N/A</v>
      </c>
      <c r="BQ153" s="21" t="e">
        <f>EXP(-LN(2)/25)*BQ152+(1-EXP(-LN(2)/25))/(LN(2)/25)*Calculateur!BL153*Calculateur!BN153*VLOOKUP('Données projet'!$B$11,Paramètres!$A$1:$I$89,3,0)*0.475*44/12</f>
        <v>#N/A</v>
      </c>
      <c r="BR153" s="21" t="e">
        <f>EXP(-LN(2)/2)*BR152+(1-EXP(-LN(2)/2))/(LN(2)/2)*BL153*BO153*VLOOKUP('Données projet'!$B$11,Paramètres!$A$1:$I$89,3,0)*0.475*44/12</f>
        <v>#N/A</v>
      </c>
      <c r="BS153" s="22" t="e">
        <f t="shared" si="117"/>
        <v>#N/A</v>
      </c>
      <c r="BT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">
      <c r="A154" s="10">
        <f t="shared" ref="A154:A202" si="161">A153+1</f>
        <v>151</v>
      </c>
      <c r="B154" s="72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90.297999999999888</v>
      </c>
      <c r="D154" s="11">
        <f t="shared" si="140"/>
        <v>24.637081585210503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887.21817364022047</v>
      </c>
      <c r="H154" s="66">
        <f t="shared" si="110"/>
        <v>493.51193376090805</v>
      </c>
      <c r="I154" s="6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0</v>
      </c>
      <c r="O154" s="13">
        <f>N154*VLOOKUP('Données projet'!$B$9,Paramètres!$A$1:$I$89,3,0)*VLOOKUP('Données projet'!$B$9,Paramètres!$A$1:$I$89,5,0)</f>
        <v>0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148.39628895278571</v>
      </c>
      <c r="T154" s="59">
        <f t="shared" si="142"/>
        <v>361.07991692964788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11.245996389419213</v>
      </c>
      <c r="AA154" s="21">
        <f>EXP(-LN(2)/25)*AA153+(1-EXP(-LN(2)/25))/(LN(2)/25)*Calculateur!V154*Calculateur!X154*VLOOKUP('Données projet'!$B$9,Paramètres!$A$1:$I$89,3,0)*0.475*44/12</f>
        <v>0.50198697168487338</v>
      </c>
      <c r="AB154" s="21">
        <f>EXP(-LN(2)/2)*AB153+(1-EXP(-LN(2)/2))/(LN(2)/2)*V154*Y154*VLOOKUP('Données projet'!$B$9,Paramètres!$A$1:$I$89,3,0)*0.475*44/12</f>
        <v>2.7575979121838306E-20</v>
      </c>
      <c r="AC154" s="22">
        <f t="shared" ref="AC154:AC203" si="163">SUM(Z154:AB154)</f>
        <v>11.747983361104087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8.7559999999999949</v>
      </c>
      <c r="AI154" s="13">
        <f>IF('Données projet'!$A$62&gt;35,AI153+AH154-AQ153,IF(A154&lt;'Données projet'!$A$62,$AF$205^A154,IF(A154='Données projet'!$A$62,'Données projet'!$B$62,AI153+AH154-AQ153)))</f>
        <v>520.22200000000021</v>
      </c>
      <c r="AJ154" s="13">
        <f>AI154*VLOOKUP('Données projet'!$B$10,Paramètres!$A$1:$I$89,3,0)*VLOOKUP('Données projet'!$B$10,Paramètres!$A$1:$I$89,5,0)</f>
        <v>519.38964480000027</v>
      </c>
      <c r="AK154" s="13">
        <f t="shared" ref="AK154:AK203" si="164">EXP(-1.0587+0.8836*LN(AJ154)+0.284)</f>
        <v>115.60109105918468</v>
      </c>
      <c r="AL154" s="20">
        <f t="shared" ref="AL154:AL203" si="165">(AJ154+AK154)*0.475*44/12</f>
        <v>1105.9421982880806</v>
      </c>
      <c r="AM154" s="59">
        <f t="shared" si="113"/>
        <v>1399.2755316214138</v>
      </c>
      <c r="AN154" s="59">
        <f ca="1">AVERAGE(OFFSET($AM$3,0,0,'Données projet'!$E$10+1,1))-AVERAGE(OFFSET($H$3,0,0,'Données projet'!$E$10+1,1))</f>
        <v>525.29195699741149</v>
      </c>
      <c r="AO154" s="59">
        <f t="shared" si="144"/>
        <v>125.99812193007153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114.98216568052084</v>
      </c>
      <c r="AV154" s="21">
        <f>EXP(-LN(2)/25)*AV153+(1-EXP(-LN(2)/25))/(LN(2)/25)*Calculateur!AQ154*Calculateur!AS154*VLOOKUP('Données projet'!$B$10,Paramètres!$A$1:$I$89,3,0)*0.475*44/12</f>
        <v>0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114.98216568052084</v>
      </c>
      <c r="AY154" s="7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 t="e">
        <f>BD154*VLOOKUP('Données projet'!$B$11,Paramètres!$A$1:$I$89,3,0)*VLOOKUP('Données projet'!$B$11,Paramètres!$A$1:$I$89,5,0)</f>
        <v>#N/A</v>
      </c>
      <c r="BF154" s="13" t="e">
        <f t="shared" ref="BF154:BF203" si="167">EXP(-1.0587+0.8836*LN(BE154)+0.284)</f>
        <v>#N/A</v>
      </c>
      <c r="BG154" s="20" t="e">
        <f t="shared" ref="BG154:BG203" si="168">(BE154+BF154)*0.475*44/12</f>
        <v>#N/A</v>
      </c>
      <c r="BH154" s="59" t="e">
        <f t="shared" si="116"/>
        <v>#N/A</v>
      </c>
      <c r="BI154" s="59" t="e">
        <f ca="1">AVERAGE(OFFSET($BH$3,0,0,'Données projet'!$E$11+1,1))-AVERAGE(OFFSET($H$3,0,0,'Données projet'!$E$11+1,1))</f>
        <v>#N/A</v>
      </c>
      <c r="BJ154" s="59" t="e">
        <f t="shared" si="146"/>
        <v>#N/A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 t="e">
        <f>EXP(-LN(2)/35)*BP153+(1-EXP(-LN(2)/35))/(LN(2)/35)*BL154*BM154*VLOOKUP('Données projet'!$B$11,Paramètres!$A$1:$I$89,3,0)*0.475*44/12</f>
        <v>#N/A</v>
      </c>
      <c r="BQ154" s="21" t="e">
        <f>EXP(-LN(2)/25)*BQ153+(1-EXP(-LN(2)/25))/(LN(2)/25)*Calculateur!BL154*Calculateur!BN154*VLOOKUP('Données projet'!$B$11,Paramètres!$A$1:$I$89,3,0)*0.475*44/12</f>
        <v>#N/A</v>
      </c>
      <c r="BR154" s="21" t="e">
        <f>EXP(-LN(2)/2)*BR153+(1-EXP(-LN(2)/2))/(LN(2)/2)*BL154*BO154*VLOOKUP('Données projet'!$B$11,Paramètres!$A$1:$I$89,3,0)*0.475*44/12</f>
        <v>#N/A</v>
      </c>
      <c r="BS154" s="22" t="e">
        <f t="shared" ref="BS154:BS203" si="169">SUM(BP154:BR154)</f>
        <v>#N/A</v>
      </c>
      <c r="BT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">
      <c r="A155" s="10">
        <f t="shared" si="161"/>
        <v>152</v>
      </c>
      <c r="B155" s="72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90.895999999999887</v>
      </c>
      <c r="D155" s="11">
        <f t="shared" si="140"/>
        <v>24.781193872187931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892.94675971513414</v>
      </c>
      <c r="H155" s="66">
        <f t="shared" si="110"/>
        <v>494.80444599406042</v>
      </c>
      <c r="I155" s="6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0</v>
      </c>
      <c r="O155" s="13">
        <f>N155*VLOOKUP('Données projet'!$B$9,Paramètres!$A$1:$I$89,3,0)*VLOOKUP('Données projet'!$B$9,Paramètres!$A$1:$I$89,5,0)</f>
        <v>0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148.39628895278571</v>
      </c>
      <c r="T155" s="59">
        <f t="shared" si="142"/>
        <v>361.07991692964788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11.025469259603192</v>
      </c>
      <c r="AA155" s="21">
        <f>EXP(-LN(2)/25)*AA154+(1-EXP(-LN(2)/25))/(LN(2)/25)*Calculateur!V155*Calculateur!X155*VLOOKUP('Données projet'!$B$9,Paramètres!$A$1:$I$89,3,0)*0.475*44/12</f>
        <v>0.48826011154580301</v>
      </c>
      <c r="AB155" s="21">
        <f>EXP(-LN(2)/2)*AB154+(1-EXP(-LN(2)/2))/(LN(2)/2)*V155*Y155*VLOOKUP('Données projet'!$B$9,Paramètres!$A$1:$I$89,3,0)*0.475*44/12</f>
        <v>1.9499161834910522E-20</v>
      </c>
      <c r="AC155" s="22">
        <f t="shared" si="163"/>
        <v>11.513729371148994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8.7559999999999949</v>
      </c>
      <c r="AI155" s="13">
        <f>IF('Données projet'!$A$62&gt;35,AI154+AH155-AQ154,IF(A155&lt;'Données projet'!$A$62,$AF$205^A155,IF(A155='Données projet'!$A$62,'Données projet'!$B$62,AI154+AH155-AQ154)))</f>
        <v>528.97800000000018</v>
      </c>
      <c r="AJ155" s="13">
        <f>AI155*VLOOKUP('Données projet'!$B$10,Paramètres!$A$1:$I$89,3,0)*VLOOKUP('Données projet'!$B$10,Paramètres!$A$1:$I$89,5,0)</f>
        <v>528.13163520000023</v>
      </c>
      <c r="AK155" s="13">
        <f t="shared" si="164"/>
        <v>117.3186501509234</v>
      </c>
      <c r="AL155" s="20">
        <f t="shared" si="165"/>
        <v>1124.1592469861921</v>
      </c>
      <c r="AM155" s="59">
        <f t="shared" si="113"/>
        <v>1417.4925803195254</v>
      </c>
      <c r="AN155" s="59">
        <f ca="1">AVERAGE(OFFSET($AM$3,0,0,'Données projet'!$E$10+1,1))-AVERAGE(OFFSET($H$3,0,0,'Données projet'!$E$10+1,1))</f>
        <v>525.29195699741149</v>
      </c>
      <c r="AO155" s="59">
        <f t="shared" si="144"/>
        <v>125.99812193007153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112.72743554372191</v>
      </c>
      <c r="AV155" s="21">
        <f>EXP(-LN(2)/25)*AV154+(1-EXP(-LN(2)/25))/(LN(2)/25)*Calculateur!AQ155*Calculateur!AS155*VLOOKUP('Données projet'!$B$10,Paramètres!$A$1:$I$89,3,0)*0.475*44/12</f>
        <v>0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112.72743554372191</v>
      </c>
      <c r="AY155" s="7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 t="e">
        <f>BD155*VLOOKUP('Données projet'!$B$11,Paramètres!$A$1:$I$89,3,0)*VLOOKUP('Données projet'!$B$11,Paramètres!$A$1:$I$89,5,0)</f>
        <v>#N/A</v>
      </c>
      <c r="BF155" s="13" t="e">
        <f t="shared" si="167"/>
        <v>#N/A</v>
      </c>
      <c r="BG155" s="20" t="e">
        <f t="shared" si="168"/>
        <v>#N/A</v>
      </c>
      <c r="BH155" s="59" t="e">
        <f t="shared" si="116"/>
        <v>#N/A</v>
      </c>
      <c r="BI155" s="59" t="e">
        <f ca="1">AVERAGE(OFFSET($BH$3,0,0,'Données projet'!$E$11+1,1))-AVERAGE(OFFSET($H$3,0,0,'Données projet'!$E$11+1,1))</f>
        <v>#N/A</v>
      </c>
      <c r="BJ155" s="59" t="e">
        <f t="shared" si="146"/>
        <v>#N/A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 t="e">
        <f>EXP(-LN(2)/35)*BP154+(1-EXP(-LN(2)/35))/(LN(2)/35)*BL155*BM155*VLOOKUP('Données projet'!$B$11,Paramètres!$A$1:$I$89,3,0)*0.475*44/12</f>
        <v>#N/A</v>
      </c>
      <c r="BQ155" s="21" t="e">
        <f>EXP(-LN(2)/25)*BQ154+(1-EXP(-LN(2)/25))/(LN(2)/25)*Calculateur!BL155*Calculateur!BN155*VLOOKUP('Données projet'!$B$11,Paramètres!$A$1:$I$89,3,0)*0.475*44/12</f>
        <v>#N/A</v>
      </c>
      <c r="BR155" s="21" t="e">
        <f>EXP(-LN(2)/2)*BR154+(1-EXP(-LN(2)/2))/(LN(2)/2)*BL155*BO155*VLOOKUP('Données projet'!$B$11,Paramètres!$A$1:$I$89,3,0)*0.475*44/12</f>
        <v>#N/A</v>
      </c>
      <c r="BS155" s="22" t="e">
        <f t="shared" si="169"/>
        <v>#N/A</v>
      </c>
      <c r="BT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">
      <c r="A156" s="10">
        <f t="shared" si="161"/>
        <v>153</v>
      </c>
      <c r="B156" s="72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91.493999999999886</v>
      </c>
      <c r="D156" s="11">
        <f t="shared" si="140"/>
        <v>24.925195840896507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898.67449421042829</v>
      </c>
      <c r="H156" s="66">
        <f t="shared" si="110"/>
        <v>496.09676608956119</v>
      </c>
      <c r="I156" s="6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0</v>
      </c>
      <c r="O156" s="13">
        <f>N156*VLOOKUP('Données projet'!$B$9,Paramètres!$A$1:$I$89,3,0)*VLOOKUP('Données projet'!$B$9,Paramètres!$A$1:$I$89,5,0)</f>
        <v>0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148.39628895278571</v>
      </c>
      <c r="T156" s="59">
        <f t="shared" si="142"/>
        <v>361.07991692964788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10.809266532294595</v>
      </c>
      <c r="AA156" s="21">
        <f>EXP(-LN(2)/25)*AA155+(1-EXP(-LN(2)/25))/(LN(2)/25)*Calculateur!V156*Calculateur!X156*VLOOKUP('Données projet'!$B$9,Paramètres!$A$1:$I$89,3,0)*0.475*44/12</f>
        <v>0.47490861311909971</v>
      </c>
      <c r="AB156" s="21">
        <f>EXP(-LN(2)/2)*AB155+(1-EXP(-LN(2)/2))/(LN(2)/2)*V156*Y156*VLOOKUP('Données projet'!$B$9,Paramètres!$A$1:$I$89,3,0)*0.475*44/12</f>
        <v>1.3787989560919153E-20</v>
      </c>
      <c r="AC156" s="22">
        <f t="shared" si="163"/>
        <v>11.284175145413695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8.7559999999999949</v>
      </c>
      <c r="AI156" s="13">
        <f>IF('Données projet'!$A$62&gt;35,AI155+AH156-AQ155,IF(A156&lt;'Données projet'!$A$62,$AF$205^A156,IF(A156='Données projet'!$A$62,'Données projet'!$B$62,AI155+AH156-AQ155)))</f>
        <v>537.73400000000015</v>
      </c>
      <c r="AJ156" s="13">
        <f>AI156*VLOOKUP('Données projet'!$B$10,Paramètres!$A$1:$I$89,3,0)*VLOOKUP('Données projet'!$B$10,Paramètres!$A$1:$I$89,5,0)</f>
        <v>536.8736256000002</v>
      </c>
      <c r="AK156" s="13">
        <f t="shared" si="164"/>
        <v>119.03290299439726</v>
      </c>
      <c r="AL156" s="20">
        <f t="shared" si="165"/>
        <v>1142.3705373019091</v>
      </c>
      <c r="AM156" s="59">
        <f t="shared" si="113"/>
        <v>1435.7038706352423</v>
      </c>
      <c r="AN156" s="59">
        <f ca="1">AVERAGE(OFFSET($AM$3,0,0,'Données projet'!$E$10+1,1))-AVERAGE(OFFSET($H$3,0,0,'Données projet'!$E$10+1,1))</f>
        <v>525.29195699741149</v>
      </c>
      <c r="AO156" s="59">
        <f t="shared" si="144"/>
        <v>125.99812193007153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110.51691928965602</v>
      </c>
      <c r="AV156" s="21">
        <f>EXP(-LN(2)/25)*AV155+(1-EXP(-LN(2)/25))/(LN(2)/25)*Calculateur!AQ156*Calculateur!AS156*VLOOKUP('Données projet'!$B$10,Paramètres!$A$1:$I$89,3,0)*0.475*44/12</f>
        <v>0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110.51691928965602</v>
      </c>
      <c r="AY156" s="7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 t="e">
        <f>BD156*VLOOKUP('Données projet'!$B$11,Paramètres!$A$1:$I$89,3,0)*VLOOKUP('Données projet'!$B$11,Paramètres!$A$1:$I$89,5,0)</f>
        <v>#N/A</v>
      </c>
      <c r="BF156" s="13" t="e">
        <f t="shared" si="167"/>
        <v>#N/A</v>
      </c>
      <c r="BG156" s="20" t="e">
        <f t="shared" si="168"/>
        <v>#N/A</v>
      </c>
      <c r="BH156" s="59" t="e">
        <f t="shared" si="116"/>
        <v>#N/A</v>
      </c>
      <c r="BI156" s="59" t="e">
        <f ca="1">AVERAGE(OFFSET($BH$3,0,0,'Données projet'!$E$11+1,1))-AVERAGE(OFFSET($H$3,0,0,'Données projet'!$E$11+1,1))</f>
        <v>#N/A</v>
      </c>
      <c r="BJ156" s="59" t="e">
        <f t="shared" si="146"/>
        <v>#N/A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 t="e">
        <f>EXP(-LN(2)/35)*BP155+(1-EXP(-LN(2)/35))/(LN(2)/35)*BL156*BM156*VLOOKUP('Données projet'!$B$11,Paramètres!$A$1:$I$89,3,0)*0.475*44/12</f>
        <v>#N/A</v>
      </c>
      <c r="BQ156" s="21" t="e">
        <f>EXP(-LN(2)/25)*BQ155+(1-EXP(-LN(2)/25))/(LN(2)/25)*Calculateur!BL156*Calculateur!BN156*VLOOKUP('Données projet'!$B$11,Paramètres!$A$1:$I$89,3,0)*0.475*44/12</f>
        <v>#N/A</v>
      </c>
      <c r="BR156" s="21" t="e">
        <f>EXP(-LN(2)/2)*BR155+(1-EXP(-LN(2)/2))/(LN(2)/2)*BL156*BO156*VLOOKUP('Données projet'!$B$11,Paramètres!$A$1:$I$89,3,0)*0.475*44/12</f>
        <v>#N/A</v>
      </c>
      <c r="BS156" s="22" t="e">
        <f t="shared" si="169"/>
        <v>#N/A</v>
      </c>
      <c r="BT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">
      <c r="A157" s="10">
        <f t="shared" si="161"/>
        <v>154</v>
      </c>
      <c r="B157" s="72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92.091999999999885</v>
      </c>
      <c r="D157" s="11">
        <f t="shared" si="140"/>
        <v>25.069088296004431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904.40138333757716</v>
      </c>
      <c r="H157" s="66">
        <f t="shared" si="110"/>
        <v>497.38889544887417</v>
      </c>
      <c r="I157" s="6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0</v>
      </c>
      <c r="O157" s="13">
        <f>N157*VLOOKUP('Données projet'!$B$9,Paramètres!$A$1:$I$89,3,0)*VLOOKUP('Données projet'!$B$9,Paramètres!$A$1:$I$89,5,0)</f>
        <v>0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148.39628895278571</v>
      </c>
      <c r="T157" s="59">
        <f t="shared" si="142"/>
        <v>361.07991692964788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10.597303408597877</v>
      </c>
      <c r="AA157" s="21">
        <f>EXP(-LN(2)/25)*AA156+(1-EXP(-LN(2)/25))/(LN(2)/25)*Calculateur!V157*Calculateur!X157*VLOOKUP('Données projet'!$B$9,Paramètres!$A$1:$I$89,3,0)*0.475*44/12</f>
        <v>0.46192221211899936</v>
      </c>
      <c r="AB157" s="21">
        <f>EXP(-LN(2)/2)*AB156+(1-EXP(-LN(2)/2))/(LN(2)/2)*V157*Y157*VLOOKUP('Données projet'!$B$9,Paramètres!$A$1:$I$89,3,0)*0.475*44/12</f>
        <v>9.7495809174552611E-21</v>
      </c>
      <c r="AC157" s="22">
        <f t="shared" si="163"/>
        <v>11.059225620716877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>
        <f>VLOOKUP(A157,'Données projet'!$A$61:$I$81,2,0)</f>
        <v>546.49</v>
      </c>
      <c r="AG157" s="12">
        <f>VLOOKUP(A157,'Données projet'!$A$61:$I$81,9,0)</f>
        <v>8.7559999999999949</v>
      </c>
      <c r="AH157" s="12">
        <f t="array" ref="AH157">INDEX(AG:AG,MIN(IF(ISNUMBER(AG157:AG353),ROW(AG157:AG353),"")))</f>
        <v>8.7559999999999949</v>
      </c>
      <c r="AI157" s="13">
        <f>IF('Données projet'!$A$62&gt;35,AI156+AH157-AQ156,IF(A157&lt;'Données projet'!$A$62,$AF$205^A157,IF(A157='Données projet'!$A$62,'Données projet'!$B$62,AI156+AH157-AQ156)))</f>
        <v>546.49000000000012</v>
      </c>
      <c r="AJ157" s="13">
        <f>AI157*VLOOKUP('Données projet'!$B$10,Paramètres!$A$1:$I$89,3,0)*VLOOKUP('Données projet'!$B$10,Paramètres!$A$1:$I$89,5,0)</f>
        <v>545.61561600000016</v>
      </c>
      <c r="AK157" s="13">
        <f t="shared" si="164"/>
        <v>120.74390964066995</v>
      </c>
      <c r="AL157" s="20">
        <f t="shared" si="165"/>
        <v>1160.576173824167</v>
      </c>
      <c r="AM157" s="59">
        <f t="shared" si="113"/>
        <v>1453.9095071575002</v>
      </c>
      <c r="AN157" s="59">
        <f ca="1">AVERAGE(OFFSET($AM$3,0,0,'Données projet'!$E$10+1,1))-AVERAGE(OFFSET($H$3,0,0,'Données projet'!$E$10+1,1))</f>
        <v>525.29195699741149</v>
      </c>
      <c r="AO157" s="59">
        <f t="shared" si="144"/>
        <v>125.99812193007153</v>
      </c>
      <c r="AP157" s="15">
        <f>IF(ISNA(VLOOKUP(A157,'Données projet'!$A$61:$I$81,3,0)),0,VLOOKUP(A157,'Données projet'!$A$61:$I$81,3,0))</f>
        <v>13</v>
      </c>
      <c r="AQ157" s="15">
        <f>IF(ISNA(VLOOKUP(A157,'Données projet'!$A$61:$I$81,4,0)),0,VLOOKUP(A157,'Données projet'!$A$61:$I$81,4,0))</f>
        <v>55.13</v>
      </c>
      <c r="AR157" s="16">
        <f>IF(ISNA(VLOOKUP(A157,'Données projet'!$A$61:$I$81,5,0)),0%,VLOOKUP(A157,'Données projet'!$A$61:$I$81,5,0)*VLOOKUP('Données projet'!$B$10,Paramètres!$A$1:$I$89,7,0))</f>
        <v>0.43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134.51399030878846</v>
      </c>
      <c r="AV157" s="21">
        <f>EXP(-LN(2)/25)*AV156+(1-EXP(-LN(2)/25))/(LN(2)/25)*Calculateur!AQ157*Calculateur!AS157*VLOOKUP('Données projet'!$B$10,Paramètres!$A$1:$I$89,3,0)*0.475*44/12</f>
        <v>0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134.51399030878846</v>
      </c>
      <c r="AY157" s="7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 t="e">
        <f>BD157*VLOOKUP('Données projet'!$B$11,Paramètres!$A$1:$I$89,3,0)*VLOOKUP('Données projet'!$B$11,Paramètres!$A$1:$I$89,5,0)</f>
        <v>#N/A</v>
      </c>
      <c r="BF157" s="13" t="e">
        <f t="shared" si="167"/>
        <v>#N/A</v>
      </c>
      <c r="BG157" s="20" t="e">
        <f t="shared" si="168"/>
        <v>#N/A</v>
      </c>
      <c r="BH157" s="59" t="e">
        <f t="shared" si="116"/>
        <v>#N/A</v>
      </c>
      <c r="BI157" s="59" t="e">
        <f ca="1">AVERAGE(OFFSET($BH$3,0,0,'Données projet'!$E$11+1,1))-AVERAGE(OFFSET($H$3,0,0,'Données projet'!$E$11+1,1))</f>
        <v>#N/A</v>
      </c>
      <c r="BJ157" s="59" t="e">
        <f t="shared" si="146"/>
        <v>#N/A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 t="e">
        <f>EXP(-LN(2)/35)*BP156+(1-EXP(-LN(2)/35))/(LN(2)/35)*BL157*BM157*VLOOKUP('Données projet'!$B$11,Paramètres!$A$1:$I$89,3,0)*0.475*44/12</f>
        <v>#N/A</v>
      </c>
      <c r="BQ157" s="21" t="e">
        <f>EXP(-LN(2)/25)*BQ156+(1-EXP(-LN(2)/25))/(LN(2)/25)*Calculateur!BL157*Calculateur!BN157*VLOOKUP('Données projet'!$B$11,Paramètres!$A$1:$I$89,3,0)*0.475*44/12</f>
        <v>#N/A</v>
      </c>
      <c r="BR157" s="21" t="e">
        <f>EXP(-LN(2)/2)*BR156+(1-EXP(-LN(2)/2))/(LN(2)/2)*BL157*BO157*VLOOKUP('Données projet'!$B$11,Paramètres!$A$1:$I$89,3,0)*0.475*44/12</f>
        <v>#N/A</v>
      </c>
      <c r="BS157" s="22" t="e">
        <f t="shared" si="169"/>
        <v>#N/A</v>
      </c>
      <c r="BT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">
      <c r="A158" s="10">
        <f t="shared" si="161"/>
        <v>155</v>
      </c>
      <c r="B158" s="72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92.689999999999884</v>
      </c>
      <c r="D158" s="11">
        <f t="shared" si="140"/>
        <v>25.212872031125453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910.12743322272206</v>
      </c>
      <c r="H158" s="66">
        <f t="shared" si="110"/>
        <v>498.68083545420996</v>
      </c>
      <c r="I158" s="6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0</v>
      </c>
      <c r="O158" s="13">
        <f>N158*VLOOKUP('Données projet'!$B$9,Paramètres!$A$1:$I$89,3,0)*VLOOKUP('Données projet'!$B$9,Paramètres!$A$1:$I$89,5,0)</f>
        <v>0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148.39628895278571</v>
      </c>
      <c r="T158" s="59">
        <f t="shared" si="142"/>
        <v>361.07991692964788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10.389496752472112</v>
      </c>
      <c r="AA158" s="21">
        <f>EXP(-LN(2)/25)*AA157+(1-EXP(-LN(2)/25))/(LN(2)/25)*Calculateur!V158*Calculateur!X158*VLOOKUP('Données projet'!$B$9,Paramètres!$A$1:$I$89,3,0)*0.475*44/12</f>
        <v>0.44929092493717193</v>
      </c>
      <c r="AB158" s="21">
        <f>EXP(-LN(2)/2)*AB157+(1-EXP(-LN(2)/2))/(LN(2)/2)*V158*Y158*VLOOKUP('Données projet'!$B$9,Paramètres!$A$1:$I$89,3,0)*0.475*44/12</f>
        <v>6.8939947804595765E-21</v>
      </c>
      <c r="AC158" s="22">
        <f t="shared" si="163"/>
        <v>10.838787677409284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8.8960000000000043</v>
      </c>
      <c r="AI158" s="13">
        <f>IF('Données projet'!$A$62&gt;35,AI157+AH158-AQ157,IF(A158&lt;'Données projet'!$A$62,$AF$205^A158,IF(A158='Données projet'!$A$62,'Données projet'!$B$62,AI157+AH158-AQ157)))</f>
        <v>500.25600000000009</v>
      </c>
      <c r="AJ158" s="13">
        <f>AI158*VLOOKUP('Données projet'!$B$10,Paramètres!$A$1:$I$89,3,0)*VLOOKUP('Données projet'!$B$10,Paramètres!$A$1:$I$89,5,0)</f>
        <v>499.45559040000012</v>
      </c>
      <c r="AK158" s="13">
        <f t="shared" si="164"/>
        <v>111.671900362247</v>
      </c>
      <c r="AL158" s="20">
        <f t="shared" si="165"/>
        <v>1064.380379744247</v>
      </c>
      <c r="AM158" s="59">
        <f t="shared" si="113"/>
        <v>1357.7137130775802</v>
      </c>
      <c r="AN158" s="59">
        <f ca="1">AVERAGE(OFFSET($AM$3,0,0,'Données projet'!$E$10+1,1))-AVERAGE(OFFSET($H$3,0,0,'Données projet'!$E$10+1,1))</f>
        <v>525.29195699741149</v>
      </c>
      <c r="AO158" s="59">
        <f t="shared" si="144"/>
        <v>125.99812193007153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131.87625300426589</v>
      </c>
      <c r="AV158" s="21">
        <f>EXP(-LN(2)/25)*AV157+(1-EXP(-LN(2)/25))/(LN(2)/25)*Calculateur!AQ158*Calculateur!AS158*VLOOKUP('Données projet'!$B$10,Paramètres!$A$1:$I$89,3,0)*0.475*44/12</f>
        <v>0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131.87625300426589</v>
      </c>
      <c r="AY158" s="7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 t="e">
        <f>BD158*VLOOKUP('Données projet'!$B$11,Paramètres!$A$1:$I$89,3,0)*VLOOKUP('Données projet'!$B$11,Paramètres!$A$1:$I$89,5,0)</f>
        <v>#N/A</v>
      </c>
      <c r="BF158" s="13" t="e">
        <f t="shared" si="167"/>
        <v>#N/A</v>
      </c>
      <c r="BG158" s="20" t="e">
        <f t="shared" si="168"/>
        <v>#N/A</v>
      </c>
      <c r="BH158" s="59" t="e">
        <f t="shared" si="116"/>
        <v>#N/A</v>
      </c>
      <c r="BI158" s="59" t="e">
        <f ca="1">AVERAGE(OFFSET($BH$3,0,0,'Données projet'!$E$11+1,1))-AVERAGE(OFFSET($H$3,0,0,'Données projet'!$E$11+1,1))</f>
        <v>#N/A</v>
      </c>
      <c r="BJ158" s="59" t="e">
        <f t="shared" si="146"/>
        <v>#N/A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 t="e">
        <f>EXP(-LN(2)/35)*BP157+(1-EXP(-LN(2)/35))/(LN(2)/35)*BL158*BM158*VLOOKUP('Données projet'!$B$11,Paramètres!$A$1:$I$89,3,0)*0.475*44/12</f>
        <v>#N/A</v>
      </c>
      <c r="BQ158" s="21" t="e">
        <f>EXP(-LN(2)/25)*BQ157+(1-EXP(-LN(2)/25))/(LN(2)/25)*Calculateur!BL158*Calculateur!BN158*VLOOKUP('Données projet'!$B$11,Paramètres!$A$1:$I$89,3,0)*0.475*44/12</f>
        <v>#N/A</v>
      </c>
      <c r="BR158" s="21" t="e">
        <f>EXP(-LN(2)/2)*BR157+(1-EXP(-LN(2)/2))/(LN(2)/2)*BL158*BO158*VLOOKUP('Données projet'!$B$11,Paramètres!$A$1:$I$89,3,0)*0.475*44/12</f>
        <v>#N/A</v>
      </c>
      <c r="BS158" s="22" t="e">
        <f t="shared" si="169"/>
        <v>#N/A</v>
      </c>
      <c r="BT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">
      <c r="A159" s="10">
        <f t="shared" si="161"/>
        <v>156</v>
      </c>
      <c r="B159" s="72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93.287999999999883</v>
      </c>
      <c r="D159" s="11">
        <f t="shared" si="140"/>
        <v>25.356547829040952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915.8526499083855</v>
      </c>
      <c r="H159" s="66">
        <f t="shared" si="110"/>
        <v>499.97258746891276</v>
      </c>
      <c r="I159" s="6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0</v>
      </c>
      <c r="O159" s="13">
        <f>N159*VLOOKUP('Données projet'!$B$9,Paramètres!$A$1:$I$89,3,0)*VLOOKUP('Données projet'!$B$9,Paramètres!$A$1:$I$89,5,0)</f>
        <v>0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148.39628895278571</v>
      </c>
      <c r="T159" s="59">
        <f t="shared" si="142"/>
        <v>361.07991692964788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10.18576505812343</v>
      </c>
      <c r="AA159" s="21">
        <f>EXP(-LN(2)/25)*AA158+(1-EXP(-LN(2)/25))/(LN(2)/25)*Calculateur!V159*Calculateur!X159*VLOOKUP('Données projet'!$B$9,Paramètres!$A$1:$I$89,3,0)*0.475*44/12</f>
        <v>0.43700504096758208</v>
      </c>
      <c r="AB159" s="21">
        <f>EXP(-LN(2)/2)*AB158+(1-EXP(-LN(2)/2))/(LN(2)/2)*V159*Y159*VLOOKUP('Données projet'!$B$9,Paramètres!$A$1:$I$89,3,0)*0.475*44/12</f>
        <v>4.8747904587276305E-21</v>
      </c>
      <c r="AC159" s="22">
        <f t="shared" si="163"/>
        <v>10.622770099091012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8.8960000000000043</v>
      </c>
      <c r="AI159" s="13">
        <f>IF('Données projet'!$A$62&gt;35,AI158+AH159-AQ158,IF(A159&lt;'Données projet'!$A$62,$AF$205^A159,IF(A159='Données projet'!$A$62,'Données projet'!$B$62,AI158+AH159-AQ158)))</f>
        <v>509.1520000000001</v>
      </c>
      <c r="AJ159" s="13">
        <f>AI159*VLOOKUP('Données projet'!$B$10,Paramètres!$A$1:$I$89,3,0)*VLOOKUP('Données projet'!$B$10,Paramètres!$A$1:$I$89,5,0)</f>
        <v>508.33735680000012</v>
      </c>
      <c r="AK159" s="13">
        <f t="shared" si="164"/>
        <v>113.42479301098786</v>
      </c>
      <c r="AL159" s="20">
        <f t="shared" si="165"/>
        <v>1082.902410920804</v>
      </c>
      <c r="AM159" s="59">
        <f t="shared" si="113"/>
        <v>1376.2357442541372</v>
      </c>
      <c r="AN159" s="59">
        <f ca="1">AVERAGE(OFFSET($AM$3,0,0,'Données projet'!$E$10+1,1))-AVERAGE(OFFSET($H$3,0,0,'Données projet'!$E$10+1,1))</f>
        <v>525.29195699741149</v>
      </c>
      <c r="AO159" s="59">
        <f t="shared" si="144"/>
        <v>125.99812193007153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129.29024011942411</v>
      </c>
      <c r="AV159" s="21">
        <f>EXP(-LN(2)/25)*AV158+(1-EXP(-LN(2)/25))/(LN(2)/25)*Calculateur!AQ159*Calculateur!AS159*VLOOKUP('Données projet'!$B$10,Paramètres!$A$1:$I$89,3,0)*0.475*44/12</f>
        <v>0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129.29024011942411</v>
      </c>
      <c r="AY159" s="7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 t="e">
        <f>BD159*VLOOKUP('Données projet'!$B$11,Paramètres!$A$1:$I$89,3,0)*VLOOKUP('Données projet'!$B$11,Paramètres!$A$1:$I$89,5,0)</f>
        <v>#N/A</v>
      </c>
      <c r="BF159" s="13" t="e">
        <f t="shared" si="167"/>
        <v>#N/A</v>
      </c>
      <c r="BG159" s="20" t="e">
        <f t="shared" si="168"/>
        <v>#N/A</v>
      </c>
      <c r="BH159" s="59" t="e">
        <f t="shared" si="116"/>
        <v>#N/A</v>
      </c>
      <c r="BI159" s="59" t="e">
        <f ca="1">AVERAGE(OFFSET($BH$3,0,0,'Données projet'!$E$11+1,1))-AVERAGE(OFFSET($H$3,0,0,'Données projet'!$E$11+1,1))</f>
        <v>#N/A</v>
      </c>
      <c r="BJ159" s="59" t="e">
        <f t="shared" si="146"/>
        <v>#N/A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 t="e">
        <f>EXP(-LN(2)/35)*BP158+(1-EXP(-LN(2)/35))/(LN(2)/35)*BL159*BM159*VLOOKUP('Données projet'!$B$11,Paramètres!$A$1:$I$89,3,0)*0.475*44/12</f>
        <v>#N/A</v>
      </c>
      <c r="BQ159" s="21" t="e">
        <f>EXP(-LN(2)/25)*BQ158+(1-EXP(-LN(2)/25))/(LN(2)/25)*Calculateur!BL159*Calculateur!BN159*VLOOKUP('Données projet'!$B$11,Paramètres!$A$1:$I$89,3,0)*0.475*44/12</f>
        <v>#N/A</v>
      </c>
      <c r="BR159" s="21" t="e">
        <f>EXP(-LN(2)/2)*BR158+(1-EXP(-LN(2)/2))/(LN(2)/2)*BL159*BO159*VLOOKUP('Données projet'!$B$11,Paramètres!$A$1:$I$89,3,0)*0.475*44/12</f>
        <v>#N/A</v>
      </c>
      <c r="BS159" s="22" t="e">
        <f t="shared" si="169"/>
        <v>#N/A</v>
      </c>
      <c r="BT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">
      <c r="A160" s="10">
        <f t="shared" si="161"/>
        <v>157</v>
      </c>
      <c r="B160" s="72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93.885999999999882</v>
      </c>
      <c r="D160" s="11">
        <f t="shared" si="140"/>
        <v>25.500116461916356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921.5770393551428</v>
      </c>
      <c r="H160" s="66">
        <f t="shared" si="110"/>
        <v>501.2641528378374</v>
      </c>
      <c r="I160" s="6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0</v>
      </c>
      <c r="O160" s="13">
        <f>N160*VLOOKUP('Données projet'!$B$9,Paramètres!$A$1:$I$89,3,0)*VLOOKUP('Données projet'!$B$9,Paramètres!$A$1:$I$89,5,0)</f>
        <v>0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148.39628895278571</v>
      </c>
      <c r="T160" s="59">
        <f t="shared" si="142"/>
        <v>361.07991692964788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9.9860284180368613</v>
      </c>
      <c r="AA160" s="21">
        <f>EXP(-LN(2)/25)*AA159+(1-EXP(-LN(2)/25))/(LN(2)/25)*Calculateur!V160*Calculateur!X160*VLOOKUP('Données projet'!$B$9,Paramètres!$A$1:$I$89,3,0)*0.475*44/12</f>
        <v>0.42505511514122724</v>
      </c>
      <c r="AB160" s="21">
        <f>EXP(-LN(2)/2)*AB159+(1-EXP(-LN(2)/2))/(LN(2)/2)*V160*Y160*VLOOKUP('Données projet'!$B$9,Paramètres!$A$1:$I$89,3,0)*0.475*44/12</f>
        <v>3.4469973902297883E-21</v>
      </c>
      <c r="AC160" s="22">
        <f t="shared" si="163"/>
        <v>10.411083533178088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8.8960000000000043</v>
      </c>
      <c r="AI160" s="13">
        <f>IF('Données projet'!$A$62&gt;35,AI159+AH160-AQ159,IF(A160&lt;'Données projet'!$A$62,$AF$205^A160,IF(A160='Données projet'!$A$62,'Données projet'!$B$62,AI159+AH160-AQ159)))</f>
        <v>518.04800000000012</v>
      </c>
      <c r="AJ160" s="13">
        <f>AI160*VLOOKUP('Données projet'!$B$10,Paramètres!$A$1:$I$89,3,0)*VLOOKUP('Données projet'!$B$10,Paramètres!$A$1:$I$89,5,0)</f>
        <v>517.21912320000013</v>
      </c>
      <c r="AK160" s="13">
        <f t="shared" si="164"/>
        <v>115.17412412297564</v>
      </c>
      <c r="AL160" s="20">
        <f t="shared" si="165"/>
        <v>1101.4182390875162</v>
      </c>
      <c r="AM160" s="59">
        <f t="shared" si="113"/>
        <v>1394.7515724208495</v>
      </c>
      <c r="AN160" s="59">
        <f ca="1">AVERAGE(OFFSET($AM$3,0,0,'Données projet'!$E$10+1,1))-AVERAGE(OFFSET($H$3,0,0,'Données projet'!$E$10+1,1))</f>
        <v>525.29195699741149</v>
      </c>
      <c r="AO160" s="59">
        <f t="shared" si="144"/>
        <v>125.99812193007153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126.75493736994197</v>
      </c>
      <c r="AV160" s="21">
        <f>EXP(-LN(2)/25)*AV159+(1-EXP(-LN(2)/25))/(LN(2)/25)*Calculateur!AQ160*Calculateur!AS160*VLOOKUP('Données projet'!$B$10,Paramètres!$A$1:$I$89,3,0)*0.475*44/12</f>
        <v>0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126.75493736994197</v>
      </c>
      <c r="AY160" s="7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 t="e">
        <f>BD160*VLOOKUP('Données projet'!$B$11,Paramètres!$A$1:$I$89,3,0)*VLOOKUP('Données projet'!$B$11,Paramètres!$A$1:$I$89,5,0)</f>
        <v>#N/A</v>
      </c>
      <c r="BF160" s="13" t="e">
        <f t="shared" si="167"/>
        <v>#N/A</v>
      </c>
      <c r="BG160" s="20" t="e">
        <f t="shared" si="168"/>
        <v>#N/A</v>
      </c>
      <c r="BH160" s="59" t="e">
        <f t="shared" si="116"/>
        <v>#N/A</v>
      </c>
      <c r="BI160" s="59" t="e">
        <f ca="1">AVERAGE(OFFSET($BH$3,0,0,'Données projet'!$E$11+1,1))-AVERAGE(OFFSET($H$3,0,0,'Données projet'!$E$11+1,1))</f>
        <v>#N/A</v>
      </c>
      <c r="BJ160" s="59" t="e">
        <f t="shared" si="146"/>
        <v>#N/A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 t="e">
        <f>EXP(-LN(2)/35)*BP159+(1-EXP(-LN(2)/35))/(LN(2)/35)*BL160*BM160*VLOOKUP('Données projet'!$B$11,Paramètres!$A$1:$I$89,3,0)*0.475*44/12</f>
        <v>#N/A</v>
      </c>
      <c r="BQ160" s="21" t="e">
        <f>EXP(-LN(2)/25)*BQ159+(1-EXP(-LN(2)/25))/(LN(2)/25)*Calculateur!BL160*Calculateur!BN160*VLOOKUP('Données projet'!$B$11,Paramètres!$A$1:$I$89,3,0)*0.475*44/12</f>
        <v>#N/A</v>
      </c>
      <c r="BR160" s="21" t="e">
        <f>EXP(-LN(2)/2)*BR159+(1-EXP(-LN(2)/2))/(LN(2)/2)*BL160*BO160*VLOOKUP('Données projet'!$B$11,Paramètres!$A$1:$I$89,3,0)*0.475*44/12</f>
        <v>#N/A</v>
      </c>
      <c r="BS160" s="22" t="e">
        <f t="shared" si="169"/>
        <v>#N/A</v>
      </c>
      <c r="BT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">
      <c r="A161" s="10">
        <f t="shared" si="161"/>
        <v>158</v>
      </c>
      <c r="B161" s="72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94.483999999999881</v>
      </c>
      <c r="D161" s="11">
        <f t="shared" si="140"/>
        <v>25.643578691511777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927.30060744324794</v>
      </c>
      <c r="H161" s="66">
        <f t="shared" si="110"/>
        <v>502.55553288771608</v>
      </c>
      <c r="I161" s="6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0</v>
      </c>
      <c r="O161" s="13">
        <f>N161*VLOOKUP('Données projet'!$B$9,Paramètres!$A$1:$I$89,3,0)*VLOOKUP('Données projet'!$B$9,Paramètres!$A$1:$I$89,5,0)</f>
        <v>0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148.39628895278571</v>
      </c>
      <c r="T161" s="59">
        <f t="shared" si="142"/>
        <v>361.07991692964788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9.7902084916350702</v>
      </c>
      <c r="AA161" s="21">
        <f>EXP(-LN(2)/25)*AA160+(1-EXP(-LN(2)/25))/(LN(2)/25)*Calculateur!V161*Calculateur!X161*VLOOKUP('Données projet'!$B$9,Paramètres!$A$1:$I$89,3,0)*0.475*44/12</f>
        <v>0.41343196066501336</v>
      </c>
      <c r="AB161" s="21">
        <f>EXP(-LN(2)/2)*AB160+(1-EXP(-LN(2)/2))/(LN(2)/2)*V161*Y161*VLOOKUP('Données projet'!$B$9,Paramètres!$A$1:$I$89,3,0)*0.475*44/12</f>
        <v>2.4373952293638153E-21</v>
      </c>
      <c r="AC161" s="22">
        <f t="shared" si="163"/>
        <v>10.203640452300084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8.8960000000000043</v>
      </c>
      <c r="AI161" s="13">
        <f>IF('Données projet'!$A$62&gt;35,AI160+AH161-AQ160,IF(A161&lt;'Données projet'!$A$62,$AF$205^A161,IF(A161='Données projet'!$A$62,'Données projet'!$B$62,AI160+AH161-AQ160)))</f>
        <v>526.94400000000007</v>
      </c>
      <c r="AJ161" s="13">
        <f>AI161*VLOOKUP('Données projet'!$B$10,Paramètres!$A$1:$I$89,3,0)*VLOOKUP('Données projet'!$B$10,Paramètres!$A$1:$I$89,5,0)</f>
        <v>526.10088960000019</v>
      </c>
      <c r="AK161" s="13">
        <f t="shared" si="164"/>
        <v>116.91996191496982</v>
      </c>
      <c r="AL161" s="20">
        <f t="shared" si="165"/>
        <v>1119.9279830552393</v>
      </c>
      <c r="AM161" s="59">
        <f t="shared" si="113"/>
        <v>1413.2613163885726</v>
      </c>
      <c r="AN161" s="59">
        <f ca="1">AVERAGE(OFFSET($AM$3,0,0,'Données projet'!$E$10+1,1))-AVERAGE(OFFSET($H$3,0,0,'Données projet'!$E$10+1,1))</f>
        <v>525.29195699741149</v>
      </c>
      <c r="AO161" s="59">
        <f t="shared" si="144"/>
        <v>125.99812193007153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124.26935036099519</v>
      </c>
      <c r="AV161" s="21">
        <f>EXP(-LN(2)/25)*AV160+(1-EXP(-LN(2)/25))/(LN(2)/25)*Calculateur!AQ161*Calculateur!AS161*VLOOKUP('Données projet'!$B$10,Paramètres!$A$1:$I$89,3,0)*0.475*44/12</f>
        <v>0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124.26935036099519</v>
      </c>
      <c r="AY161" s="7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 t="e">
        <f>BD161*VLOOKUP('Données projet'!$B$11,Paramètres!$A$1:$I$89,3,0)*VLOOKUP('Données projet'!$B$11,Paramètres!$A$1:$I$89,5,0)</f>
        <v>#N/A</v>
      </c>
      <c r="BF161" s="13" t="e">
        <f t="shared" si="167"/>
        <v>#N/A</v>
      </c>
      <c r="BG161" s="20" t="e">
        <f t="shared" si="168"/>
        <v>#N/A</v>
      </c>
      <c r="BH161" s="59" t="e">
        <f t="shared" si="116"/>
        <v>#N/A</v>
      </c>
      <c r="BI161" s="59" t="e">
        <f ca="1">AVERAGE(OFFSET($BH$3,0,0,'Données projet'!$E$11+1,1))-AVERAGE(OFFSET($H$3,0,0,'Données projet'!$E$11+1,1))</f>
        <v>#N/A</v>
      </c>
      <c r="BJ161" s="59" t="e">
        <f t="shared" si="146"/>
        <v>#N/A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 t="e">
        <f>EXP(-LN(2)/35)*BP160+(1-EXP(-LN(2)/35))/(LN(2)/35)*BL161*BM161*VLOOKUP('Données projet'!$B$11,Paramètres!$A$1:$I$89,3,0)*0.475*44/12</f>
        <v>#N/A</v>
      </c>
      <c r="BQ161" s="21" t="e">
        <f>EXP(-LN(2)/25)*BQ160+(1-EXP(-LN(2)/25))/(LN(2)/25)*Calculateur!BL161*Calculateur!BN161*VLOOKUP('Données projet'!$B$11,Paramètres!$A$1:$I$89,3,0)*0.475*44/12</f>
        <v>#N/A</v>
      </c>
      <c r="BR161" s="21" t="e">
        <f>EXP(-LN(2)/2)*BR160+(1-EXP(-LN(2)/2))/(LN(2)/2)*BL161*BO161*VLOOKUP('Données projet'!$B$11,Paramètres!$A$1:$I$89,3,0)*0.475*44/12</f>
        <v>#N/A</v>
      </c>
      <c r="BS161" s="22" t="e">
        <f t="shared" si="169"/>
        <v>#N/A</v>
      </c>
      <c r="BT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">
      <c r="A162" s="10">
        <f t="shared" si="161"/>
        <v>159</v>
      </c>
      <c r="B162" s="72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95.08199999999988</v>
      </c>
      <c r="D162" s="11">
        <f t="shared" si="140"/>
        <v>25.786935269387101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933.0233599742154</v>
      </c>
      <c r="H162" s="66">
        <f t="shared" si="110"/>
        <v>503.84672892751564</v>
      </c>
      <c r="I162" s="6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0</v>
      </c>
      <c r="O162" s="13">
        <f>N162*VLOOKUP('Données projet'!$B$9,Paramètres!$A$1:$I$89,3,0)*VLOOKUP('Données projet'!$B$9,Paramètres!$A$1:$I$89,5,0)</f>
        <v>0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148.39628895278571</v>
      </c>
      <c r="T162" s="59">
        <f t="shared" si="142"/>
        <v>361.07991692964788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9.5982284745516555</v>
      </c>
      <c r="AA162" s="21">
        <f>EXP(-LN(2)/25)*AA161+(1-EXP(-LN(2)/25))/(LN(2)/25)*Calculateur!V162*Calculateur!X162*VLOOKUP('Données projet'!$B$9,Paramètres!$A$1:$I$89,3,0)*0.475*44/12</f>
        <v>0.40212664195918668</v>
      </c>
      <c r="AB162" s="21">
        <f>EXP(-LN(2)/2)*AB161+(1-EXP(-LN(2)/2))/(LN(2)/2)*V162*Y162*VLOOKUP('Données projet'!$B$9,Paramètres!$A$1:$I$89,3,0)*0.475*44/12</f>
        <v>1.7234986951148941E-21</v>
      </c>
      <c r="AC162" s="22">
        <f t="shared" si="163"/>
        <v>10.000355116510843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8.8960000000000043</v>
      </c>
      <c r="AI162" s="13">
        <f>IF('Données projet'!$A$62&gt;35,AI161+AH162-AQ161,IF(A162&lt;'Données projet'!$A$62,$AF$205^A162,IF(A162='Données projet'!$A$62,'Données projet'!$B$62,AI161+AH162-AQ161)))</f>
        <v>535.84</v>
      </c>
      <c r="AJ162" s="13">
        <f>AI162*VLOOKUP('Données projet'!$B$10,Paramètres!$A$1:$I$89,3,0)*VLOOKUP('Données projet'!$B$10,Paramètres!$A$1:$I$89,5,0)</f>
        <v>534.98265600000002</v>
      </c>
      <c r="AK162" s="13">
        <f t="shared" si="164"/>
        <v>118.66237216841989</v>
      </c>
      <c r="AL162" s="20">
        <f t="shared" si="165"/>
        <v>1138.4317573933313</v>
      </c>
      <c r="AM162" s="59">
        <f t="shared" si="113"/>
        <v>1431.7650907266645</v>
      </c>
      <c r="AN162" s="59">
        <f ca="1">AVERAGE(OFFSET($AM$3,0,0,'Données projet'!$E$10+1,1))-AVERAGE(OFFSET($H$3,0,0,'Données projet'!$E$10+1,1))</f>
        <v>525.29195699741149</v>
      </c>
      <c r="AO162" s="59">
        <f t="shared" si="144"/>
        <v>125.99812193007153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121.83250419723548</v>
      </c>
      <c r="AV162" s="21">
        <f>EXP(-LN(2)/25)*AV161+(1-EXP(-LN(2)/25))/(LN(2)/25)*Calculateur!AQ162*Calculateur!AS162*VLOOKUP('Données projet'!$B$10,Paramètres!$A$1:$I$89,3,0)*0.475*44/12</f>
        <v>0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121.83250419723548</v>
      </c>
      <c r="AY162" s="7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 t="e">
        <f>BD162*VLOOKUP('Données projet'!$B$11,Paramètres!$A$1:$I$89,3,0)*VLOOKUP('Données projet'!$B$11,Paramètres!$A$1:$I$89,5,0)</f>
        <v>#N/A</v>
      </c>
      <c r="BF162" s="13" t="e">
        <f t="shared" si="167"/>
        <v>#N/A</v>
      </c>
      <c r="BG162" s="20" t="e">
        <f t="shared" si="168"/>
        <v>#N/A</v>
      </c>
      <c r="BH162" s="59" t="e">
        <f t="shared" si="116"/>
        <v>#N/A</v>
      </c>
      <c r="BI162" s="59" t="e">
        <f ca="1">AVERAGE(OFFSET($BH$3,0,0,'Données projet'!$E$11+1,1))-AVERAGE(OFFSET($H$3,0,0,'Données projet'!$E$11+1,1))</f>
        <v>#N/A</v>
      </c>
      <c r="BJ162" s="59" t="e">
        <f t="shared" si="146"/>
        <v>#N/A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 t="e">
        <f>EXP(-LN(2)/35)*BP161+(1-EXP(-LN(2)/35))/(LN(2)/35)*BL162*BM162*VLOOKUP('Données projet'!$B$11,Paramètres!$A$1:$I$89,3,0)*0.475*44/12</f>
        <v>#N/A</v>
      </c>
      <c r="BQ162" s="21" t="e">
        <f>EXP(-LN(2)/25)*BQ161+(1-EXP(-LN(2)/25))/(LN(2)/25)*Calculateur!BL162*Calculateur!BN162*VLOOKUP('Données projet'!$B$11,Paramètres!$A$1:$I$89,3,0)*0.475*44/12</f>
        <v>#N/A</v>
      </c>
      <c r="BR162" s="21" t="e">
        <f>EXP(-LN(2)/2)*BR161+(1-EXP(-LN(2)/2))/(LN(2)/2)*BL162*BO162*VLOOKUP('Données projet'!$B$11,Paramètres!$A$1:$I$89,3,0)*0.475*44/12</f>
        <v>#N/A</v>
      </c>
      <c r="BS162" s="22" t="e">
        <f t="shared" si="169"/>
        <v>#N/A</v>
      </c>
      <c r="BT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">
      <c r="A163" s="10">
        <f t="shared" si="161"/>
        <v>160</v>
      </c>
      <c r="B163" s="72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95.679999999999879</v>
      </c>
      <c r="D163" s="11">
        <f t="shared" si="140"/>
        <v>25.930186937101919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938.7453026723648</v>
      </c>
      <c r="H163" s="66">
        <f t="shared" si="110"/>
        <v>505.13774224878563</v>
      </c>
      <c r="I163" s="6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0</v>
      </c>
      <c r="O163" s="13">
        <f>N163*VLOOKUP('Données projet'!$B$9,Paramètres!$A$1:$I$89,3,0)*VLOOKUP('Données projet'!$B$9,Paramètres!$A$1:$I$89,5,0)</f>
        <v>0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148.39628895278571</v>
      </c>
      <c r="T163" s="59">
        <f t="shared" si="142"/>
        <v>361.07991692964788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9.4100130685069985</v>
      </c>
      <c r="AA163" s="21">
        <f>EXP(-LN(2)/25)*AA162+(1-EXP(-LN(2)/25))/(LN(2)/25)*Calculateur!V163*Calculateur!X163*VLOOKUP('Données projet'!$B$9,Paramètres!$A$1:$I$89,3,0)*0.475*44/12</f>
        <v>0.39113046778789168</v>
      </c>
      <c r="AB163" s="21">
        <f>EXP(-LN(2)/2)*AB162+(1-EXP(-LN(2)/2))/(LN(2)/2)*V163*Y163*VLOOKUP('Données projet'!$B$9,Paramètres!$A$1:$I$89,3,0)*0.475*44/12</f>
        <v>1.2186976146819076E-21</v>
      </c>
      <c r="AC163" s="22">
        <f t="shared" si="163"/>
        <v>9.8011435362948909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8.8960000000000043</v>
      </c>
      <c r="AI163" s="13">
        <f>IF('Données projet'!$A$62&gt;35,AI162+AH163-AQ162,IF(A163&lt;'Données projet'!$A$62,$AF$205^A163,IF(A163='Données projet'!$A$62,'Données projet'!$B$62,AI162+AH163-AQ162)))</f>
        <v>544.73599999999999</v>
      </c>
      <c r="AJ163" s="13">
        <f>AI163*VLOOKUP('Données projet'!$B$10,Paramètres!$A$1:$I$89,3,0)*VLOOKUP('Données projet'!$B$10,Paramètres!$A$1:$I$89,5,0)</f>
        <v>543.86442239999997</v>
      </c>
      <c r="AK163" s="13">
        <f t="shared" si="164"/>
        <v>120.40141835536645</v>
      </c>
      <c r="AL163" s="20">
        <f t="shared" si="165"/>
        <v>1156.9296726489297</v>
      </c>
      <c r="AM163" s="59">
        <f t="shared" si="113"/>
        <v>1450.2630059822629</v>
      </c>
      <c r="AN163" s="59">
        <f ca="1">AVERAGE(OFFSET($AM$3,0,0,'Données projet'!$E$10+1,1))-AVERAGE(OFFSET($H$3,0,0,'Données projet'!$E$10+1,1))</f>
        <v>525.29195699741149</v>
      </c>
      <c r="AO163" s="59">
        <f t="shared" si="144"/>
        <v>125.99812193007153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119.4434431004177</v>
      </c>
      <c r="AV163" s="21">
        <f>EXP(-LN(2)/25)*AV162+(1-EXP(-LN(2)/25))/(LN(2)/25)*Calculateur!AQ163*Calculateur!AS163*VLOOKUP('Données projet'!$B$10,Paramètres!$A$1:$I$89,3,0)*0.475*44/12</f>
        <v>0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119.4434431004177</v>
      </c>
      <c r="AY163" s="7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 t="e">
        <f>BD163*VLOOKUP('Données projet'!$B$11,Paramètres!$A$1:$I$89,3,0)*VLOOKUP('Données projet'!$B$11,Paramètres!$A$1:$I$89,5,0)</f>
        <v>#N/A</v>
      </c>
      <c r="BF163" s="13" t="e">
        <f t="shared" si="167"/>
        <v>#N/A</v>
      </c>
      <c r="BG163" s="20" t="e">
        <f t="shared" si="168"/>
        <v>#N/A</v>
      </c>
      <c r="BH163" s="59" t="e">
        <f t="shared" si="116"/>
        <v>#N/A</v>
      </c>
      <c r="BI163" s="59" t="e">
        <f ca="1">AVERAGE(OFFSET($BH$3,0,0,'Données projet'!$E$11+1,1))-AVERAGE(OFFSET($H$3,0,0,'Données projet'!$E$11+1,1))</f>
        <v>#N/A</v>
      </c>
      <c r="BJ163" s="59" t="e">
        <f t="shared" si="146"/>
        <v>#N/A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 t="e">
        <f>EXP(-LN(2)/35)*BP162+(1-EXP(-LN(2)/35))/(LN(2)/35)*BL163*BM163*VLOOKUP('Données projet'!$B$11,Paramètres!$A$1:$I$89,3,0)*0.475*44/12</f>
        <v>#N/A</v>
      </c>
      <c r="BQ163" s="21" t="e">
        <f>EXP(-LN(2)/25)*BQ162+(1-EXP(-LN(2)/25))/(LN(2)/25)*Calculateur!BL163*Calculateur!BN163*VLOOKUP('Données projet'!$B$11,Paramètres!$A$1:$I$89,3,0)*0.475*44/12</f>
        <v>#N/A</v>
      </c>
      <c r="BR163" s="21" t="e">
        <f>EXP(-LN(2)/2)*BR162+(1-EXP(-LN(2)/2))/(LN(2)/2)*BL163*BO163*VLOOKUP('Données projet'!$B$11,Paramètres!$A$1:$I$89,3,0)*0.475*44/12</f>
        <v>#N/A</v>
      </c>
      <c r="BS163" s="22" t="e">
        <f t="shared" si="169"/>
        <v>#N/A</v>
      </c>
      <c r="BT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">
      <c r="A164" s="10">
        <f t="shared" si="161"/>
        <v>161</v>
      </c>
      <c r="B164" s="72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96.277999999999878</v>
      </c>
      <c r="D164" s="11">
        <f t="shared" si="140"/>
        <v>26.073334426410252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944.46644118632378</v>
      </c>
      <c r="H164" s="66">
        <f t="shared" si="110"/>
        <v>506.42857412599761</v>
      </c>
      <c r="I164" s="6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0</v>
      </c>
      <c r="O164" s="13">
        <f>N164*VLOOKUP('Données projet'!$B$9,Paramètres!$A$1:$I$89,3,0)*VLOOKUP('Données projet'!$B$9,Paramètres!$A$1:$I$89,5,0)</f>
        <v>0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148.39628895278571</v>
      </c>
      <c r="T164" s="59">
        <f t="shared" si="142"/>
        <v>361.07991692964788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9.2254884517748152</v>
      </c>
      <c r="AA164" s="21">
        <f>EXP(-LN(2)/25)*AA163+(1-EXP(-LN(2)/25))/(LN(2)/25)*Calculateur!V164*Calculateur!X164*VLOOKUP('Données projet'!$B$9,Paramètres!$A$1:$I$89,3,0)*0.475*44/12</f>
        <v>0.38043498457757441</v>
      </c>
      <c r="AB164" s="21">
        <f>EXP(-LN(2)/2)*AB163+(1-EXP(-LN(2)/2))/(LN(2)/2)*V164*Y164*VLOOKUP('Données projet'!$B$9,Paramètres!$A$1:$I$89,3,0)*0.475*44/12</f>
        <v>8.6174934755744706E-22</v>
      </c>
      <c r="AC164" s="22">
        <f t="shared" si="163"/>
        <v>9.6059234363523895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8.8960000000000043</v>
      </c>
      <c r="AI164" s="13">
        <f>IF('Données projet'!$A$62&gt;35,AI163+AH164-AQ163,IF(A164&lt;'Données projet'!$A$62,$AF$205^A164,IF(A164='Données projet'!$A$62,'Données projet'!$B$62,AI163+AH164-AQ163)))</f>
        <v>553.63199999999995</v>
      </c>
      <c r="AJ164" s="13">
        <f>AI164*VLOOKUP('Données projet'!$B$10,Paramètres!$A$1:$I$89,3,0)*VLOOKUP('Données projet'!$B$10,Paramètres!$A$1:$I$89,5,0)</f>
        <v>552.74618880000003</v>
      </c>
      <c r="AK164" s="13">
        <f t="shared" si="164"/>
        <v>122.13716175588324</v>
      </c>
      <c r="AL164" s="20">
        <f t="shared" si="165"/>
        <v>1175.4218355514965</v>
      </c>
      <c r="AM164" s="59">
        <f t="shared" si="113"/>
        <v>1468.7551688848298</v>
      </c>
      <c r="AN164" s="59">
        <f ca="1">AVERAGE(OFFSET($AM$3,0,0,'Données projet'!$E$10+1,1))-AVERAGE(OFFSET($H$3,0,0,'Données projet'!$E$10+1,1))</f>
        <v>525.29195699741149</v>
      </c>
      <c r="AO164" s="59">
        <f t="shared" si="144"/>
        <v>125.99812193007153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117.10123003452513</v>
      </c>
      <c r="AV164" s="21">
        <f>EXP(-LN(2)/25)*AV163+(1-EXP(-LN(2)/25))/(LN(2)/25)*Calculateur!AQ164*Calculateur!AS164*VLOOKUP('Données projet'!$B$10,Paramètres!$A$1:$I$89,3,0)*0.475*44/12</f>
        <v>0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117.10123003452513</v>
      </c>
      <c r="AY164" s="7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 t="e">
        <f>BD164*VLOOKUP('Données projet'!$B$11,Paramètres!$A$1:$I$89,3,0)*VLOOKUP('Données projet'!$B$11,Paramètres!$A$1:$I$89,5,0)</f>
        <v>#N/A</v>
      </c>
      <c r="BF164" s="13" t="e">
        <f t="shared" si="167"/>
        <v>#N/A</v>
      </c>
      <c r="BG164" s="20" t="e">
        <f t="shared" si="168"/>
        <v>#N/A</v>
      </c>
      <c r="BH164" s="59" t="e">
        <f t="shared" si="116"/>
        <v>#N/A</v>
      </c>
      <c r="BI164" s="59" t="e">
        <f ca="1">AVERAGE(OFFSET($BH$3,0,0,'Données projet'!$E$11+1,1))-AVERAGE(OFFSET($H$3,0,0,'Données projet'!$E$11+1,1))</f>
        <v>#N/A</v>
      </c>
      <c r="BJ164" s="59" t="e">
        <f t="shared" si="146"/>
        <v>#N/A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 t="e">
        <f>EXP(-LN(2)/35)*BP163+(1-EXP(-LN(2)/35))/(LN(2)/35)*BL164*BM164*VLOOKUP('Données projet'!$B$11,Paramètres!$A$1:$I$89,3,0)*0.475*44/12</f>
        <v>#N/A</v>
      </c>
      <c r="BQ164" s="21" t="e">
        <f>EXP(-LN(2)/25)*BQ163+(1-EXP(-LN(2)/25))/(LN(2)/25)*Calculateur!BL164*Calculateur!BN164*VLOOKUP('Données projet'!$B$11,Paramètres!$A$1:$I$89,3,0)*0.475*44/12</f>
        <v>#N/A</v>
      </c>
      <c r="BR164" s="21" t="e">
        <f>EXP(-LN(2)/2)*BR163+(1-EXP(-LN(2)/2))/(LN(2)/2)*BL164*BO164*VLOOKUP('Données projet'!$B$11,Paramètres!$A$1:$I$89,3,0)*0.475*44/12</f>
        <v>#N/A</v>
      </c>
      <c r="BS164" s="22" t="e">
        <f t="shared" si="169"/>
        <v>#N/A</v>
      </c>
      <c r="BT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">
      <c r="A165" s="10">
        <f t="shared" si="161"/>
        <v>162</v>
      </c>
      <c r="B165" s="72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96.875999999999877</v>
      </c>
      <c r="D165" s="11">
        <f t="shared" si="140"/>
        <v>26.216378459450194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950.18678109049188</v>
      </c>
      <c r="H165" s="66">
        <f t="shared" si="110"/>
        <v>507.71922581687556</v>
      </c>
      <c r="I165" s="6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0</v>
      </c>
      <c r="O165" s="13">
        <f>N165*VLOOKUP('Données projet'!$B$9,Paramètres!$A$1:$I$89,3,0)*VLOOKUP('Données projet'!$B$9,Paramètres!$A$1:$I$89,5,0)</f>
        <v>0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148.39628895278571</v>
      </c>
      <c r="T165" s="59">
        <f t="shared" si="142"/>
        <v>361.07991692964788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9.0445822502278475</v>
      </c>
      <c r="AA165" s="21">
        <f>EXP(-LN(2)/25)*AA164+(1-EXP(-LN(2)/25))/(LN(2)/25)*Calculateur!V165*Calculateur!X165*VLOOKUP('Données projet'!$B$9,Paramètres!$A$1:$I$89,3,0)*0.475*44/12</f>
        <v>0.37003196991809428</v>
      </c>
      <c r="AB165" s="21">
        <f>EXP(-LN(2)/2)*AB164+(1-EXP(-LN(2)/2))/(LN(2)/2)*V165*Y165*VLOOKUP('Données projet'!$B$9,Paramètres!$A$1:$I$89,3,0)*0.475*44/12</f>
        <v>6.0934880734095382E-22</v>
      </c>
      <c r="AC165" s="22">
        <f t="shared" si="163"/>
        <v>9.4146142201459426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8.8960000000000043</v>
      </c>
      <c r="AI165" s="13">
        <f>IF('Données projet'!$A$62&gt;35,AI164+AH165-AQ164,IF(A165&lt;'Données projet'!$A$62,$AF$205^A165,IF(A165='Données projet'!$A$62,'Données projet'!$B$62,AI164+AH165-AQ164)))</f>
        <v>562.52799999999991</v>
      </c>
      <c r="AJ165" s="13">
        <f>AI165*VLOOKUP('Données projet'!$B$10,Paramètres!$A$1:$I$89,3,0)*VLOOKUP('Données projet'!$B$10,Paramètres!$A$1:$I$89,5,0)</f>
        <v>561.62795519999997</v>
      </c>
      <c r="AK165" s="13">
        <f t="shared" si="164"/>
        <v>123.86966156775844</v>
      </c>
      <c r="AL165" s="20">
        <f t="shared" si="165"/>
        <v>1193.908349203846</v>
      </c>
      <c r="AM165" s="59">
        <f t="shared" si="113"/>
        <v>1487.2416825371793</v>
      </c>
      <c r="AN165" s="59">
        <f ca="1">AVERAGE(OFFSET($AM$3,0,0,'Données projet'!$E$10+1,1))-AVERAGE(OFFSET($H$3,0,0,'Données projet'!$E$10+1,1))</f>
        <v>525.29195699741149</v>
      </c>
      <c r="AO165" s="59">
        <f t="shared" si="144"/>
        <v>125.99812193007153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114.80494633824581</v>
      </c>
      <c r="AV165" s="21">
        <f>EXP(-LN(2)/25)*AV164+(1-EXP(-LN(2)/25))/(LN(2)/25)*Calculateur!AQ165*Calculateur!AS165*VLOOKUP('Données projet'!$B$10,Paramètres!$A$1:$I$89,3,0)*0.475*44/12</f>
        <v>0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114.80494633824581</v>
      </c>
      <c r="AY165" s="7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 t="e">
        <f>BD165*VLOOKUP('Données projet'!$B$11,Paramètres!$A$1:$I$89,3,0)*VLOOKUP('Données projet'!$B$11,Paramètres!$A$1:$I$89,5,0)</f>
        <v>#N/A</v>
      </c>
      <c r="BF165" s="13" t="e">
        <f t="shared" si="167"/>
        <v>#N/A</v>
      </c>
      <c r="BG165" s="20" t="e">
        <f t="shared" si="168"/>
        <v>#N/A</v>
      </c>
      <c r="BH165" s="59" t="e">
        <f t="shared" si="116"/>
        <v>#N/A</v>
      </c>
      <c r="BI165" s="59" t="e">
        <f ca="1">AVERAGE(OFFSET($BH$3,0,0,'Données projet'!$E$11+1,1))-AVERAGE(OFFSET($H$3,0,0,'Données projet'!$E$11+1,1))</f>
        <v>#N/A</v>
      </c>
      <c r="BJ165" s="59" t="e">
        <f t="shared" si="146"/>
        <v>#N/A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 t="e">
        <f>EXP(-LN(2)/35)*BP164+(1-EXP(-LN(2)/35))/(LN(2)/35)*BL165*BM165*VLOOKUP('Données projet'!$B$11,Paramètres!$A$1:$I$89,3,0)*0.475*44/12</f>
        <v>#N/A</v>
      </c>
      <c r="BQ165" s="21" t="e">
        <f>EXP(-LN(2)/25)*BQ164+(1-EXP(-LN(2)/25))/(LN(2)/25)*Calculateur!BL165*Calculateur!BN165*VLOOKUP('Données projet'!$B$11,Paramètres!$A$1:$I$89,3,0)*0.475*44/12</f>
        <v>#N/A</v>
      </c>
      <c r="BR165" s="21" t="e">
        <f>EXP(-LN(2)/2)*BR164+(1-EXP(-LN(2)/2))/(LN(2)/2)*BL165*BO165*VLOOKUP('Données projet'!$B$11,Paramètres!$A$1:$I$89,3,0)*0.475*44/12</f>
        <v>#N/A</v>
      </c>
      <c r="BS165" s="22" t="e">
        <f t="shared" si="169"/>
        <v>#N/A</v>
      </c>
      <c r="BT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">
      <c r="A166" s="10">
        <f t="shared" si="161"/>
        <v>163</v>
      </c>
      <c r="B166" s="72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97.473999999999876</v>
      </c>
      <c r="D166" s="11">
        <f t="shared" si="140"/>
        <v>26.359319748929014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955.90632788646872</v>
      </c>
      <c r="H166" s="66">
        <f t="shared" si="110"/>
        <v>509.00969856271774</v>
      </c>
      <c r="I166" s="6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0</v>
      </c>
      <c r="O166" s="13">
        <f>N166*VLOOKUP('Données projet'!$B$9,Paramètres!$A$1:$I$89,3,0)*VLOOKUP('Données projet'!$B$9,Paramètres!$A$1:$I$89,5,0)</f>
        <v>0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148.39628895278571</v>
      </c>
      <c r="T166" s="59">
        <f t="shared" si="142"/>
        <v>361.07991692964788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8.8672235089513283</v>
      </c>
      <c r="AA166" s="21">
        <f>EXP(-LN(2)/25)*AA165+(1-EXP(-LN(2)/25))/(LN(2)/25)*Calculateur!V166*Calculateur!X166*VLOOKUP('Données projet'!$B$9,Paramètres!$A$1:$I$89,3,0)*0.475*44/12</f>
        <v>0.35991342624154843</v>
      </c>
      <c r="AB166" s="21">
        <f>EXP(-LN(2)/2)*AB165+(1-EXP(-LN(2)/2))/(LN(2)/2)*V166*Y166*VLOOKUP('Données projet'!$B$9,Paramètres!$A$1:$I$89,3,0)*0.475*44/12</f>
        <v>4.3087467377872353E-22</v>
      </c>
      <c r="AC166" s="22">
        <f t="shared" si="163"/>
        <v>9.2271369351928776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8.8960000000000043</v>
      </c>
      <c r="AI166" s="13">
        <f>IF('Données projet'!$A$62&gt;35,AI165+AH166-AQ165,IF(A166&lt;'Données projet'!$A$62,$AF$205^A166,IF(A166='Données projet'!$A$62,'Données projet'!$B$62,AI165+AH166-AQ165)))</f>
        <v>571.42399999999986</v>
      </c>
      <c r="AJ166" s="13">
        <f>AI166*VLOOKUP('Données projet'!$B$10,Paramètres!$A$1:$I$89,3,0)*VLOOKUP('Données projet'!$B$10,Paramètres!$A$1:$I$89,5,0)</f>
        <v>570.50972159999981</v>
      </c>
      <c r="AK166" s="13">
        <f t="shared" si="164"/>
        <v>125.59897500903929</v>
      </c>
      <c r="AL166" s="20">
        <f t="shared" si="165"/>
        <v>1212.3893132607429</v>
      </c>
      <c r="AM166" s="59">
        <f t="shared" si="113"/>
        <v>1505.7226465940762</v>
      </c>
      <c r="AN166" s="59">
        <f ca="1">AVERAGE(OFFSET($AM$3,0,0,'Données projet'!$E$10+1,1))-AVERAGE(OFFSET($H$3,0,0,'Données projet'!$E$10+1,1))</f>
        <v>525.29195699741149</v>
      </c>
      <c r="AO166" s="59">
        <f t="shared" si="144"/>
        <v>125.99812193007153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112.55369136465578</v>
      </c>
      <c r="AV166" s="21">
        <f>EXP(-LN(2)/25)*AV165+(1-EXP(-LN(2)/25))/(LN(2)/25)*Calculateur!AQ166*Calculateur!AS166*VLOOKUP('Données projet'!$B$10,Paramètres!$A$1:$I$89,3,0)*0.475*44/12</f>
        <v>0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112.55369136465578</v>
      </c>
      <c r="AY166" s="7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 t="e">
        <f>BD166*VLOOKUP('Données projet'!$B$11,Paramètres!$A$1:$I$89,3,0)*VLOOKUP('Données projet'!$B$11,Paramètres!$A$1:$I$89,5,0)</f>
        <v>#N/A</v>
      </c>
      <c r="BF166" s="13" t="e">
        <f t="shared" si="167"/>
        <v>#N/A</v>
      </c>
      <c r="BG166" s="20" t="e">
        <f t="shared" si="168"/>
        <v>#N/A</v>
      </c>
      <c r="BH166" s="59" t="e">
        <f t="shared" si="116"/>
        <v>#N/A</v>
      </c>
      <c r="BI166" s="59" t="e">
        <f ca="1">AVERAGE(OFFSET($BH$3,0,0,'Données projet'!$E$11+1,1))-AVERAGE(OFFSET($H$3,0,0,'Données projet'!$E$11+1,1))</f>
        <v>#N/A</v>
      </c>
      <c r="BJ166" s="59" t="e">
        <f t="shared" si="146"/>
        <v>#N/A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 t="e">
        <f>EXP(-LN(2)/35)*BP165+(1-EXP(-LN(2)/35))/(LN(2)/35)*BL166*BM166*VLOOKUP('Données projet'!$B$11,Paramètres!$A$1:$I$89,3,0)*0.475*44/12</f>
        <v>#N/A</v>
      </c>
      <c r="BQ166" s="21" t="e">
        <f>EXP(-LN(2)/25)*BQ165+(1-EXP(-LN(2)/25))/(LN(2)/25)*Calculateur!BL166*Calculateur!BN166*VLOOKUP('Données projet'!$B$11,Paramètres!$A$1:$I$89,3,0)*0.475*44/12</f>
        <v>#N/A</v>
      </c>
      <c r="BR166" s="21" t="e">
        <f>EXP(-LN(2)/2)*BR165+(1-EXP(-LN(2)/2))/(LN(2)/2)*BL166*BO166*VLOOKUP('Données projet'!$B$11,Paramètres!$A$1:$I$89,3,0)*0.475*44/12</f>
        <v>#N/A</v>
      </c>
      <c r="BS166" s="22" t="e">
        <f t="shared" si="169"/>
        <v>#N/A</v>
      </c>
      <c r="BT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">
      <c r="A167" s="10">
        <f t="shared" si="161"/>
        <v>164</v>
      </c>
      <c r="B167" s="72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98.071999999999875</v>
      </c>
      <c r="D167" s="11">
        <f t="shared" si="140"/>
        <v>26.502158998303084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961.62508700444403</v>
      </c>
      <c r="H167" s="66">
        <f t="shared" si="110"/>
        <v>510.299993588711</v>
      </c>
      <c r="I167" s="6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0</v>
      </c>
      <c r="O167" s="13">
        <f>N167*VLOOKUP('Données projet'!$B$9,Paramètres!$A$1:$I$89,3,0)*VLOOKUP('Données projet'!$B$9,Paramètres!$A$1:$I$89,5,0)</f>
        <v>0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148.39628895278571</v>
      </c>
      <c r="T167" s="59">
        <f t="shared" si="142"/>
        <v>361.07991692964788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8.6933426644130911</v>
      </c>
      <c r="AA167" s="21">
        <f>EXP(-LN(2)/25)*AA166+(1-EXP(-LN(2)/25))/(LN(2)/25)*Calculateur!V167*Calculateur!X167*VLOOKUP('Données projet'!$B$9,Paramètres!$A$1:$I$89,3,0)*0.475*44/12</f>
        <v>0.35007157467394878</v>
      </c>
      <c r="AB167" s="21">
        <f>EXP(-LN(2)/2)*AB166+(1-EXP(-LN(2)/2))/(LN(2)/2)*V167*Y167*VLOOKUP('Données projet'!$B$9,Paramètres!$A$1:$I$89,3,0)*0.475*44/12</f>
        <v>3.0467440367047691E-22</v>
      </c>
      <c r="AC167" s="22">
        <f t="shared" si="163"/>
        <v>9.0434142390870402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>
        <f>VLOOKUP(A167,'Données projet'!$A$61:$I$81,2,0)</f>
        <v>580.32000000000005</v>
      </c>
      <c r="AG167" s="12">
        <f>VLOOKUP(A167,'Données projet'!$A$61:$I$81,9,0)</f>
        <v>8.8960000000000043</v>
      </c>
      <c r="AH167" s="12">
        <f t="array" ref="AH167">INDEX(AG:AG,MIN(IF(ISNUMBER(AG167:AG363),ROW(AG167:AG363),"")))</f>
        <v>8.8960000000000043</v>
      </c>
      <c r="AI167" s="13">
        <f>IF('Données projet'!$A$62&gt;35,AI166+AH167-AQ166,IF(A167&lt;'Données projet'!$A$62,$AF$205^A167,IF(A167='Données projet'!$A$62,'Données projet'!$B$62,AI166+AH167-AQ166)))</f>
        <v>580.31999999999982</v>
      </c>
      <c r="AJ167" s="13">
        <f>AI167*VLOOKUP('Données projet'!$B$10,Paramètres!$A$1:$I$89,3,0)*VLOOKUP('Données projet'!$B$10,Paramètres!$A$1:$I$89,5,0)</f>
        <v>579.39148799999987</v>
      </c>
      <c r="AK167" s="13">
        <f t="shared" si="164"/>
        <v>127.3251574140116</v>
      </c>
      <c r="AL167" s="20">
        <f t="shared" si="165"/>
        <v>1230.8648240960699</v>
      </c>
      <c r="AM167" s="59">
        <f t="shared" si="113"/>
        <v>1524.1981574294032</v>
      </c>
      <c r="AN167" s="59">
        <f ca="1">AVERAGE(OFFSET($AM$3,0,0,'Données projet'!$E$10+1,1))-AVERAGE(OFFSET($H$3,0,0,'Données projet'!$E$10+1,1))</f>
        <v>525.29195699741149</v>
      </c>
      <c r="AO167" s="59">
        <f t="shared" si="144"/>
        <v>125.99812193007153</v>
      </c>
      <c r="AP167" s="15">
        <f>IF(ISNA(VLOOKUP(A167,'Données projet'!$A$61:$I$81,3,0)),0,VLOOKUP(A167,'Données projet'!$A$61:$I$81,3,0))</f>
        <v>14</v>
      </c>
      <c r="AQ167" s="15">
        <f>IF(ISNA(VLOOKUP(A167,'Données projet'!$A$61:$I$81,4,0)),0,VLOOKUP(A167,'Données projet'!$A$61:$I$81,4,0))</f>
        <v>59.58</v>
      </c>
      <c r="AR167" s="16">
        <f>IF(ISNA(VLOOKUP(A167,'Données projet'!$A$61:$I$81,5,0)),0%,VLOOKUP(A167,'Données projet'!$A$61:$I$81,5,0)*VLOOKUP('Données projet'!$B$10,Paramètres!$A$1:$I$89,7,0))</f>
        <v>0.43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138.62275558882811</v>
      </c>
      <c r="AV167" s="21">
        <f>EXP(-LN(2)/25)*AV166+(1-EXP(-LN(2)/25))/(LN(2)/25)*Calculateur!AQ167*Calculateur!AS167*VLOOKUP('Données projet'!$B$10,Paramètres!$A$1:$I$89,3,0)*0.475*44/12</f>
        <v>0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138.62275558882811</v>
      </c>
      <c r="AY167" s="7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 t="e">
        <f>BD167*VLOOKUP('Données projet'!$B$11,Paramètres!$A$1:$I$89,3,0)*VLOOKUP('Données projet'!$B$11,Paramètres!$A$1:$I$89,5,0)</f>
        <v>#N/A</v>
      </c>
      <c r="BF167" s="13" t="e">
        <f t="shared" si="167"/>
        <v>#N/A</v>
      </c>
      <c r="BG167" s="20" t="e">
        <f t="shared" si="168"/>
        <v>#N/A</v>
      </c>
      <c r="BH167" s="59" t="e">
        <f t="shared" si="116"/>
        <v>#N/A</v>
      </c>
      <c r="BI167" s="59" t="e">
        <f ca="1">AVERAGE(OFFSET($BH$3,0,0,'Données projet'!$E$11+1,1))-AVERAGE(OFFSET($H$3,0,0,'Données projet'!$E$11+1,1))</f>
        <v>#N/A</v>
      </c>
      <c r="BJ167" s="59" t="e">
        <f t="shared" si="146"/>
        <v>#N/A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 t="e">
        <f>EXP(-LN(2)/35)*BP166+(1-EXP(-LN(2)/35))/(LN(2)/35)*BL167*BM167*VLOOKUP('Données projet'!$B$11,Paramètres!$A$1:$I$89,3,0)*0.475*44/12</f>
        <v>#N/A</v>
      </c>
      <c r="BQ167" s="21" t="e">
        <f>EXP(-LN(2)/25)*BQ166+(1-EXP(-LN(2)/25))/(LN(2)/25)*Calculateur!BL167*Calculateur!BN167*VLOOKUP('Données projet'!$B$11,Paramètres!$A$1:$I$89,3,0)*0.475*44/12</f>
        <v>#N/A</v>
      </c>
      <c r="BR167" s="21" t="e">
        <f>EXP(-LN(2)/2)*BR166+(1-EXP(-LN(2)/2))/(LN(2)/2)*BL167*BO167*VLOOKUP('Données projet'!$B$11,Paramètres!$A$1:$I$89,3,0)*0.475*44/12</f>
        <v>#N/A</v>
      </c>
      <c r="BS167" s="22" t="e">
        <f t="shared" si="169"/>
        <v>#N/A</v>
      </c>
      <c r="BT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">
      <c r="A168" s="10">
        <f t="shared" si="161"/>
        <v>165</v>
      </c>
      <c r="B168" s="72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98.669999999999874</v>
      </c>
      <c r="D168" s="11">
        <f t="shared" si="140"/>
        <v>26.644896901954041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967.34306380455655</v>
      </c>
      <c r="H168" s="66">
        <f t="shared" si="110"/>
        <v>511.59011210423637</v>
      </c>
      <c r="I168" s="6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0</v>
      </c>
      <c r="O168" s="13">
        <f>N168*VLOOKUP('Données projet'!$B$9,Paramètres!$A$1:$I$89,3,0)*VLOOKUP('Données projet'!$B$9,Paramètres!$A$1:$I$89,5,0)</f>
        <v>0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148.39628895278571</v>
      </c>
      <c r="T168" s="59">
        <f t="shared" si="142"/>
        <v>361.07991692964788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8.5228715171794054</v>
      </c>
      <c r="AA168" s="21">
        <f>EXP(-LN(2)/25)*AA167+(1-EXP(-LN(2)/25))/(LN(2)/25)*Calculateur!V168*Calculateur!X168*VLOOKUP('Données projet'!$B$9,Paramètres!$A$1:$I$89,3,0)*0.475*44/12</f>
        <v>0.34049884905502564</v>
      </c>
      <c r="AB168" s="21">
        <f>EXP(-LN(2)/2)*AB167+(1-EXP(-LN(2)/2))/(LN(2)/2)*V168*Y168*VLOOKUP('Données projet'!$B$9,Paramètres!$A$1:$I$89,3,0)*0.475*44/12</f>
        <v>2.1543733688936177E-22</v>
      </c>
      <c r="AC168" s="22">
        <f t="shared" si="163"/>
        <v>8.863370366234431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8.977999999999998</v>
      </c>
      <c r="AI168" s="13">
        <f>IF('Données projet'!$A$62&gt;35,AI167+AH168-AQ167,IF(A168&lt;'Données projet'!$A$62,$AF$205^A168,IF(A168='Données projet'!$A$62,'Données projet'!$B$62,AI167+AH168-AQ167)))</f>
        <v>529.71799999999973</v>
      </c>
      <c r="AJ168" s="13">
        <f>AI168*VLOOKUP('Données projet'!$B$10,Paramètres!$A$1:$I$89,3,0)*VLOOKUP('Données projet'!$B$10,Paramètres!$A$1:$I$89,5,0)</f>
        <v>528.87045119999971</v>
      </c>
      <c r="AK168" s="13">
        <f t="shared" si="164"/>
        <v>117.46365466821612</v>
      </c>
      <c r="AL168" s="20">
        <f t="shared" si="165"/>
        <v>1125.6985677204759</v>
      </c>
      <c r="AM168" s="59">
        <f t="shared" si="113"/>
        <v>1419.0319010538092</v>
      </c>
      <c r="AN168" s="59">
        <f ca="1">AVERAGE(OFFSET($AM$3,0,0,'Données projet'!$E$10+1,1))-AVERAGE(OFFSET($H$3,0,0,'Données projet'!$E$10+1,1))</f>
        <v>525.29195699741149</v>
      </c>
      <c r="AO168" s="59">
        <f t="shared" si="144"/>
        <v>125.99812193007153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135.90444790326333</v>
      </c>
      <c r="AV168" s="21">
        <f>EXP(-LN(2)/25)*AV167+(1-EXP(-LN(2)/25))/(LN(2)/25)*Calculateur!AQ168*Calculateur!AS168*VLOOKUP('Données projet'!$B$10,Paramètres!$A$1:$I$89,3,0)*0.475*44/12</f>
        <v>0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135.90444790326333</v>
      </c>
      <c r="AY168" s="7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 t="e">
        <f>BD168*VLOOKUP('Données projet'!$B$11,Paramètres!$A$1:$I$89,3,0)*VLOOKUP('Données projet'!$B$11,Paramètres!$A$1:$I$89,5,0)</f>
        <v>#N/A</v>
      </c>
      <c r="BF168" s="13" t="e">
        <f t="shared" si="167"/>
        <v>#N/A</v>
      </c>
      <c r="BG168" s="20" t="e">
        <f t="shared" si="168"/>
        <v>#N/A</v>
      </c>
      <c r="BH168" s="59" t="e">
        <f t="shared" si="116"/>
        <v>#N/A</v>
      </c>
      <c r="BI168" s="59" t="e">
        <f ca="1">AVERAGE(OFFSET($BH$3,0,0,'Données projet'!$E$11+1,1))-AVERAGE(OFFSET($H$3,0,0,'Données projet'!$E$11+1,1))</f>
        <v>#N/A</v>
      </c>
      <c r="BJ168" s="59" t="e">
        <f t="shared" si="146"/>
        <v>#N/A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 t="e">
        <f>EXP(-LN(2)/35)*BP167+(1-EXP(-LN(2)/35))/(LN(2)/35)*BL168*BM168*VLOOKUP('Données projet'!$B$11,Paramètres!$A$1:$I$89,3,0)*0.475*44/12</f>
        <v>#N/A</v>
      </c>
      <c r="BQ168" s="21" t="e">
        <f>EXP(-LN(2)/25)*BQ167+(1-EXP(-LN(2)/25))/(LN(2)/25)*Calculateur!BL168*Calculateur!BN168*VLOOKUP('Données projet'!$B$11,Paramètres!$A$1:$I$89,3,0)*0.475*44/12</f>
        <v>#N/A</v>
      </c>
      <c r="BR168" s="21" t="e">
        <f>EXP(-LN(2)/2)*BR167+(1-EXP(-LN(2)/2))/(LN(2)/2)*BL168*BO168*VLOOKUP('Données projet'!$B$11,Paramètres!$A$1:$I$89,3,0)*0.475*44/12</f>
        <v>#N/A</v>
      </c>
      <c r="BS168" s="22" t="e">
        <f t="shared" si="169"/>
        <v>#N/A</v>
      </c>
      <c r="BT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">
      <c r="A169" s="10">
        <f t="shared" si="161"/>
        <v>166</v>
      </c>
      <c r="B169" s="72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99.267999999999873</v>
      </c>
      <c r="D169" s="11">
        <f t="shared" si="140"/>
        <v>26.787534145359764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973.06026357821474</v>
      </c>
      <c r="H169" s="66">
        <f t="shared" si="110"/>
        <v>512.88005530316809</v>
      </c>
      <c r="I169" s="6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0</v>
      </c>
      <c r="O169" s="13">
        <f>N169*VLOOKUP('Données projet'!$B$9,Paramètres!$A$1:$I$89,3,0)*VLOOKUP('Données projet'!$B$9,Paramètres!$A$1:$I$89,5,0)</f>
        <v>0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148.39628895278571</v>
      </c>
      <c r="T169" s="59">
        <f t="shared" si="142"/>
        <v>361.07991692964788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8.3557432051658402</v>
      </c>
      <c r="AA169" s="21">
        <f>EXP(-LN(2)/25)*AA168+(1-EXP(-LN(2)/25))/(LN(2)/25)*Calculateur!V169*Calculateur!X169*VLOOKUP('Données projet'!$B$9,Paramètres!$A$1:$I$89,3,0)*0.475*44/12</f>
        <v>0.33118789012155969</v>
      </c>
      <c r="AB169" s="21">
        <f>EXP(-LN(2)/2)*AB168+(1-EXP(-LN(2)/2))/(LN(2)/2)*V169*Y169*VLOOKUP('Données projet'!$B$9,Paramètres!$A$1:$I$89,3,0)*0.475*44/12</f>
        <v>1.5233720183523845E-22</v>
      </c>
      <c r="AC169" s="22">
        <f t="shared" si="163"/>
        <v>8.6869310952874006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8.977999999999998</v>
      </c>
      <c r="AI169" s="13">
        <f>IF('Données projet'!$A$62&gt;35,AI168+AH169-AQ168,IF(A169&lt;'Données projet'!$A$62,$AF$205^A169,IF(A169='Données projet'!$A$62,'Données projet'!$B$62,AI168+AH169-AQ168)))</f>
        <v>538.69599999999969</v>
      </c>
      <c r="AJ169" s="13">
        <f>AI169*VLOOKUP('Données projet'!$B$10,Paramètres!$A$1:$I$89,3,0)*VLOOKUP('Données projet'!$B$10,Paramètres!$A$1:$I$89,5,0)</f>
        <v>537.83408639999971</v>
      </c>
      <c r="AK169" s="13">
        <f t="shared" si="164"/>
        <v>119.22104471737778</v>
      </c>
      <c r="AL169" s="20">
        <f t="shared" si="165"/>
        <v>1144.3710200294324</v>
      </c>
      <c r="AM169" s="59">
        <f t="shared" si="113"/>
        <v>1437.7043533627657</v>
      </c>
      <c r="AN169" s="59">
        <f ca="1">AVERAGE(OFFSET($AM$3,0,0,'Données projet'!$E$10+1,1))-AVERAGE(OFFSET($H$3,0,0,'Données projet'!$E$10+1,1))</f>
        <v>525.29195699741149</v>
      </c>
      <c r="AO169" s="59">
        <f t="shared" si="144"/>
        <v>125.99812193007153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133.23944457340849</v>
      </c>
      <c r="AV169" s="21">
        <f>EXP(-LN(2)/25)*AV168+(1-EXP(-LN(2)/25))/(LN(2)/25)*Calculateur!AQ169*Calculateur!AS169*VLOOKUP('Données projet'!$B$10,Paramètres!$A$1:$I$89,3,0)*0.475*44/12</f>
        <v>0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133.23944457340849</v>
      </c>
      <c r="AY169" s="7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 t="e">
        <f>BD169*VLOOKUP('Données projet'!$B$11,Paramètres!$A$1:$I$89,3,0)*VLOOKUP('Données projet'!$B$11,Paramètres!$A$1:$I$89,5,0)</f>
        <v>#N/A</v>
      </c>
      <c r="BF169" s="13" t="e">
        <f t="shared" si="167"/>
        <v>#N/A</v>
      </c>
      <c r="BG169" s="20" t="e">
        <f t="shared" si="168"/>
        <v>#N/A</v>
      </c>
      <c r="BH169" s="59" t="e">
        <f t="shared" si="116"/>
        <v>#N/A</v>
      </c>
      <c r="BI169" s="59" t="e">
        <f ca="1">AVERAGE(OFFSET($BH$3,0,0,'Données projet'!$E$11+1,1))-AVERAGE(OFFSET($H$3,0,0,'Données projet'!$E$11+1,1))</f>
        <v>#N/A</v>
      </c>
      <c r="BJ169" s="59" t="e">
        <f t="shared" si="146"/>
        <v>#N/A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 t="e">
        <f>EXP(-LN(2)/35)*BP168+(1-EXP(-LN(2)/35))/(LN(2)/35)*BL169*BM169*VLOOKUP('Données projet'!$B$11,Paramètres!$A$1:$I$89,3,0)*0.475*44/12</f>
        <v>#N/A</v>
      </c>
      <c r="BQ169" s="21" t="e">
        <f>EXP(-LN(2)/25)*BQ168+(1-EXP(-LN(2)/25))/(LN(2)/25)*Calculateur!BL169*Calculateur!BN169*VLOOKUP('Données projet'!$B$11,Paramètres!$A$1:$I$89,3,0)*0.475*44/12</f>
        <v>#N/A</v>
      </c>
      <c r="BR169" s="21" t="e">
        <f>EXP(-LN(2)/2)*BR168+(1-EXP(-LN(2)/2))/(LN(2)/2)*BL169*BO169*VLOOKUP('Données projet'!$B$11,Paramètres!$A$1:$I$89,3,0)*0.475*44/12</f>
        <v>#N/A</v>
      </c>
      <c r="BS169" s="22" t="e">
        <f t="shared" si="169"/>
        <v>#N/A</v>
      </c>
      <c r="BT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">
      <c r="A170" s="10">
        <f t="shared" si="161"/>
        <v>167</v>
      </c>
      <c r="B170" s="72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99.865999999999872</v>
      </c>
      <c r="D170" s="11">
        <f t="shared" si="140"/>
        <v>26.930071405261604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978.77669154938678</v>
      </c>
      <c r="H170" s="66">
        <f t="shared" si="110"/>
        <v>514.16982436416379</v>
      </c>
      <c r="I170" s="6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0</v>
      </c>
      <c r="O170" s="13">
        <f>N170*VLOOKUP('Données projet'!$B$9,Paramètres!$A$1:$I$89,3,0)*VLOOKUP('Données projet'!$B$9,Paramètres!$A$1:$I$89,5,0)</f>
        <v>0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148.39628895278571</v>
      </c>
      <c r="T170" s="59">
        <f t="shared" si="142"/>
        <v>361.07991692964788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8.1918921774126563</v>
      </c>
      <c r="AA170" s="21">
        <f>EXP(-LN(2)/25)*AA169+(1-EXP(-LN(2)/25))/(LN(2)/25)*Calculateur!V170*Calculateur!X170*VLOOKUP('Données projet'!$B$9,Paramètres!$A$1:$I$89,3,0)*0.475*44/12</f>
        <v>0.32213153984977144</v>
      </c>
      <c r="AB170" s="21">
        <f>EXP(-LN(2)/2)*AB169+(1-EXP(-LN(2)/2))/(LN(2)/2)*V170*Y170*VLOOKUP('Données projet'!$B$9,Paramètres!$A$1:$I$89,3,0)*0.475*44/12</f>
        <v>1.0771866844468088E-22</v>
      </c>
      <c r="AC170" s="22">
        <f t="shared" si="163"/>
        <v>8.5140237172624271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8.977999999999998</v>
      </c>
      <c r="AI170" s="13">
        <f>IF('Données projet'!$A$62&gt;35,AI169+AH170-AQ169,IF(A170&lt;'Données projet'!$A$62,$AF$205^A170,IF(A170='Données projet'!$A$62,'Données projet'!$B$62,AI169+AH170-AQ169)))</f>
        <v>547.67399999999964</v>
      </c>
      <c r="AJ170" s="13">
        <f>AI170*VLOOKUP('Données projet'!$B$10,Paramètres!$A$1:$I$89,3,0)*VLOOKUP('Données projet'!$B$10,Paramètres!$A$1:$I$89,5,0)</f>
        <v>546.7977215999997</v>
      </c>
      <c r="AK170" s="13">
        <f t="shared" si="164"/>
        <v>120.97502866912214</v>
      </c>
      <c r="AL170" s="20">
        <f t="shared" si="165"/>
        <v>1163.0375400520536</v>
      </c>
      <c r="AM170" s="59">
        <f t="shared" si="113"/>
        <v>1456.3708733853869</v>
      </c>
      <c r="AN170" s="59">
        <f ca="1">AVERAGE(OFFSET($AM$3,0,0,'Données projet'!$E$10+1,1))-AVERAGE(OFFSET($H$3,0,0,'Données projet'!$E$10+1,1))</f>
        <v>525.29195699741149</v>
      </c>
      <c r="AO170" s="59">
        <f t="shared" si="144"/>
        <v>125.99812193007153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130.62670033336059</v>
      </c>
      <c r="AV170" s="21">
        <f>EXP(-LN(2)/25)*AV169+(1-EXP(-LN(2)/25))/(LN(2)/25)*Calculateur!AQ170*Calculateur!AS170*VLOOKUP('Données projet'!$B$10,Paramètres!$A$1:$I$89,3,0)*0.475*44/12</f>
        <v>0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130.62670033336059</v>
      </c>
      <c r="AY170" s="7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 t="e">
        <f>BD170*VLOOKUP('Données projet'!$B$11,Paramètres!$A$1:$I$89,3,0)*VLOOKUP('Données projet'!$B$11,Paramètres!$A$1:$I$89,5,0)</f>
        <v>#N/A</v>
      </c>
      <c r="BF170" s="13" t="e">
        <f t="shared" si="167"/>
        <v>#N/A</v>
      </c>
      <c r="BG170" s="20" t="e">
        <f t="shared" si="168"/>
        <v>#N/A</v>
      </c>
      <c r="BH170" s="59" t="e">
        <f t="shared" si="116"/>
        <v>#N/A</v>
      </c>
      <c r="BI170" s="59" t="e">
        <f ca="1">AVERAGE(OFFSET($BH$3,0,0,'Données projet'!$E$11+1,1))-AVERAGE(OFFSET($H$3,0,0,'Données projet'!$E$11+1,1))</f>
        <v>#N/A</v>
      </c>
      <c r="BJ170" s="59" t="e">
        <f t="shared" si="146"/>
        <v>#N/A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 t="e">
        <f>EXP(-LN(2)/35)*BP169+(1-EXP(-LN(2)/35))/(LN(2)/35)*BL170*BM170*VLOOKUP('Données projet'!$B$11,Paramètres!$A$1:$I$89,3,0)*0.475*44/12</f>
        <v>#N/A</v>
      </c>
      <c r="BQ170" s="21" t="e">
        <f>EXP(-LN(2)/25)*BQ169+(1-EXP(-LN(2)/25))/(LN(2)/25)*Calculateur!BL170*Calculateur!BN170*VLOOKUP('Données projet'!$B$11,Paramètres!$A$1:$I$89,3,0)*0.475*44/12</f>
        <v>#N/A</v>
      </c>
      <c r="BR170" s="21" t="e">
        <f>EXP(-LN(2)/2)*BR169+(1-EXP(-LN(2)/2))/(LN(2)/2)*BL170*BO170*VLOOKUP('Données projet'!$B$11,Paramètres!$A$1:$I$89,3,0)*0.475*44/12</f>
        <v>#N/A</v>
      </c>
      <c r="BS170" s="22" t="e">
        <f t="shared" si="169"/>
        <v>#N/A</v>
      </c>
      <c r="BT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">
      <c r="A171" s="10">
        <f t="shared" si="161"/>
        <v>168</v>
      </c>
      <c r="B171" s="72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100.46399999999987</v>
      </c>
      <c r="D171" s="11">
        <f t="shared" si="140"/>
        <v>27.072509349827431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984.49235287585998</v>
      </c>
      <c r="H171" s="66">
        <f t="shared" si="110"/>
        <v>515.45942045094921</v>
      </c>
      <c r="I171" s="6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0</v>
      </c>
      <c r="O171" s="13">
        <f>N171*VLOOKUP('Données projet'!$B$9,Paramètres!$A$1:$I$89,3,0)*VLOOKUP('Données projet'!$B$9,Paramètres!$A$1:$I$89,5,0)</f>
        <v>0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148.39628895278571</v>
      </c>
      <c r="T171" s="59">
        <f t="shared" si="142"/>
        <v>361.07991692964788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8.0312541683744527</v>
      </c>
      <c r="AA171" s="21">
        <f>EXP(-LN(2)/25)*AA170+(1-EXP(-LN(2)/25))/(LN(2)/25)*Calculateur!V171*Calculateur!X171*VLOOKUP('Données projet'!$B$9,Paramètres!$A$1:$I$89,3,0)*0.475*44/12</f>
        <v>0.313322835952418</v>
      </c>
      <c r="AB171" s="21">
        <f>EXP(-LN(2)/2)*AB170+(1-EXP(-LN(2)/2))/(LN(2)/2)*V171*Y171*VLOOKUP('Données projet'!$B$9,Paramètres!$A$1:$I$89,3,0)*0.475*44/12</f>
        <v>7.6168600917619227E-23</v>
      </c>
      <c r="AC171" s="22">
        <f t="shared" si="163"/>
        <v>8.3445770043268706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8.977999999999998</v>
      </c>
      <c r="AI171" s="13">
        <f>IF('Données projet'!$A$62&gt;35,AI170+AH171-AQ170,IF(A171&lt;'Données projet'!$A$62,$AF$205^A171,IF(A171='Données projet'!$A$62,'Données projet'!$B$62,AI170+AH171-AQ170)))</f>
        <v>556.65199999999959</v>
      </c>
      <c r="AJ171" s="13">
        <f>AI171*VLOOKUP('Données projet'!$B$10,Paramètres!$A$1:$I$89,3,0)*VLOOKUP('Données projet'!$B$10,Paramètres!$A$1:$I$89,5,0)</f>
        <v>555.76135679999959</v>
      </c>
      <c r="AK171" s="13">
        <f t="shared" si="164"/>
        <v>122.72566880498024</v>
      </c>
      <c r="AL171" s="20">
        <f t="shared" si="165"/>
        <v>1181.6982362620067</v>
      </c>
      <c r="AM171" s="59">
        <f t="shared" si="113"/>
        <v>1475.03156959534</v>
      </c>
      <c r="AN171" s="59">
        <f ca="1">AVERAGE(OFFSET($AM$3,0,0,'Données projet'!$E$10+1,1))-AVERAGE(OFFSET($H$3,0,0,'Données projet'!$E$10+1,1))</f>
        <v>525.29195699741149</v>
      </c>
      <c r="AO171" s="59">
        <f t="shared" si="144"/>
        <v>125.99812193007153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128.0651904142434</v>
      </c>
      <c r="AV171" s="21">
        <f>EXP(-LN(2)/25)*AV170+(1-EXP(-LN(2)/25))/(LN(2)/25)*Calculateur!AQ171*Calculateur!AS171*VLOOKUP('Données projet'!$B$10,Paramètres!$A$1:$I$89,3,0)*0.475*44/12</f>
        <v>0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128.0651904142434</v>
      </c>
      <c r="AY171" s="7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 t="e">
        <f>BD171*VLOOKUP('Données projet'!$B$11,Paramètres!$A$1:$I$89,3,0)*VLOOKUP('Données projet'!$B$11,Paramètres!$A$1:$I$89,5,0)</f>
        <v>#N/A</v>
      </c>
      <c r="BF171" s="13" t="e">
        <f t="shared" si="167"/>
        <v>#N/A</v>
      </c>
      <c r="BG171" s="20" t="e">
        <f t="shared" si="168"/>
        <v>#N/A</v>
      </c>
      <c r="BH171" s="59" t="e">
        <f t="shared" si="116"/>
        <v>#N/A</v>
      </c>
      <c r="BI171" s="59" t="e">
        <f ca="1">AVERAGE(OFFSET($BH$3,0,0,'Données projet'!$E$11+1,1))-AVERAGE(OFFSET($H$3,0,0,'Données projet'!$E$11+1,1))</f>
        <v>#N/A</v>
      </c>
      <c r="BJ171" s="59" t="e">
        <f t="shared" si="146"/>
        <v>#N/A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 t="e">
        <f>EXP(-LN(2)/35)*BP170+(1-EXP(-LN(2)/35))/(LN(2)/35)*BL171*BM171*VLOOKUP('Données projet'!$B$11,Paramètres!$A$1:$I$89,3,0)*0.475*44/12</f>
        <v>#N/A</v>
      </c>
      <c r="BQ171" s="21" t="e">
        <f>EXP(-LN(2)/25)*BQ170+(1-EXP(-LN(2)/25))/(LN(2)/25)*Calculateur!BL171*Calculateur!BN171*VLOOKUP('Données projet'!$B$11,Paramètres!$A$1:$I$89,3,0)*0.475*44/12</f>
        <v>#N/A</v>
      </c>
      <c r="BR171" s="21" t="e">
        <f>EXP(-LN(2)/2)*BR170+(1-EXP(-LN(2)/2))/(LN(2)/2)*BL171*BO171*VLOOKUP('Données projet'!$B$11,Paramètres!$A$1:$I$89,3,0)*0.475*44/12</f>
        <v>#N/A</v>
      </c>
      <c r="BS171" s="22" t="e">
        <f t="shared" si="169"/>
        <v>#N/A</v>
      </c>
      <c r="BT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">
      <c r="A172" s="10">
        <f t="shared" si="161"/>
        <v>169</v>
      </c>
      <c r="B172" s="72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101.06199999999987</v>
      </c>
      <c r="D172" s="11">
        <f t="shared" si="140"/>
        <v>27.214848638810537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990.20725265046633</v>
      </c>
      <c r="H172" s="66">
        <f t="shared" si="110"/>
        <v>516.74884471259475</v>
      </c>
      <c r="I172" s="6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0</v>
      </c>
      <c r="O172" s="13">
        <f>N172*VLOOKUP('Données projet'!$B$9,Paramètres!$A$1:$I$89,3,0)*VLOOKUP('Données projet'!$B$9,Paramètres!$A$1:$I$89,5,0)</f>
        <v>0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148.39628895278571</v>
      </c>
      <c r="T172" s="59">
        <f t="shared" si="142"/>
        <v>361.07991692964788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7.8737661727139781</v>
      </c>
      <c r="AA172" s="21">
        <f>EXP(-LN(2)/25)*AA171+(1-EXP(-LN(2)/25))/(LN(2)/25)*Calculateur!V172*Calculateur!X172*VLOOKUP('Données projet'!$B$9,Paramètres!$A$1:$I$89,3,0)*0.475*44/12</f>
        <v>0.30475500652636728</v>
      </c>
      <c r="AB172" s="21">
        <f>EXP(-LN(2)/2)*AB171+(1-EXP(-LN(2)/2))/(LN(2)/2)*V172*Y172*VLOOKUP('Données projet'!$B$9,Paramètres!$A$1:$I$89,3,0)*0.475*44/12</f>
        <v>5.3859334222340442E-23</v>
      </c>
      <c r="AC172" s="22">
        <f t="shared" si="163"/>
        <v>8.1785211792403452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8.977999999999998</v>
      </c>
      <c r="AI172" s="13">
        <f>IF('Données projet'!$A$62&gt;35,AI171+AH172-AQ171,IF(A172&lt;'Données projet'!$A$62,$AF$205^A172,IF(A172='Données projet'!$A$62,'Données projet'!$B$62,AI171+AH172-AQ171)))</f>
        <v>565.62999999999954</v>
      </c>
      <c r="AJ172" s="13">
        <f>AI172*VLOOKUP('Données projet'!$B$10,Paramètres!$A$1:$I$89,3,0)*VLOOKUP('Données projet'!$B$10,Paramètres!$A$1:$I$89,5,0)</f>
        <v>564.72499199999959</v>
      </c>
      <c r="AK172" s="13">
        <f t="shared" si="164"/>
        <v>124.47302528225356</v>
      </c>
      <c r="AL172" s="20">
        <f t="shared" si="165"/>
        <v>1200.3532134332577</v>
      </c>
      <c r="AM172" s="59">
        <f t="shared" si="113"/>
        <v>1493.6865467665909</v>
      </c>
      <c r="AN172" s="59">
        <f ca="1">AVERAGE(OFFSET($AM$3,0,0,'Données projet'!$E$10+1,1))-AVERAGE(OFFSET($H$3,0,0,'Données projet'!$E$10+1,1))</f>
        <v>525.29195699741149</v>
      </c>
      <c r="AO172" s="59">
        <f t="shared" si="144"/>
        <v>125.99812193007153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125.55391014227332</v>
      </c>
      <c r="AV172" s="21">
        <f>EXP(-LN(2)/25)*AV171+(1-EXP(-LN(2)/25))/(LN(2)/25)*Calculateur!AQ172*Calculateur!AS172*VLOOKUP('Données projet'!$B$10,Paramètres!$A$1:$I$89,3,0)*0.475*44/12</f>
        <v>0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125.55391014227332</v>
      </c>
      <c r="AY172" s="7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 t="e">
        <f>BD172*VLOOKUP('Données projet'!$B$11,Paramètres!$A$1:$I$89,3,0)*VLOOKUP('Données projet'!$B$11,Paramètres!$A$1:$I$89,5,0)</f>
        <v>#N/A</v>
      </c>
      <c r="BF172" s="13" t="e">
        <f t="shared" si="167"/>
        <v>#N/A</v>
      </c>
      <c r="BG172" s="20" t="e">
        <f t="shared" si="168"/>
        <v>#N/A</v>
      </c>
      <c r="BH172" s="59" t="e">
        <f t="shared" si="116"/>
        <v>#N/A</v>
      </c>
      <c r="BI172" s="59" t="e">
        <f ca="1">AVERAGE(OFFSET($BH$3,0,0,'Données projet'!$E$11+1,1))-AVERAGE(OFFSET($H$3,0,0,'Données projet'!$E$11+1,1))</f>
        <v>#N/A</v>
      </c>
      <c r="BJ172" s="59" t="e">
        <f t="shared" si="146"/>
        <v>#N/A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 t="e">
        <f>EXP(-LN(2)/35)*BP171+(1-EXP(-LN(2)/35))/(LN(2)/35)*BL172*BM172*VLOOKUP('Données projet'!$B$11,Paramètres!$A$1:$I$89,3,0)*0.475*44/12</f>
        <v>#N/A</v>
      </c>
      <c r="BQ172" s="21" t="e">
        <f>EXP(-LN(2)/25)*BQ171+(1-EXP(-LN(2)/25))/(LN(2)/25)*Calculateur!BL172*Calculateur!BN172*VLOOKUP('Données projet'!$B$11,Paramètres!$A$1:$I$89,3,0)*0.475*44/12</f>
        <v>#N/A</v>
      </c>
      <c r="BR172" s="21" t="e">
        <f>EXP(-LN(2)/2)*BR171+(1-EXP(-LN(2)/2))/(LN(2)/2)*BL172*BO172*VLOOKUP('Données projet'!$B$11,Paramètres!$A$1:$I$89,3,0)*0.475*44/12</f>
        <v>#N/A</v>
      </c>
      <c r="BS172" s="22" t="e">
        <f t="shared" si="169"/>
        <v>#N/A</v>
      </c>
      <c r="BT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">
      <c r="A173" s="10">
        <f t="shared" si="161"/>
        <v>170</v>
      </c>
      <c r="B173" s="72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101.65999999999987</v>
      </c>
      <c r="D173" s="11">
        <f t="shared" si="140"/>
        <v>27.35708992370472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995.92139590228101</v>
      </c>
      <c r="H173" s="66">
        <f t="shared" si="110"/>
        <v>518.03809828378553</v>
      </c>
      <c r="I173" s="6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0</v>
      </c>
      <c r="O173" s="13">
        <f>N173*VLOOKUP('Données projet'!$B$9,Paramètres!$A$1:$I$89,3,0)*VLOOKUP('Données projet'!$B$9,Paramètres!$A$1:$I$89,5,0)</f>
        <v>0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148.39628895278571</v>
      </c>
      <c r="T173" s="59">
        <f t="shared" si="142"/>
        <v>361.07991692964788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7.7193664205902124</v>
      </c>
      <c r="AA173" s="21">
        <f>EXP(-LN(2)/25)*AA172+(1-EXP(-LN(2)/25))/(LN(2)/25)*Calculateur!V173*Calculateur!X173*VLOOKUP('Données projet'!$B$9,Paramètres!$A$1:$I$89,3,0)*0.475*44/12</f>
        <v>0.29642146484653448</v>
      </c>
      <c r="AB173" s="21">
        <f>EXP(-LN(2)/2)*AB172+(1-EXP(-LN(2)/2))/(LN(2)/2)*V173*Y173*VLOOKUP('Données projet'!$B$9,Paramètres!$A$1:$I$89,3,0)*0.475*44/12</f>
        <v>3.8084300458809614E-23</v>
      </c>
      <c r="AC173" s="22">
        <f t="shared" si="163"/>
        <v>8.0157878854367475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8.977999999999998</v>
      </c>
      <c r="AI173" s="13">
        <f>IF('Données projet'!$A$62&gt;35,AI172+AH173-AQ172,IF(A173&lt;'Données projet'!$A$62,$AF$205^A173,IF(A173='Données projet'!$A$62,'Données projet'!$B$62,AI172+AH173-AQ172)))</f>
        <v>574.60799999999949</v>
      </c>
      <c r="AJ173" s="13">
        <f>AI173*VLOOKUP('Données projet'!$B$10,Paramètres!$A$1:$I$89,3,0)*VLOOKUP('Données projet'!$B$10,Paramètres!$A$1:$I$89,5,0)</f>
        <v>573.68862719999947</v>
      </c>
      <c r="AK173" s="13">
        <f t="shared" si="164"/>
        <v>126.21715623900953</v>
      </c>
      <c r="AL173" s="20">
        <f t="shared" si="165"/>
        <v>1219.0025728229407</v>
      </c>
      <c r="AM173" s="59">
        <f t="shared" si="113"/>
        <v>1512.3359061562739</v>
      </c>
      <c r="AN173" s="59">
        <f ca="1">AVERAGE(OFFSET($AM$3,0,0,'Données projet'!$E$10+1,1))-AVERAGE(OFFSET($H$3,0,0,'Données projet'!$E$10+1,1))</f>
        <v>525.29195699741149</v>
      </c>
      <c r="AO173" s="59">
        <f t="shared" si="144"/>
        <v>125.99812193007153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123.09187454470685</v>
      </c>
      <c r="AV173" s="21">
        <f>EXP(-LN(2)/25)*AV172+(1-EXP(-LN(2)/25))/(LN(2)/25)*Calculateur!AQ173*Calculateur!AS173*VLOOKUP('Données projet'!$B$10,Paramètres!$A$1:$I$89,3,0)*0.475*44/12</f>
        <v>0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123.09187454470685</v>
      </c>
      <c r="AY173" s="7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 t="e">
        <f>BD173*VLOOKUP('Données projet'!$B$11,Paramètres!$A$1:$I$89,3,0)*VLOOKUP('Données projet'!$B$11,Paramètres!$A$1:$I$89,5,0)</f>
        <v>#N/A</v>
      </c>
      <c r="BF173" s="13" t="e">
        <f t="shared" si="167"/>
        <v>#N/A</v>
      </c>
      <c r="BG173" s="20" t="e">
        <f t="shared" si="168"/>
        <v>#N/A</v>
      </c>
      <c r="BH173" s="59" t="e">
        <f t="shared" si="116"/>
        <v>#N/A</v>
      </c>
      <c r="BI173" s="59" t="e">
        <f ca="1">AVERAGE(OFFSET($BH$3,0,0,'Données projet'!$E$11+1,1))-AVERAGE(OFFSET($H$3,0,0,'Données projet'!$E$11+1,1))</f>
        <v>#N/A</v>
      </c>
      <c r="BJ173" s="59" t="e">
        <f t="shared" si="146"/>
        <v>#N/A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 t="e">
        <f>EXP(-LN(2)/35)*BP172+(1-EXP(-LN(2)/35))/(LN(2)/35)*BL173*BM173*VLOOKUP('Données projet'!$B$11,Paramètres!$A$1:$I$89,3,0)*0.475*44/12</f>
        <v>#N/A</v>
      </c>
      <c r="BQ173" s="21" t="e">
        <f>EXP(-LN(2)/25)*BQ172+(1-EXP(-LN(2)/25))/(LN(2)/25)*Calculateur!BL173*Calculateur!BN173*VLOOKUP('Données projet'!$B$11,Paramètres!$A$1:$I$89,3,0)*0.475*44/12</f>
        <v>#N/A</v>
      </c>
      <c r="BR173" s="21" t="e">
        <f>EXP(-LN(2)/2)*BR172+(1-EXP(-LN(2)/2))/(LN(2)/2)*BL173*BO173*VLOOKUP('Données projet'!$B$11,Paramètres!$A$1:$I$89,3,0)*0.475*44/12</f>
        <v>#N/A</v>
      </c>
      <c r="BS173" s="22" t="e">
        <f t="shared" si="169"/>
        <v>#N/A</v>
      </c>
      <c r="BT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">
      <c r="A174" s="10">
        <f t="shared" si="161"/>
        <v>171</v>
      </c>
      <c r="B174" s="72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102.25799999999987</v>
      </c>
      <c r="D174" s="11">
        <f t="shared" si="140"/>
        <v>27.499233847895834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1001.6347875977913</v>
      </c>
      <c r="H174" s="66">
        <f t="shared" si="110"/>
        <v>519.32718228508497</v>
      </c>
      <c r="I174" s="6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0</v>
      </c>
      <c r="O174" s="13">
        <f>N174*VLOOKUP('Données projet'!$B$9,Paramètres!$A$1:$I$89,3,0)*VLOOKUP('Données projet'!$B$9,Paramètres!$A$1:$I$89,5,0)</f>
        <v>0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148.39628895278571</v>
      </c>
      <c r="T174" s="59">
        <f t="shared" si="142"/>
        <v>361.07991692964788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7.5679943534310441</v>
      </c>
      <c r="AA174" s="21">
        <f>EXP(-LN(2)/25)*AA173+(1-EXP(-LN(2)/25))/(LN(2)/25)*Calculateur!V174*Calculateur!X174*VLOOKUP('Données projet'!$B$9,Paramètres!$A$1:$I$89,3,0)*0.475*44/12</f>
        <v>0.28831580430217862</v>
      </c>
      <c r="AB174" s="21">
        <f>EXP(-LN(2)/2)*AB173+(1-EXP(-LN(2)/2))/(LN(2)/2)*V174*Y174*VLOOKUP('Données projet'!$B$9,Paramètres!$A$1:$I$89,3,0)*0.475*44/12</f>
        <v>2.6929667111170221E-23</v>
      </c>
      <c r="AC174" s="22">
        <f t="shared" si="163"/>
        <v>7.8563101577332226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8.977999999999998</v>
      </c>
      <c r="AI174" s="13">
        <f>IF('Données projet'!$A$62&gt;35,AI173+AH174-AQ173,IF(A174&lt;'Données projet'!$A$62,$AF$205^A174,IF(A174='Données projet'!$A$62,'Données projet'!$B$62,AI173+AH174-AQ173)))</f>
        <v>583.58599999999944</v>
      </c>
      <c r="AJ174" s="13">
        <f>AI174*VLOOKUP('Données projet'!$B$10,Paramètres!$A$1:$I$89,3,0)*VLOOKUP('Données projet'!$B$10,Paramètres!$A$1:$I$89,5,0)</f>
        <v>582.65226239999947</v>
      </c>
      <c r="AK174" s="13">
        <f t="shared" si="164"/>
        <v>127.95811789233008</v>
      </c>
      <c r="AL174" s="20">
        <f t="shared" si="165"/>
        <v>1237.6464123424739</v>
      </c>
      <c r="AM174" s="59">
        <f t="shared" si="113"/>
        <v>1530.9797456758072</v>
      </c>
      <c r="AN174" s="59">
        <f ca="1">AVERAGE(OFFSET($AM$3,0,0,'Données projet'!$E$10+1,1))-AVERAGE(OFFSET($H$3,0,0,'Données projet'!$E$10+1,1))</f>
        <v>525.29195699741149</v>
      </c>
      <c r="AO174" s="59">
        <f t="shared" si="144"/>
        <v>125.99812193007153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120.67811796351522</v>
      </c>
      <c r="AV174" s="21">
        <f>EXP(-LN(2)/25)*AV173+(1-EXP(-LN(2)/25))/(LN(2)/25)*Calculateur!AQ174*Calculateur!AS174*VLOOKUP('Données projet'!$B$10,Paramètres!$A$1:$I$89,3,0)*0.475*44/12</f>
        <v>0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120.67811796351522</v>
      </c>
      <c r="AY174" s="7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 t="e">
        <f>BD174*VLOOKUP('Données projet'!$B$11,Paramètres!$A$1:$I$89,3,0)*VLOOKUP('Données projet'!$B$11,Paramètres!$A$1:$I$89,5,0)</f>
        <v>#N/A</v>
      </c>
      <c r="BF174" s="13" t="e">
        <f t="shared" si="167"/>
        <v>#N/A</v>
      </c>
      <c r="BG174" s="20" t="e">
        <f t="shared" si="168"/>
        <v>#N/A</v>
      </c>
      <c r="BH174" s="59" t="e">
        <f t="shared" si="116"/>
        <v>#N/A</v>
      </c>
      <c r="BI174" s="59" t="e">
        <f ca="1">AVERAGE(OFFSET($BH$3,0,0,'Données projet'!$E$11+1,1))-AVERAGE(OFFSET($H$3,0,0,'Données projet'!$E$11+1,1))</f>
        <v>#N/A</v>
      </c>
      <c r="BJ174" s="59" t="e">
        <f t="shared" si="146"/>
        <v>#N/A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 t="e">
        <f>EXP(-LN(2)/35)*BP173+(1-EXP(-LN(2)/35))/(LN(2)/35)*BL174*BM174*VLOOKUP('Données projet'!$B$11,Paramètres!$A$1:$I$89,3,0)*0.475*44/12</f>
        <v>#N/A</v>
      </c>
      <c r="BQ174" s="21" t="e">
        <f>EXP(-LN(2)/25)*BQ173+(1-EXP(-LN(2)/25))/(LN(2)/25)*Calculateur!BL174*Calculateur!BN174*VLOOKUP('Données projet'!$B$11,Paramètres!$A$1:$I$89,3,0)*0.475*44/12</f>
        <v>#N/A</v>
      </c>
      <c r="BR174" s="21" t="e">
        <f>EXP(-LN(2)/2)*BR173+(1-EXP(-LN(2)/2))/(LN(2)/2)*BL174*BO174*VLOOKUP('Données projet'!$B$11,Paramètres!$A$1:$I$89,3,0)*0.475*44/12</f>
        <v>#N/A</v>
      </c>
      <c r="BS174" s="22" t="e">
        <f t="shared" si="169"/>
        <v>#N/A</v>
      </c>
      <c r="BT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">
      <c r="A175" s="10">
        <f t="shared" si="161"/>
        <v>172</v>
      </c>
      <c r="B175" s="72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102.85599999999987</v>
      </c>
      <c r="D175" s="11">
        <f t="shared" si="140"/>
        <v>27.641281046809208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1007.3474326420347</v>
      </c>
      <c r="H175" s="66">
        <f t="shared" si="110"/>
        <v>520.61609782319238</v>
      </c>
      <c r="I175" s="6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0</v>
      </c>
      <c r="O175" s="13">
        <f>N175*VLOOKUP('Données projet'!$B$9,Paramètres!$A$1:$I$89,3,0)*VLOOKUP('Données projet'!$B$9,Paramètres!$A$1:$I$89,5,0)</f>
        <v>0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148.39628895278571</v>
      </c>
      <c r="T175" s="59">
        <f t="shared" si="142"/>
        <v>361.07991692964788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7.4195906001810226</v>
      </c>
      <c r="AA175" s="21">
        <f>EXP(-LN(2)/25)*AA174+(1-EXP(-LN(2)/25))/(LN(2)/25)*Calculateur!V175*Calculateur!X175*VLOOKUP('Données projet'!$B$9,Paramètres!$A$1:$I$89,3,0)*0.475*44/12</f>
        <v>0.28043179347166636</v>
      </c>
      <c r="AB175" s="21">
        <f>EXP(-LN(2)/2)*AB174+(1-EXP(-LN(2)/2))/(LN(2)/2)*V175*Y175*VLOOKUP('Données projet'!$B$9,Paramètres!$A$1:$I$89,3,0)*0.475*44/12</f>
        <v>1.9042150229404807E-23</v>
      </c>
      <c r="AC175" s="22">
        <f t="shared" si="163"/>
        <v>7.7000223936526888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8.977999999999998</v>
      </c>
      <c r="AI175" s="13">
        <f>IF('Données projet'!$A$62&gt;35,AI174+AH175-AQ174,IF(A175&lt;'Données projet'!$A$62,$AF$205^A175,IF(A175='Données projet'!$A$62,'Données projet'!$B$62,AI174+AH175-AQ174)))</f>
        <v>592.5639999999994</v>
      </c>
      <c r="AJ175" s="13">
        <f>AI175*VLOOKUP('Données projet'!$B$10,Paramètres!$A$1:$I$89,3,0)*VLOOKUP('Données projet'!$B$10,Paramètres!$A$1:$I$89,5,0)</f>
        <v>591.61589759999947</v>
      </c>
      <c r="AK175" s="13">
        <f t="shared" si="164"/>
        <v>129.69596463034071</v>
      </c>
      <c r="AL175" s="20">
        <f t="shared" si="165"/>
        <v>1256.2848267178426</v>
      </c>
      <c r="AM175" s="59">
        <f t="shared" si="113"/>
        <v>1549.6181600511759</v>
      </c>
      <c r="AN175" s="59">
        <f ca="1">AVERAGE(OFFSET($AM$3,0,0,'Données projet'!$E$10+1,1))-AVERAGE(OFFSET($H$3,0,0,'Données projet'!$E$10+1,1))</f>
        <v>525.29195699741149</v>
      </c>
      <c r="AO175" s="59">
        <f t="shared" si="144"/>
        <v>125.99812193007153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118.31169367663462</v>
      </c>
      <c r="AV175" s="21">
        <f>EXP(-LN(2)/25)*AV174+(1-EXP(-LN(2)/25))/(LN(2)/25)*Calculateur!AQ175*Calculateur!AS175*VLOOKUP('Données projet'!$B$10,Paramètres!$A$1:$I$89,3,0)*0.475*44/12</f>
        <v>0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118.31169367663462</v>
      </c>
      <c r="AY175" s="7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 t="e">
        <f>BD175*VLOOKUP('Données projet'!$B$11,Paramètres!$A$1:$I$89,3,0)*VLOOKUP('Données projet'!$B$11,Paramètres!$A$1:$I$89,5,0)</f>
        <v>#N/A</v>
      </c>
      <c r="BF175" s="13" t="e">
        <f t="shared" si="167"/>
        <v>#N/A</v>
      </c>
      <c r="BG175" s="20" t="e">
        <f t="shared" si="168"/>
        <v>#N/A</v>
      </c>
      <c r="BH175" s="59" t="e">
        <f t="shared" si="116"/>
        <v>#N/A</v>
      </c>
      <c r="BI175" s="59" t="e">
        <f ca="1">AVERAGE(OFFSET($BH$3,0,0,'Données projet'!$E$11+1,1))-AVERAGE(OFFSET($H$3,0,0,'Données projet'!$E$11+1,1))</f>
        <v>#N/A</v>
      </c>
      <c r="BJ175" s="59" t="e">
        <f t="shared" si="146"/>
        <v>#N/A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 t="e">
        <f>EXP(-LN(2)/35)*BP174+(1-EXP(-LN(2)/35))/(LN(2)/35)*BL175*BM175*VLOOKUP('Données projet'!$B$11,Paramètres!$A$1:$I$89,3,0)*0.475*44/12</f>
        <v>#N/A</v>
      </c>
      <c r="BQ175" s="21" t="e">
        <f>EXP(-LN(2)/25)*BQ174+(1-EXP(-LN(2)/25))/(LN(2)/25)*Calculateur!BL175*Calculateur!BN175*VLOOKUP('Données projet'!$B$11,Paramètres!$A$1:$I$89,3,0)*0.475*44/12</f>
        <v>#N/A</v>
      </c>
      <c r="BR175" s="21" t="e">
        <f>EXP(-LN(2)/2)*BR174+(1-EXP(-LN(2)/2))/(LN(2)/2)*BL175*BO175*VLOOKUP('Données projet'!$B$11,Paramètres!$A$1:$I$89,3,0)*0.475*44/12</f>
        <v>#N/A</v>
      </c>
      <c r="BS175" s="22" t="e">
        <f t="shared" si="169"/>
        <v>#N/A</v>
      </c>
      <c r="BT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">
      <c r="A176" s="10">
        <f t="shared" si="161"/>
        <v>173</v>
      </c>
      <c r="B176" s="72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103.45399999999987</v>
      </c>
      <c r="D176" s="11">
        <f t="shared" si="140"/>
        <v>27.783232148054115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1013.0593358797149</v>
      </c>
      <c r="H176" s="66">
        <f t="shared" si="110"/>
        <v>521.90484599119395</v>
      </c>
      <c r="I176" s="6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0</v>
      </c>
      <c r="O176" s="13">
        <f>N176*VLOOKUP('Données projet'!$B$9,Paramètres!$A$1:$I$89,3,0)*VLOOKUP('Données projet'!$B$9,Paramètres!$A$1:$I$89,5,0)</f>
        <v>0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148.39628895278571</v>
      </c>
      <c r="T176" s="59">
        <f t="shared" si="142"/>
        <v>361.07991692964788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7.2740969540148823</v>
      </c>
      <c r="AA176" s="21">
        <f>EXP(-LN(2)/25)*AA175+(1-EXP(-LN(2)/25))/(LN(2)/25)*Calculateur!V176*Calculateur!X176*VLOOKUP('Données projet'!$B$9,Paramètres!$A$1:$I$89,3,0)*0.475*44/12</f>
        <v>0.27276337133191658</v>
      </c>
      <c r="AB176" s="21">
        <f>EXP(-LN(2)/2)*AB175+(1-EXP(-LN(2)/2))/(LN(2)/2)*V176*Y176*VLOOKUP('Données projet'!$B$9,Paramètres!$A$1:$I$89,3,0)*0.475*44/12</f>
        <v>1.346483355558511E-23</v>
      </c>
      <c r="AC176" s="22">
        <f t="shared" si="163"/>
        <v>7.546860325346799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8.977999999999998</v>
      </c>
      <c r="AI176" s="13">
        <f>IF('Données projet'!$A$62&gt;35,AI175+AH176-AQ175,IF(A176&lt;'Données projet'!$A$62,$AF$205^A176,IF(A176='Données projet'!$A$62,'Données projet'!$B$62,AI175+AH176-AQ175)))</f>
        <v>601.54199999999935</v>
      </c>
      <c r="AJ176" s="13">
        <f>AI176*VLOOKUP('Données projet'!$B$10,Paramètres!$A$1:$I$89,3,0)*VLOOKUP('Données projet'!$B$10,Paramètres!$A$1:$I$89,5,0)</f>
        <v>600.57953279999936</v>
      </c>
      <c r="AK176" s="13">
        <f t="shared" si="164"/>
        <v>131.43074909850699</v>
      </c>
      <c r="AL176" s="20">
        <f t="shared" si="165"/>
        <v>1274.9179076398987</v>
      </c>
      <c r="AM176" s="59">
        <f t="shared" si="113"/>
        <v>1568.2512409732319</v>
      </c>
      <c r="AN176" s="59">
        <f ca="1">AVERAGE(OFFSET($AM$3,0,0,'Données projet'!$E$10+1,1))-AVERAGE(OFFSET($H$3,0,0,'Données projet'!$E$10+1,1))</f>
        <v>525.29195699741149</v>
      </c>
      <c r="AO176" s="59">
        <f t="shared" si="144"/>
        <v>125.99812193007153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115.99167352664345</v>
      </c>
      <c r="AV176" s="21">
        <f>EXP(-LN(2)/25)*AV175+(1-EXP(-LN(2)/25))/(LN(2)/25)*Calculateur!AQ176*Calculateur!AS176*VLOOKUP('Données projet'!$B$10,Paramètres!$A$1:$I$89,3,0)*0.475*44/12</f>
        <v>0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115.99167352664345</v>
      </c>
      <c r="AY176" s="7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 t="e">
        <f>BD176*VLOOKUP('Données projet'!$B$11,Paramètres!$A$1:$I$89,3,0)*VLOOKUP('Données projet'!$B$11,Paramètres!$A$1:$I$89,5,0)</f>
        <v>#N/A</v>
      </c>
      <c r="BF176" s="13" t="e">
        <f t="shared" si="167"/>
        <v>#N/A</v>
      </c>
      <c r="BG176" s="20" t="e">
        <f t="shared" si="168"/>
        <v>#N/A</v>
      </c>
      <c r="BH176" s="59" t="e">
        <f t="shared" si="116"/>
        <v>#N/A</v>
      </c>
      <c r="BI176" s="59" t="e">
        <f ca="1">AVERAGE(OFFSET($BH$3,0,0,'Données projet'!$E$11+1,1))-AVERAGE(OFFSET($H$3,0,0,'Données projet'!$E$11+1,1))</f>
        <v>#N/A</v>
      </c>
      <c r="BJ176" s="59" t="e">
        <f t="shared" si="146"/>
        <v>#N/A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 t="e">
        <f>EXP(-LN(2)/35)*BP175+(1-EXP(-LN(2)/35))/(LN(2)/35)*BL176*BM176*VLOOKUP('Données projet'!$B$11,Paramètres!$A$1:$I$89,3,0)*0.475*44/12</f>
        <v>#N/A</v>
      </c>
      <c r="BQ176" s="21" t="e">
        <f>EXP(-LN(2)/25)*BQ175+(1-EXP(-LN(2)/25))/(LN(2)/25)*Calculateur!BL176*Calculateur!BN176*VLOOKUP('Données projet'!$B$11,Paramètres!$A$1:$I$89,3,0)*0.475*44/12</f>
        <v>#N/A</v>
      </c>
      <c r="BR176" s="21" t="e">
        <f>EXP(-LN(2)/2)*BR175+(1-EXP(-LN(2)/2))/(LN(2)/2)*BL176*BO176*VLOOKUP('Données projet'!$B$11,Paramètres!$A$1:$I$89,3,0)*0.475*44/12</f>
        <v>#N/A</v>
      </c>
      <c r="BS176" s="22" t="e">
        <f t="shared" si="169"/>
        <v>#N/A</v>
      </c>
      <c r="BT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">
      <c r="A177" s="10">
        <f t="shared" si="161"/>
        <v>174</v>
      </c>
      <c r="B177" s="72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104.05199999999986</v>
      </c>
      <c r="D177" s="11">
        <f t="shared" si="140"/>
        <v>27.925087771564392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1018.7705020962854</v>
      </c>
      <c r="H177" s="66">
        <f t="shared" si="110"/>
        <v>523.1934278688077</v>
      </c>
      <c r="I177" s="6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0</v>
      </c>
      <c r="O177" s="13">
        <f>N177*VLOOKUP('Données projet'!$B$9,Paramètres!$A$1:$I$89,3,0)*VLOOKUP('Données projet'!$B$9,Paramètres!$A$1:$I$89,5,0)</f>
        <v>0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148.39628895278571</v>
      </c>
      <c r="T177" s="59">
        <f t="shared" si="142"/>
        <v>361.07991692964788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7.1314563495076984</v>
      </c>
      <c r="AA177" s="21">
        <f>EXP(-LN(2)/25)*AA176+(1-EXP(-LN(2)/25))/(LN(2)/25)*Calculateur!V177*Calculateur!X177*VLOOKUP('Données projet'!$B$9,Paramètres!$A$1:$I$89,3,0)*0.475*44/12</f>
        <v>0.26530464259884301</v>
      </c>
      <c r="AB177" s="21">
        <f>EXP(-LN(2)/2)*AB176+(1-EXP(-LN(2)/2))/(LN(2)/2)*V177*Y177*VLOOKUP('Données projet'!$B$9,Paramètres!$A$1:$I$89,3,0)*0.475*44/12</f>
        <v>9.5210751147024034E-24</v>
      </c>
      <c r="AC177" s="22">
        <f t="shared" si="163"/>
        <v>7.3967609921065414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>
        <f>VLOOKUP(A177,'Données projet'!$A$61:$I$81,2,0)</f>
        <v>610.52</v>
      </c>
      <c r="AG177" s="12">
        <f>VLOOKUP(A177,'Données projet'!$A$61:$I$81,9,0)</f>
        <v>8.977999999999998</v>
      </c>
      <c r="AH177" s="12">
        <f t="array" ref="AH177">INDEX(AG:AG,MIN(IF(ISNUMBER(AG177:AG373),ROW(AG177:AG373),"")))</f>
        <v>8.977999999999998</v>
      </c>
      <c r="AI177" s="13">
        <f>IF('Données projet'!$A$62&gt;35,AI176+AH177-AQ176,IF(A177&lt;'Données projet'!$A$62,$AF$205^A177,IF(A177='Données projet'!$A$62,'Données projet'!$B$62,AI176+AH177-AQ176)))</f>
        <v>610.5199999999993</v>
      </c>
      <c r="AJ177" s="13">
        <f>AI177*VLOOKUP('Données projet'!$B$10,Paramètres!$A$1:$I$89,3,0)*VLOOKUP('Données projet'!$B$10,Paramètres!$A$1:$I$89,5,0)</f>
        <v>609.54316799999935</v>
      </c>
      <c r="AK177" s="13">
        <f t="shared" si="164"/>
        <v>133.1625222806295</v>
      </c>
      <c r="AL177" s="20">
        <f t="shared" si="165"/>
        <v>1293.5457439054287</v>
      </c>
      <c r="AM177" s="59">
        <f t="shared" si="113"/>
        <v>1586.879077238762</v>
      </c>
      <c r="AN177" s="59">
        <f ca="1">AVERAGE(OFFSET($AM$3,0,0,'Données projet'!$E$10+1,1))-AVERAGE(OFFSET($H$3,0,0,'Données projet'!$E$10+1,1))</f>
        <v>525.29195699741149</v>
      </c>
      <c r="AO177" s="59">
        <f t="shared" si="144"/>
        <v>125.99812193007153</v>
      </c>
      <c r="AP177" s="15">
        <f>IF(ISNA(VLOOKUP(A177,'Données projet'!$A$61:$I$81,3,0)),0,VLOOKUP(A177,'Données projet'!$A$61:$I$81,3,0))</f>
        <v>15</v>
      </c>
      <c r="AQ177" s="15">
        <f>IF(ISNA(VLOOKUP(A177,'Données projet'!$A$61:$I$81,4,0)),0,VLOOKUP(A177,'Données projet'!$A$61:$I$81,4,0))</f>
        <v>214.77</v>
      </c>
      <c r="AR177" s="16">
        <f>IF(ISNA(VLOOKUP(A177,'Données projet'!$A$61:$I$81,5,0)),0%,VLOOKUP(A177,'Données projet'!$A$61:$I$81,5,0)*VLOOKUP('Données projet'!$B$10,Paramètres!$A$1:$I$89,7,0))</f>
        <v>0.43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215.64520687509884</v>
      </c>
      <c r="AV177" s="21">
        <f>EXP(-LN(2)/25)*AV176+(1-EXP(-LN(2)/25))/(LN(2)/25)*Calculateur!AQ177*Calculateur!AS177*VLOOKUP('Données projet'!$B$10,Paramètres!$A$1:$I$89,3,0)*0.475*44/12</f>
        <v>0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215.64520687509884</v>
      </c>
      <c r="AY177" s="7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 t="e">
        <f>BD177*VLOOKUP('Données projet'!$B$11,Paramètres!$A$1:$I$89,3,0)*VLOOKUP('Données projet'!$B$11,Paramètres!$A$1:$I$89,5,0)</f>
        <v>#N/A</v>
      </c>
      <c r="BF177" s="13" t="e">
        <f t="shared" si="167"/>
        <v>#N/A</v>
      </c>
      <c r="BG177" s="20" t="e">
        <f t="shared" si="168"/>
        <v>#N/A</v>
      </c>
      <c r="BH177" s="59" t="e">
        <f t="shared" si="116"/>
        <v>#N/A</v>
      </c>
      <c r="BI177" s="59" t="e">
        <f ca="1">AVERAGE(OFFSET($BH$3,0,0,'Données projet'!$E$11+1,1))-AVERAGE(OFFSET($H$3,0,0,'Données projet'!$E$11+1,1))</f>
        <v>#N/A</v>
      </c>
      <c r="BJ177" s="59" t="e">
        <f t="shared" si="146"/>
        <v>#N/A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 t="e">
        <f>EXP(-LN(2)/35)*BP176+(1-EXP(-LN(2)/35))/(LN(2)/35)*BL177*BM177*VLOOKUP('Données projet'!$B$11,Paramètres!$A$1:$I$89,3,0)*0.475*44/12</f>
        <v>#N/A</v>
      </c>
      <c r="BQ177" s="21" t="e">
        <f>EXP(-LN(2)/25)*BQ176+(1-EXP(-LN(2)/25))/(LN(2)/25)*Calculateur!BL177*Calculateur!BN177*VLOOKUP('Données projet'!$B$11,Paramètres!$A$1:$I$89,3,0)*0.475*44/12</f>
        <v>#N/A</v>
      </c>
      <c r="BR177" s="21" t="e">
        <f>EXP(-LN(2)/2)*BR176+(1-EXP(-LN(2)/2))/(LN(2)/2)*BL177*BO177*VLOOKUP('Données projet'!$B$11,Paramètres!$A$1:$I$89,3,0)*0.475*44/12</f>
        <v>#N/A</v>
      </c>
      <c r="BS177" s="22" t="e">
        <f t="shared" si="169"/>
        <v>#N/A</v>
      </c>
      <c r="BT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">
      <c r="A178" s="10">
        <f t="shared" si="161"/>
        <v>175</v>
      </c>
      <c r="B178" s="72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104.64999999999986</v>
      </c>
      <c r="D178" s="11">
        <f t="shared" si="140"/>
        <v>28.066848529735836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1024.4809360190125</v>
      </c>
      <c r="H178" s="66">
        <f t="shared" si="110"/>
        <v>524.48184452262296</v>
      </c>
      <c r="I178" s="6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0</v>
      </c>
      <c r="O178" s="13">
        <f>N178*VLOOKUP('Données projet'!$B$9,Paramètres!$A$1:$I$89,3,0)*VLOOKUP('Données projet'!$B$9,Paramètres!$A$1:$I$89,5,0)</f>
        <v>0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148.39628895278571</v>
      </c>
      <c r="T178" s="59">
        <f t="shared" si="142"/>
        <v>361.07991692964788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6.9916128402527224</v>
      </c>
      <c r="AA178" s="21">
        <f>EXP(-LN(2)/25)*AA177+(1-EXP(-LN(2)/25))/(LN(2)/25)*Calculateur!V178*Calculateur!X178*VLOOKUP('Données projet'!$B$9,Paramètres!$A$1:$I$89,3,0)*0.475*44/12</f>
        <v>0.25804987319521283</v>
      </c>
      <c r="AB178" s="21">
        <f>EXP(-LN(2)/2)*AB177+(1-EXP(-LN(2)/2))/(LN(2)/2)*V178*Y178*VLOOKUP('Données projet'!$B$9,Paramètres!$A$1:$I$89,3,0)*0.475*44/12</f>
        <v>6.7324167777925552E-24</v>
      </c>
      <c r="AC178" s="22">
        <f t="shared" si="163"/>
        <v>7.2496627134479352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-2.2700000000000009</v>
      </c>
      <c r="AI178" s="13">
        <f>IF('Données projet'!$A$62&gt;35,AI177+AH178-AQ177,IF(A178&lt;'Données projet'!$A$62,$AF$205^A178,IF(A178='Données projet'!$A$62,'Données projet'!$B$62,AI177+AH178-AQ177)))</f>
        <v>393.47999999999934</v>
      </c>
      <c r="AJ178" s="13">
        <f>AI178*VLOOKUP('Données projet'!$B$10,Paramètres!$A$1:$I$89,3,0)*VLOOKUP('Données projet'!$B$10,Paramètres!$A$1:$I$89,5,0)</f>
        <v>392.85043199999933</v>
      </c>
      <c r="AK178" s="13">
        <f t="shared" si="164"/>
        <v>90.325682081332218</v>
      </c>
      <c r="AL178" s="20">
        <f t="shared" si="165"/>
        <v>841.53173202498567</v>
      </c>
      <c r="AM178" s="59">
        <f t="shared" si="113"/>
        <v>1134.865065358319</v>
      </c>
      <c r="AN178" s="59">
        <f ca="1">AVERAGE(OFFSET($AM$3,0,0,'Données projet'!$E$10+1,1))-AVERAGE(OFFSET($H$3,0,0,'Données projet'!$E$10+1,1))</f>
        <v>525.29195699741149</v>
      </c>
      <c r="AO178" s="59">
        <f t="shared" si="144"/>
        <v>125.99812193007153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211.41653589886678</v>
      </c>
      <c r="AV178" s="21">
        <f>EXP(-LN(2)/25)*AV177+(1-EXP(-LN(2)/25))/(LN(2)/25)*Calculateur!AQ178*Calculateur!AS178*VLOOKUP('Données projet'!$B$10,Paramètres!$A$1:$I$89,3,0)*0.475*44/12</f>
        <v>0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211.41653589886678</v>
      </c>
      <c r="AY178" s="7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 t="e">
        <f>BD178*VLOOKUP('Données projet'!$B$11,Paramètres!$A$1:$I$89,3,0)*VLOOKUP('Données projet'!$B$11,Paramètres!$A$1:$I$89,5,0)</f>
        <v>#N/A</v>
      </c>
      <c r="BF178" s="13" t="e">
        <f t="shared" si="167"/>
        <v>#N/A</v>
      </c>
      <c r="BG178" s="20" t="e">
        <f t="shared" si="168"/>
        <v>#N/A</v>
      </c>
      <c r="BH178" s="59" t="e">
        <f t="shared" si="116"/>
        <v>#N/A</v>
      </c>
      <c r="BI178" s="59" t="e">
        <f ca="1">AVERAGE(OFFSET($BH$3,0,0,'Données projet'!$E$11+1,1))-AVERAGE(OFFSET($H$3,0,0,'Données projet'!$E$11+1,1))</f>
        <v>#N/A</v>
      </c>
      <c r="BJ178" s="59" t="e">
        <f t="shared" si="146"/>
        <v>#N/A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 t="e">
        <f>EXP(-LN(2)/35)*BP177+(1-EXP(-LN(2)/35))/(LN(2)/35)*BL178*BM178*VLOOKUP('Données projet'!$B$11,Paramètres!$A$1:$I$89,3,0)*0.475*44/12</f>
        <v>#N/A</v>
      </c>
      <c r="BQ178" s="21" t="e">
        <f>EXP(-LN(2)/25)*BQ177+(1-EXP(-LN(2)/25))/(LN(2)/25)*Calculateur!BL178*Calculateur!BN178*VLOOKUP('Données projet'!$B$11,Paramètres!$A$1:$I$89,3,0)*0.475*44/12</f>
        <v>#N/A</v>
      </c>
      <c r="BR178" s="21" t="e">
        <f>EXP(-LN(2)/2)*BR177+(1-EXP(-LN(2)/2))/(LN(2)/2)*BL178*BO178*VLOOKUP('Données projet'!$B$11,Paramètres!$A$1:$I$89,3,0)*0.475*44/12</f>
        <v>#N/A</v>
      </c>
      <c r="BS178" s="22" t="e">
        <f t="shared" si="169"/>
        <v>#N/A</v>
      </c>
      <c r="BT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">
      <c r="A179" s="10">
        <f t="shared" si="161"/>
        <v>176</v>
      </c>
      <c r="B179" s="72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105.24799999999986</v>
      </c>
      <c r="D179" s="11">
        <f t="shared" si="140"/>
        <v>28.208515027560498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1030.1906423180098</v>
      </c>
      <c r="H179" s="66">
        <f t="shared" si="110"/>
        <v>525.77009700633425</v>
      </c>
      <c r="I179" s="6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0</v>
      </c>
      <c r="O179" s="13">
        <f>N179*VLOOKUP('Données projet'!$B$9,Paramètres!$A$1:$I$89,3,0)*VLOOKUP('Données projet'!$B$9,Paramètres!$A$1:$I$89,5,0)</f>
        <v>0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148.39628895278571</v>
      </c>
      <c r="T179" s="59">
        <f t="shared" si="142"/>
        <v>361.07991692964788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6.8545115769181182</v>
      </c>
      <c r="AA179" s="21">
        <f>EXP(-LN(2)/25)*AA178+(1-EXP(-LN(2)/25))/(LN(2)/25)*Calculateur!V179*Calculateur!X179*VLOOKUP('Données projet'!$B$9,Paramètres!$A$1:$I$89,3,0)*0.475*44/12</f>
        <v>0.25099348584243669</v>
      </c>
      <c r="AB179" s="21">
        <f>EXP(-LN(2)/2)*AB178+(1-EXP(-LN(2)/2))/(LN(2)/2)*V179*Y179*VLOOKUP('Données projet'!$B$9,Paramètres!$A$1:$I$89,3,0)*0.475*44/12</f>
        <v>4.7605375573512017E-24</v>
      </c>
      <c r="AC179" s="22">
        <f t="shared" si="163"/>
        <v>7.1055050627605549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-2.2700000000000009</v>
      </c>
      <c r="AI179" s="13">
        <f>IF('Données projet'!$A$62&gt;35,AI178+AH179-AQ178,IF(A179&lt;'Données projet'!$A$62,$AF$205^A179,IF(A179='Données projet'!$A$62,'Données projet'!$B$62,AI178+AH179-AQ178)))</f>
        <v>391.20999999999935</v>
      </c>
      <c r="AJ179" s="13">
        <f>AI179*VLOOKUP('Données projet'!$B$10,Paramètres!$A$1:$I$89,3,0)*VLOOKUP('Données projet'!$B$10,Paramètres!$A$1:$I$89,5,0)</f>
        <v>390.58406399999939</v>
      </c>
      <c r="AK179" s="13">
        <f t="shared" si="164"/>
        <v>89.865090221116191</v>
      </c>
      <c r="AL179" s="20">
        <f t="shared" si="165"/>
        <v>836.78227693510962</v>
      </c>
      <c r="AM179" s="59">
        <f t="shared" si="113"/>
        <v>1130.1156102684429</v>
      </c>
      <c r="AN179" s="59">
        <f ca="1">AVERAGE(OFFSET($AM$3,0,0,'Données projet'!$E$10+1,1))-AVERAGE(OFFSET($H$3,0,0,'Données projet'!$E$10+1,1))</f>
        <v>525.29195699741149</v>
      </c>
      <c r="AO179" s="59">
        <f t="shared" si="144"/>
        <v>125.99812193007153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207.27078658124401</v>
      </c>
      <c r="AV179" s="21">
        <f>EXP(-LN(2)/25)*AV178+(1-EXP(-LN(2)/25))/(LN(2)/25)*Calculateur!AQ179*Calculateur!AS179*VLOOKUP('Données projet'!$B$10,Paramètres!$A$1:$I$89,3,0)*0.475*44/12</f>
        <v>0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207.27078658124401</v>
      </c>
      <c r="AY179" s="7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 t="e">
        <f>BD179*VLOOKUP('Données projet'!$B$11,Paramètres!$A$1:$I$89,3,0)*VLOOKUP('Données projet'!$B$11,Paramètres!$A$1:$I$89,5,0)</f>
        <v>#N/A</v>
      </c>
      <c r="BF179" s="13" t="e">
        <f t="shared" si="167"/>
        <v>#N/A</v>
      </c>
      <c r="BG179" s="20" t="e">
        <f t="shared" si="168"/>
        <v>#N/A</v>
      </c>
      <c r="BH179" s="59" t="e">
        <f t="shared" si="116"/>
        <v>#N/A</v>
      </c>
      <c r="BI179" s="59" t="e">
        <f ca="1">AVERAGE(OFFSET($BH$3,0,0,'Données projet'!$E$11+1,1))-AVERAGE(OFFSET($H$3,0,0,'Données projet'!$E$11+1,1))</f>
        <v>#N/A</v>
      </c>
      <c r="BJ179" s="59" t="e">
        <f t="shared" si="146"/>
        <v>#N/A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 t="e">
        <f>EXP(-LN(2)/35)*BP178+(1-EXP(-LN(2)/35))/(LN(2)/35)*BL179*BM179*VLOOKUP('Données projet'!$B$11,Paramètres!$A$1:$I$89,3,0)*0.475*44/12</f>
        <v>#N/A</v>
      </c>
      <c r="BQ179" s="21" t="e">
        <f>EXP(-LN(2)/25)*BQ178+(1-EXP(-LN(2)/25))/(LN(2)/25)*Calculateur!BL179*Calculateur!BN179*VLOOKUP('Données projet'!$B$11,Paramètres!$A$1:$I$89,3,0)*0.475*44/12</f>
        <v>#N/A</v>
      </c>
      <c r="BR179" s="21" t="e">
        <f>EXP(-LN(2)/2)*BR178+(1-EXP(-LN(2)/2))/(LN(2)/2)*BL179*BO179*VLOOKUP('Données projet'!$B$11,Paramètres!$A$1:$I$89,3,0)*0.475*44/12</f>
        <v>#N/A</v>
      </c>
      <c r="BS179" s="22" t="e">
        <f t="shared" si="169"/>
        <v>#N/A</v>
      </c>
      <c r="BT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">
      <c r="A180" s="10">
        <f t="shared" si="161"/>
        <v>177</v>
      </c>
      <c r="B180" s="72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105.84599999999986</v>
      </c>
      <c r="D180" s="11">
        <f t="shared" si="140"/>
        <v>28.350087862757654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1035.8996256072508</v>
      </c>
      <c r="H180" s="66">
        <f t="shared" si="110"/>
        <v>527.05818636096933</v>
      </c>
      <c r="I180" s="6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0</v>
      </c>
      <c r="O180" s="13">
        <f>N180*VLOOKUP('Données projet'!$B$9,Paramètres!$A$1:$I$89,3,0)*VLOOKUP('Données projet'!$B$9,Paramètres!$A$1:$I$89,5,0)</f>
        <v>0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148.39628895278571</v>
      </c>
      <c r="T180" s="59">
        <f t="shared" si="142"/>
        <v>361.07991692964788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6.7200987857339927</v>
      </c>
      <c r="AA180" s="21">
        <f>EXP(-LN(2)/25)*AA179+(1-EXP(-LN(2)/25))/(LN(2)/25)*Calculateur!V180*Calculateur!X180*VLOOKUP('Données projet'!$B$9,Paramètres!$A$1:$I$89,3,0)*0.475*44/12</f>
        <v>0.24413005577290151</v>
      </c>
      <c r="AB180" s="21">
        <f>EXP(-LN(2)/2)*AB179+(1-EXP(-LN(2)/2))/(LN(2)/2)*V180*Y180*VLOOKUP('Données projet'!$B$9,Paramètres!$A$1:$I$89,3,0)*0.475*44/12</f>
        <v>3.3662083888962776E-24</v>
      </c>
      <c r="AC180" s="22">
        <f t="shared" si="163"/>
        <v>6.9642288415068938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>
        <f>VLOOKUP(A180,'Données projet'!$A$61:$I$81,2,0)</f>
        <v>388.94</v>
      </c>
      <c r="AG180" s="12">
        <f>VLOOKUP(A180,'Données projet'!$A$61:$I$81,9,0)</f>
        <v>-2.2700000000000009</v>
      </c>
      <c r="AH180" s="12">
        <f t="array" ref="AH180">INDEX(AG:AG,MIN(IF(ISNUMBER(AG180:AG376),ROW(AG180:AG376),"")))</f>
        <v>-2.2700000000000009</v>
      </c>
      <c r="AI180" s="13">
        <f>IF('Données projet'!$A$62&gt;35,AI179+AH180-AQ179,IF(A180&lt;'Données projet'!$A$62,$AF$205^A180,IF(A180='Données projet'!$A$62,'Données projet'!$B$62,AI179+AH180-AQ179)))</f>
        <v>388.93999999999937</v>
      </c>
      <c r="AJ180" s="13">
        <f>AI180*VLOOKUP('Données projet'!$B$10,Paramètres!$A$1:$I$89,3,0)*VLOOKUP('Données projet'!$B$10,Paramètres!$A$1:$I$89,5,0)</f>
        <v>388.31769599999939</v>
      </c>
      <c r="AK180" s="13">
        <f t="shared" si="164"/>
        <v>89.404187164617525</v>
      </c>
      <c r="AL180" s="20">
        <f t="shared" si="165"/>
        <v>832.03227984504099</v>
      </c>
      <c r="AM180" s="59">
        <f t="shared" si="113"/>
        <v>1125.3656131783744</v>
      </c>
      <c r="AN180" s="59">
        <f ca="1">AVERAGE(OFFSET($AM$3,0,0,'Données projet'!$E$10+1,1))-AVERAGE(OFFSET($H$3,0,0,'Données projet'!$E$10+1,1))</f>
        <v>525.29195699741149</v>
      </c>
      <c r="AO180" s="59">
        <f t="shared" si="144"/>
        <v>125.99812193007153</v>
      </c>
      <c r="AP180" s="15">
        <f>IF(ISNA(VLOOKUP(A180,'Données projet'!$A$61:$I$81,3,0)),0,VLOOKUP(A180,'Données projet'!$A$61:$I$81,3,0))</f>
        <v>16</v>
      </c>
      <c r="AQ180" s="15">
        <f>IF(ISNA(VLOOKUP(A180,'Données projet'!$A$61:$I$81,4,0)),0,VLOOKUP(A180,'Données projet'!$A$61:$I$81,4,0))</f>
        <v>115.19</v>
      </c>
      <c r="AR180" s="16">
        <f>IF(ISNA(VLOOKUP(A180,'Données projet'!$A$61:$I$81,5,0)),0%,VLOOKUP(A180,'Données projet'!$A$61:$I$81,5,0)*VLOOKUP('Données projet'!$B$10,Paramètres!$A$1:$I$89,7,0))</f>
        <v>0.43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257.87455075347799</v>
      </c>
      <c r="AV180" s="21">
        <f>EXP(-LN(2)/25)*AV179+(1-EXP(-LN(2)/25))/(LN(2)/25)*Calculateur!AQ180*Calculateur!AS180*VLOOKUP('Données projet'!$B$10,Paramètres!$A$1:$I$89,3,0)*0.475*44/12</f>
        <v>0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257.87455075347799</v>
      </c>
      <c r="AY180" s="7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 t="e">
        <f>BD180*VLOOKUP('Données projet'!$B$11,Paramètres!$A$1:$I$89,3,0)*VLOOKUP('Données projet'!$B$11,Paramètres!$A$1:$I$89,5,0)</f>
        <v>#N/A</v>
      </c>
      <c r="BF180" s="13" t="e">
        <f t="shared" si="167"/>
        <v>#N/A</v>
      </c>
      <c r="BG180" s="20" t="e">
        <f t="shared" si="168"/>
        <v>#N/A</v>
      </c>
      <c r="BH180" s="59" t="e">
        <f t="shared" si="116"/>
        <v>#N/A</v>
      </c>
      <c r="BI180" s="59" t="e">
        <f ca="1">AVERAGE(OFFSET($BH$3,0,0,'Données projet'!$E$11+1,1))-AVERAGE(OFFSET($H$3,0,0,'Données projet'!$E$11+1,1))</f>
        <v>#N/A</v>
      </c>
      <c r="BJ180" s="59" t="e">
        <f t="shared" si="146"/>
        <v>#N/A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 t="e">
        <f>EXP(-LN(2)/35)*BP179+(1-EXP(-LN(2)/35))/(LN(2)/35)*BL180*BM180*VLOOKUP('Données projet'!$B$11,Paramètres!$A$1:$I$89,3,0)*0.475*44/12</f>
        <v>#N/A</v>
      </c>
      <c r="BQ180" s="21" t="e">
        <f>EXP(-LN(2)/25)*BQ179+(1-EXP(-LN(2)/25))/(LN(2)/25)*Calculateur!BL180*Calculateur!BN180*VLOOKUP('Données projet'!$B$11,Paramètres!$A$1:$I$89,3,0)*0.475*44/12</f>
        <v>#N/A</v>
      </c>
      <c r="BR180" s="21" t="e">
        <f>EXP(-LN(2)/2)*BR179+(1-EXP(-LN(2)/2))/(LN(2)/2)*BL180*BO180*VLOOKUP('Données projet'!$B$11,Paramètres!$A$1:$I$89,3,0)*0.475*44/12</f>
        <v>#N/A</v>
      </c>
      <c r="BS180" s="22" t="e">
        <f t="shared" si="169"/>
        <v>#N/A</v>
      </c>
      <c r="BT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">
      <c r="A181" s="10">
        <f t="shared" si="161"/>
        <v>178</v>
      </c>
      <c r="B181" s="72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106.44399999999986</v>
      </c>
      <c r="D181" s="11">
        <f t="shared" si="140"/>
        <v>28.491567625901897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1041.6078904455574</v>
      </c>
      <c r="H181" s="66">
        <f t="shared" si="110"/>
        <v>528.34611361511224</v>
      </c>
      <c r="I181" s="6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0</v>
      </c>
      <c r="O181" s="13">
        <f>N181*VLOOKUP('Données projet'!$B$9,Paramètres!$A$1:$I$89,3,0)*VLOOKUP('Données projet'!$B$9,Paramètres!$A$1:$I$89,5,0)</f>
        <v>0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148.39628895278571</v>
      </c>
      <c r="T181" s="59">
        <f t="shared" si="142"/>
        <v>361.07991692964788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6.5883217474012801</v>
      </c>
      <c r="AA181" s="21">
        <f>EXP(-LN(2)/25)*AA180+(1-EXP(-LN(2)/25))/(LN(2)/25)*Calculateur!V181*Calculateur!X181*VLOOKUP('Données projet'!$B$9,Paramètres!$A$1:$I$89,3,0)*0.475*44/12</f>
        <v>0.23745430655954985</v>
      </c>
      <c r="AB181" s="21">
        <f>EXP(-LN(2)/2)*AB180+(1-EXP(-LN(2)/2))/(LN(2)/2)*V181*Y181*VLOOKUP('Données projet'!$B$9,Paramètres!$A$1:$I$89,3,0)*0.475*44/12</f>
        <v>2.3802687786756008E-24</v>
      </c>
      <c r="AC181" s="22">
        <f t="shared" si="163"/>
        <v>6.8257760539608299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-0.72999999999999921</v>
      </c>
      <c r="AI181" s="13">
        <f>IF('Données projet'!$A$62&gt;35,AI180+AH181-AQ180,IF(A181&lt;'Données projet'!$A$62,$AF$205^A181,IF(A181='Données projet'!$A$62,'Données projet'!$B$62,AI180+AH181-AQ180)))</f>
        <v>273.01999999999936</v>
      </c>
      <c r="AJ181" s="13">
        <f>AI181*VLOOKUP('Données projet'!$B$10,Paramètres!$A$1:$I$89,3,0)*VLOOKUP('Données projet'!$B$10,Paramètres!$A$1:$I$89,5,0)</f>
        <v>272.58316799999938</v>
      </c>
      <c r="AK181" s="13">
        <f t="shared" si="164"/>
        <v>65.397178559419501</v>
      </c>
      <c r="AL181" s="20">
        <f t="shared" si="165"/>
        <v>588.64910359098781</v>
      </c>
      <c r="AM181" s="59">
        <f t="shared" si="113"/>
        <v>881.98243692432106</v>
      </c>
      <c r="AN181" s="59">
        <f ca="1">AVERAGE(OFFSET($AM$3,0,0,'Données projet'!$E$10+1,1))-AVERAGE(OFFSET($H$3,0,0,'Données projet'!$E$10+1,1))</f>
        <v>525.29195699741149</v>
      </c>
      <c r="AO181" s="59">
        <f t="shared" si="144"/>
        <v>125.99812193007153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252.81778810114736</v>
      </c>
      <c r="AV181" s="21">
        <f>EXP(-LN(2)/25)*AV180+(1-EXP(-LN(2)/25))/(LN(2)/25)*Calculateur!AQ181*Calculateur!AS181*VLOOKUP('Données projet'!$B$10,Paramètres!$A$1:$I$89,3,0)*0.475*44/12</f>
        <v>0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252.81778810114736</v>
      </c>
      <c r="AY181" s="7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 t="e">
        <f>BD181*VLOOKUP('Données projet'!$B$11,Paramètres!$A$1:$I$89,3,0)*VLOOKUP('Données projet'!$B$11,Paramètres!$A$1:$I$89,5,0)</f>
        <v>#N/A</v>
      </c>
      <c r="BF181" s="13" t="e">
        <f t="shared" si="167"/>
        <v>#N/A</v>
      </c>
      <c r="BG181" s="20" t="e">
        <f t="shared" si="168"/>
        <v>#N/A</v>
      </c>
      <c r="BH181" s="59" t="e">
        <f t="shared" si="116"/>
        <v>#N/A</v>
      </c>
      <c r="BI181" s="59" t="e">
        <f ca="1">AVERAGE(OFFSET($BH$3,0,0,'Données projet'!$E$11+1,1))-AVERAGE(OFFSET($H$3,0,0,'Données projet'!$E$11+1,1))</f>
        <v>#N/A</v>
      </c>
      <c r="BJ181" s="59" t="e">
        <f t="shared" si="146"/>
        <v>#N/A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 t="e">
        <f>EXP(-LN(2)/35)*BP180+(1-EXP(-LN(2)/35))/(LN(2)/35)*BL181*BM181*VLOOKUP('Données projet'!$B$11,Paramètres!$A$1:$I$89,3,0)*0.475*44/12</f>
        <v>#N/A</v>
      </c>
      <c r="BQ181" s="21" t="e">
        <f>EXP(-LN(2)/25)*BQ180+(1-EXP(-LN(2)/25))/(LN(2)/25)*Calculateur!BL181*Calculateur!BN181*VLOOKUP('Données projet'!$B$11,Paramètres!$A$1:$I$89,3,0)*0.475*44/12</f>
        <v>#N/A</v>
      </c>
      <c r="BR181" s="21" t="e">
        <f>EXP(-LN(2)/2)*BR180+(1-EXP(-LN(2)/2))/(LN(2)/2)*BL181*BO181*VLOOKUP('Données projet'!$B$11,Paramètres!$A$1:$I$89,3,0)*0.475*44/12</f>
        <v>#N/A</v>
      </c>
      <c r="BS181" s="22" t="e">
        <f t="shared" si="169"/>
        <v>#N/A</v>
      </c>
      <c r="BT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">
      <c r="A182" s="10">
        <f t="shared" si="161"/>
        <v>179</v>
      </c>
      <c r="B182" s="72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107.04199999999986</v>
      </c>
      <c r="D182" s="11">
        <f t="shared" si="140"/>
        <v>28.632954900548057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1047.3154413375626</v>
      </c>
      <c r="H182" s="66">
        <f t="shared" si="110"/>
        <v>529.63387978512094</v>
      </c>
      <c r="I182" s="6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0</v>
      </c>
      <c r="O182" s="13">
        <f>N182*VLOOKUP('Données projet'!$B$9,Paramètres!$A$1:$I$89,3,0)*VLOOKUP('Données projet'!$B$9,Paramètres!$A$1:$I$89,5,0)</f>
        <v>0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148.39628895278571</v>
      </c>
      <c r="T182" s="59">
        <f t="shared" si="142"/>
        <v>361.07991692964788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6.4591287764142153</v>
      </c>
      <c r="AA182" s="21">
        <f>EXP(-LN(2)/25)*AA181+(1-EXP(-LN(2)/25))/(LN(2)/25)*Calculateur!V182*Calculateur!X182*VLOOKUP('Données projet'!$B$9,Paramètres!$A$1:$I$89,3,0)*0.475*44/12</f>
        <v>0.23096110605949968</v>
      </c>
      <c r="AB182" s="21">
        <f>EXP(-LN(2)/2)*AB181+(1-EXP(-LN(2)/2))/(LN(2)/2)*V182*Y182*VLOOKUP('Données projet'!$B$9,Paramètres!$A$1:$I$89,3,0)*0.475*44/12</f>
        <v>1.6831041944481388E-24</v>
      </c>
      <c r="AC182" s="22">
        <f t="shared" si="163"/>
        <v>6.6900898824737149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-0.72999999999999921</v>
      </c>
      <c r="AI182" s="13">
        <f>IF('Données projet'!$A$62&gt;35,AI181+AH182-AQ181,IF(A182&lt;'Données projet'!$A$62,$AF$205^A182,IF(A182='Données projet'!$A$62,'Données projet'!$B$62,AI181+AH182-AQ181)))</f>
        <v>272.28999999999934</v>
      </c>
      <c r="AJ182" s="13">
        <f>AI182*VLOOKUP('Données projet'!$B$10,Paramètres!$A$1:$I$89,3,0)*VLOOKUP('Données projet'!$B$10,Paramètres!$A$1:$I$89,5,0)</f>
        <v>271.85433599999936</v>
      </c>
      <c r="AK182" s="13">
        <f t="shared" si="164"/>
        <v>65.242649286323072</v>
      </c>
      <c r="AL182" s="20">
        <f t="shared" si="165"/>
        <v>587.11058270701153</v>
      </c>
      <c r="AM182" s="59">
        <f t="shared" si="113"/>
        <v>880.4439160403449</v>
      </c>
      <c r="AN182" s="59">
        <f ca="1">AVERAGE(OFFSET($AM$3,0,0,'Données projet'!$E$10+1,1))-AVERAGE(OFFSET($H$3,0,0,'Données projet'!$E$10+1,1))</f>
        <v>525.29195699741149</v>
      </c>
      <c r="AO182" s="59">
        <f t="shared" si="144"/>
        <v>125.99812193007153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247.86018548010824</v>
      </c>
      <c r="AV182" s="21">
        <f>EXP(-LN(2)/25)*AV181+(1-EXP(-LN(2)/25))/(LN(2)/25)*Calculateur!AQ182*Calculateur!AS182*VLOOKUP('Données projet'!$B$10,Paramètres!$A$1:$I$89,3,0)*0.475*44/12</f>
        <v>0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247.86018548010824</v>
      </c>
      <c r="AY182" s="7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 t="e">
        <f>BD182*VLOOKUP('Données projet'!$B$11,Paramètres!$A$1:$I$89,3,0)*VLOOKUP('Données projet'!$B$11,Paramètres!$A$1:$I$89,5,0)</f>
        <v>#N/A</v>
      </c>
      <c r="BF182" s="13" t="e">
        <f t="shared" si="167"/>
        <v>#N/A</v>
      </c>
      <c r="BG182" s="20" t="e">
        <f t="shared" si="168"/>
        <v>#N/A</v>
      </c>
      <c r="BH182" s="59" t="e">
        <f t="shared" si="116"/>
        <v>#N/A</v>
      </c>
      <c r="BI182" s="59" t="e">
        <f ca="1">AVERAGE(OFFSET($BH$3,0,0,'Données projet'!$E$11+1,1))-AVERAGE(OFFSET($H$3,0,0,'Données projet'!$E$11+1,1))</f>
        <v>#N/A</v>
      </c>
      <c r="BJ182" s="59" t="e">
        <f t="shared" si="146"/>
        <v>#N/A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 t="e">
        <f>EXP(-LN(2)/35)*BP181+(1-EXP(-LN(2)/35))/(LN(2)/35)*BL182*BM182*VLOOKUP('Données projet'!$B$11,Paramètres!$A$1:$I$89,3,0)*0.475*44/12</f>
        <v>#N/A</v>
      </c>
      <c r="BQ182" s="21" t="e">
        <f>EXP(-LN(2)/25)*BQ181+(1-EXP(-LN(2)/25))/(LN(2)/25)*Calculateur!BL182*Calculateur!BN182*VLOOKUP('Données projet'!$B$11,Paramètres!$A$1:$I$89,3,0)*0.475*44/12</f>
        <v>#N/A</v>
      </c>
      <c r="BR182" s="21" t="e">
        <f>EXP(-LN(2)/2)*BR181+(1-EXP(-LN(2)/2))/(LN(2)/2)*BL182*BO182*VLOOKUP('Données projet'!$B$11,Paramètres!$A$1:$I$89,3,0)*0.475*44/12</f>
        <v>#N/A</v>
      </c>
      <c r="BS182" s="22" t="e">
        <f t="shared" si="169"/>
        <v>#N/A</v>
      </c>
      <c r="BT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">
      <c r="A183" s="10">
        <f t="shared" si="161"/>
        <v>180</v>
      </c>
      <c r="B183" s="72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107.63999999999986</v>
      </c>
      <c r="D183" s="11">
        <f t="shared" si="140"/>
        <v>28.774250263353558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1053.0222827346581</v>
      </c>
      <c r="H183" s="66">
        <f t="shared" si="110"/>
        <v>530.92148587534052</v>
      </c>
      <c r="I183" s="6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0</v>
      </c>
      <c r="O183" s="13">
        <f>N183*VLOOKUP('Données projet'!$B$9,Paramètres!$A$1:$I$89,3,0)*VLOOKUP('Données projet'!$B$9,Paramètres!$A$1:$I$89,5,0)</f>
        <v>0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148.39628895278571</v>
      </c>
      <c r="T183" s="59">
        <f t="shared" si="142"/>
        <v>361.07991692964788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6.3324692007882755</v>
      </c>
      <c r="AA183" s="21">
        <f>EXP(-LN(2)/25)*AA182+(1-EXP(-LN(2)/25))/(LN(2)/25)*Calculateur!V183*Calculateur!X183*VLOOKUP('Données projet'!$B$9,Paramètres!$A$1:$I$89,3,0)*0.475*44/12</f>
        <v>0.22464546246858597</v>
      </c>
      <c r="AB183" s="21">
        <f>EXP(-LN(2)/2)*AB182+(1-EXP(-LN(2)/2))/(LN(2)/2)*V183*Y183*VLOOKUP('Données projet'!$B$9,Paramètres!$A$1:$I$89,3,0)*0.475*44/12</f>
        <v>1.1901343893378004E-24</v>
      </c>
      <c r="AC183" s="22">
        <f t="shared" si="163"/>
        <v>6.5571146632568613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>
        <f>VLOOKUP(A183,'Données projet'!$A$61:$I$81,2,0)</f>
        <v>271.56</v>
      </c>
      <c r="AG183" s="12">
        <f>VLOOKUP(A183,'Données projet'!$A$61:$I$81,9,0)</f>
        <v>-0.72999999999999921</v>
      </c>
      <c r="AH183" s="12">
        <f t="array" ref="AH183">INDEX(AG:AG,MIN(IF(ISNUMBER(AG183:AG379),ROW(AG183:AG379),"")))</f>
        <v>-0.72999999999999921</v>
      </c>
      <c r="AI183" s="13">
        <f>IF('Données projet'!$A$62&gt;35,AI182+AH183-AQ182,IF(A183&lt;'Données projet'!$A$62,$AF$205^A183,IF(A183='Données projet'!$A$62,'Données projet'!$B$62,AI182+AH183-AQ182)))</f>
        <v>271.55999999999932</v>
      </c>
      <c r="AJ183" s="13">
        <f>AI183*VLOOKUP('Données projet'!$B$10,Paramètres!$A$1:$I$89,3,0)*VLOOKUP('Données projet'!$B$10,Paramètres!$A$1:$I$89,5,0)</f>
        <v>271.1255039999993</v>
      </c>
      <c r="AK183" s="13">
        <f t="shared" si="164"/>
        <v>65.088071782564199</v>
      </c>
      <c r="AL183" s="20">
        <f t="shared" si="165"/>
        <v>585.57197782129811</v>
      </c>
      <c r="AM183" s="59">
        <f t="shared" si="113"/>
        <v>878.90531115463136</v>
      </c>
      <c r="AN183" s="59">
        <f ca="1">AVERAGE(OFFSET($AM$3,0,0,'Données projet'!$E$10+1,1))-AVERAGE(OFFSET($H$3,0,0,'Données projet'!$E$10+1,1))</f>
        <v>525.29195699741149</v>
      </c>
      <c r="AO183" s="59">
        <f t="shared" si="144"/>
        <v>125.99812193007153</v>
      </c>
      <c r="AP183" s="15">
        <f>IF(ISNA(VLOOKUP(A183,'Données projet'!$A$61:$I$81,3,0)),0,VLOOKUP(A183,'Données projet'!$A$61:$I$81,3,0))</f>
        <v>17</v>
      </c>
      <c r="AQ183" s="15">
        <f>IF(ISNA(VLOOKUP(A183,'Données projet'!$A$61:$I$81,4,0)),0,VLOOKUP(A183,'Données projet'!$A$61:$I$81,4,0))</f>
        <v>77.72</v>
      </c>
      <c r="AR183" s="16">
        <f>IF(ISNA(VLOOKUP(A183,'Données projet'!$A$61:$I$81,5,0)),0%,VLOOKUP(A183,'Données projet'!$A$61:$I$81,5,0)*VLOOKUP('Données projet'!$B$10,Paramètres!$A$1:$I$89,7,0))</f>
        <v>0.43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279.88506531383473</v>
      </c>
      <c r="AV183" s="21">
        <f>EXP(-LN(2)/25)*AV182+(1-EXP(-LN(2)/25))/(LN(2)/25)*Calculateur!AQ183*Calculateur!AS183*VLOOKUP('Données projet'!$B$10,Paramètres!$A$1:$I$89,3,0)*0.475*44/12</f>
        <v>0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279.88506531383473</v>
      </c>
      <c r="AY183" s="7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 t="e">
        <f>BD183*VLOOKUP('Données projet'!$B$11,Paramètres!$A$1:$I$89,3,0)*VLOOKUP('Données projet'!$B$11,Paramètres!$A$1:$I$89,5,0)</f>
        <v>#N/A</v>
      </c>
      <c r="BF183" s="13" t="e">
        <f t="shared" si="167"/>
        <v>#N/A</v>
      </c>
      <c r="BG183" s="20" t="e">
        <f t="shared" si="168"/>
        <v>#N/A</v>
      </c>
      <c r="BH183" s="59" t="e">
        <f t="shared" si="116"/>
        <v>#N/A</v>
      </c>
      <c r="BI183" s="59" t="e">
        <f ca="1">AVERAGE(OFFSET($BH$3,0,0,'Données projet'!$E$11+1,1))-AVERAGE(OFFSET($H$3,0,0,'Données projet'!$E$11+1,1))</f>
        <v>#N/A</v>
      </c>
      <c r="BJ183" s="59" t="e">
        <f t="shared" si="146"/>
        <v>#N/A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 t="e">
        <f>EXP(-LN(2)/35)*BP182+(1-EXP(-LN(2)/35))/(LN(2)/35)*BL183*BM183*VLOOKUP('Données projet'!$B$11,Paramètres!$A$1:$I$89,3,0)*0.475*44/12</f>
        <v>#N/A</v>
      </c>
      <c r="BQ183" s="21" t="e">
        <f>EXP(-LN(2)/25)*BQ182+(1-EXP(-LN(2)/25))/(LN(2)/25)*Calculateur!BL183*Calculateur!BN183*VLOOKUP('Données projet'!$B$11,Paramètres!$A$1:$I$89,3,0)*0.475*44/12</f>
        <v>#N/A</v>
      </c>
      <c r="BR183" s="21" t="e">
        <f>EXP(-LN(2)/2)*BR182+(1-EXP(-LN(2)/2))/(LN(2)/2)*BL183*BO183*VLOOKUP('Données projet'!$B$11,Paramètres!$A$1:$I$89,3,0)*0.475*44/12</f>
        <v>#N/A</v>
      </c>
      <c r="BS183" s="22" t="e">
        <f t="shared" si="169"/>
        <v>#N/A</v>
      </c>
      <c r="BT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">
      <c r="A184" s="10">
        <f t="shared" si="161"/>
        <v>181</v>
      </c>
      <c r="B184" s="72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108.23799999999986</v>
      </c>
      <c r="D184" s="11">
        <f t="shared" si="140"/>
        <v>28.915454284197654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1058.7284190359107</v>
      </c>
      <c r="H184" s="66">
        <f t="shared" si="110"/>
        <v>532.20893287831063</v>
      </c>
      <c r="I184" s="6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0</v>
      </c>
      <c r="O184" s="13">
        <f>N184*VLOOKUP('Données projet'!$B$9,Paramètres!$A$1:$I$89,3,0)*VLOOKUP('Données projet'!$B$9,Paramètres!$A$1:$I$89,5,0)</f>
        <v>0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148.39628895278571</v>
      </c>
      <c r="T184" s="59">
        <f t="shared" si="142"/>
        <v>361.07991692964788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6.2082933421856472</v>
      </c>
      <c r="AA184" s="21">
        <f>EXP(-LN(2)/25)*AA183+(1-EXP(-LN(2)/25))/(LN(2)/25)*Calculateur!V184*Calculateur!X184*VLOOKUP('Données projet'!$B$9,Paramètres!$A$1:$I$89,3,0)*0.475*44/12</f>
        <v>0.21850252048379104</v>
      </c>
      <c r="AB184" s="21">
        <f>EXP(-LN(2)/2)*AB183+(1-EXP(-LN(2)/2))/(LN(2)/2)*V184*Y184*VLOOKUP('Données projet'!$B$9,Paramètres!$A$1:$I$89,3,0)*0.475*44/12</f>
        <v>8.415520972240694E-25</v>
      </c>
      <c r="AC184" s="22">
        <f t="shared" si="163"/>
        <v>6.4267958626694384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-0.79000000000000148</v>
      </c>
      <c r="AI184" s="13">
        <f>IF('Données projet'!$A$62&gt;35,AI183+AH184-AQ183,IF(A184&lt;'Données projet'!$A$62,$AF$205^A184,IF(A184='Données projet'!$A$62,'Données projet'!$B$62,AI183+AH184-AQ183)))</f>
        <v>193.0499999999993</v>
      </c>
      <c r="AJ184" s="13">
        <f>AI184*VLOOKUP('Données projet'!$B$10,Paramètres!$A$1:$I$89,3,0)*VLOOKUP('Données projet'!$B$10,Paramètres!$A$1:$I$89,5,0)</f>
        <v>192.74111999999931</v>
      </c>
      <c r="AK184" s="13">
        <f t="shared" si="164"/>
        <v>48.145469429454813</v>
      </c>
      <c r="AL184" s="20">
        <f t="shared" si="165"/>
        <v>419.54414325629926</v>
      </c>
      <c r="AM184" s="59">
        <f t="shared" si="113"/>
        <v>712.87747658963258</v>
      </c>
      <c r="AN184" s="59">
        <f ca="1">AVERAGE(OFFSET($AM$3,0,0,'Données projet'!$E$10+1,1))-AVERAGE(OFFSET($H$3,0,0,'Données projet'!$E$10+1,1))</f>
        <v>525.29195699741149</v>
      </c>
      <c r="AO184" s="59">
        <f t="shared" si="144"/>
        <v>125.99812193007153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274.39668989606378</v>
      </c>
      <c r="AV184" s="21">
        <f>EXP(-LN(2)/25)*AV183+(1-EXP(-LN(2)/25))/(LN(2)/25)*Calculateur!AQ184*Calculateur!AS184*VLOOKUP('Données projet'!$B$10,Paramètres!$A$1:$I$89,3,0)*0.475*44/12</f>
        <v>0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274.39668989606378</v>
      </c>
      <c r="AY184" s="7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 t="e">
        <f>BD184*VLOOKUP('Données projet'!$B$11,Paramètres!$A$1:$I$89,3,0)*VLOOKUP('Données projet'!$B$11,Paramètres!$A$1:$I$89,5,0)</f>
        <v>#N/A</v>
      </c>
      <c r="BF184" s="13" t="e">
        <f t="shared" si="167"/>
        <v>#N/A</v>
      </c>
      <c r="BG184" s="20" t="e">
        <f t="shared" si="168"/>
        <v>#N/A</v>
      </c>
      <c r="BH184" s="59" t="e">
        <f t="shared" si="116"/>
        <v>#N/A</v>
      </c>
      <c r="BI184" s="59" t="e">
        <f ca="1">AVERAGE(OFFSET($BH$3,0,0,'Données projet'!$E$11+1,1))-AVERAGE(OFFSET($H$3,0,0,'Données projet'!$E$11+1,1))</f>
        <v>#N/A</v>
      </c>
      <c r="BJ184" s="59" t="e">
        <f t="shared" si="146"/>
        <v>#N/A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 t="e">
        <f>EXP(-LN(2)/35)*BP183+(1-EXP(-LN(2)/35))/(LN(2)/35)*BL184*BM184*VLOOKUP('Données projet'!$B$11,Paramètres!$A$1:$I$89,3,0)*0.475*44/12</f>
        <v>#N/A</v>
      </c>
      <c r="BQ184" s="21" t="e">
        <f>EXP(-LN(2)/25)*BQ183+(1-EXP(-LN(2)/25))/(LN(2)/25)*Calculateur!BL184*Calculateur!BN184*VLOOKUP('Données projet'!$B$11,Paramètres!$A$1:$I$89,3,0)*0.475*44/12</f>
        <v>#N/A</v>
      </c>
      <c r="BR184" s="21" t="e">
        <f>EXP(-LN(2)/2)*BR183+(1-EXP(-LN(2)/2))/(LN(2)/2)*BL184*BO184*VLOOKUP('Données projet'!$B$11,Paramètres!$A$1:$I$89,3,0)*0.475*44/12</f>
        <v>#N/A</v>
      </c>
      <c r="BS184" s="22" t="e">
        <f t="shared" si="169"/>
        <v>#N/A</v>
      </c>
      <c r="BT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">
      <c r="A185" s="10">
        <f t="shared" si="161"/>
        <v>182</v>
      </c>
      <c r="B185" s="72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108.83599999999986</v>
      </c>
      <c r="D185" s="11">
        <f t="shared" si="140"/>
        <v>29.056567526298124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1064.4338545889668</v>
      </c>
      <c r="H185" s="66">
        <f t="shared" si="110"/>
        <v>533.49622177496894</v>
      </c>
      <c r="I185" s="6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0</v>
      </c>
      <c r="O185" s="13">
        <f>N185*VLOOKUP('Données projet'!$B$9,Paramètres!$A$1:$I$89,3,0)*VLOOKUP('Données projet'!$B$9,Paramètres!$A$1:$I$89,5,0)</f>
        <v>0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148.39628895278571</v>
      </c>
      <c r="T185" s="59">
        <f t="shared" si="142"/>
        <v>361.07991692964788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6.0865524964304214</v>
      </c>
      <c r="AA185" s="21">
        <f>EXP(-LN(2)/25)*AA184+(1-EXP(-LN(2)/25))/(LN(2)/25)*Calculateur!V185*Calculateur!X185*VLOOKUP('Données projet'!$B$9,Paramètres!$A$1:$I$89,3,0)*0.475*44/12</f>
        <v>0.21252755757061362</v>
      </c>
      <c r="AB185" s="21">
        <f>EXP(-LN(2)/2)*AB184+(1-EXP(-LN(2)/2))/(LN(2)/2)*V185*Y185*VLOOKUP('Données projet'!$B$9,Paramètres!$A$1:$I$89,3,0)*0.475*44/12</f>
        <v>5.9506719466890021E-25</v>
      </c>
      <c r="AC185" s="22">
        <f t="shared" si="163"/>
        <v>6.2990800540010348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-0.79000000000000148</v>
      </c>
      <c r="AI185" s="13">
        <f>IF('Données projet'!$A$62&gt;35,AI184+AH185-AQ184,IF(A185&lt;'Données projet'!$A$62,$AF$205^A185,IF(A185='Données projet'!$A$62,'Données projet'!$B$62,AI184+AH185-AQ184)))</f>
        <v>192.25999999999931</v>
      </c>
      <c r="AJ185" s="13">
        <f>AI185*VLOOKUP('Données projet'!$B$10,Paramètres!$A$1:$I$89,3,0)*VLOOKUP('Données projet'!$B$10,Paramètres!$A$1:$I$89,5,0)</f>
        <v>191.95238399999934</v>
      </c>
      <c r="AK185" s="13">
        <f t="shared" si="164"/>
        <v>47.97134007183552</v>
      </c>
      <c r="AL185" s="20">
        <f t="shared" si="165"/>
        <v>417.86715275844568</v>
      </c>
      <c r="AM185" s="59">
        <f t="shared" si="113"/>
        <v>711.200486091779</v>
      </c>
      <c r="AN185" s="59">
        <f ca="1">AVERAGE(OFFSET($AM$3,0,0,'Données projet'!$E$10+1,1))-AVERAGE(OFFSET($H$3,0,0,'Données projet'!$E$10+1,1))</f>
        <v>525.29195699741149</v>
      </c>
      <c r="AO185" s="59">
        <f t="shared" si="144"/>
        <v>125.99812193007153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269.01593817265683</v>
      </c>
      <c r="AV185" s="21">
        <f>EXP(-LN(2)/25)*AV184+(1-EXP(-LN(2)/25))/(LN(2)/25)*Calculateur!AQ185*Calculateur!AS185*VLOOKUP('Données projet'!$B$10,Paramètres!$A$1:$I$89,3,0)*0.475*44/12</f>
        <v>0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269.01593817265683</v>
      </c>
      <c r="AY185" s="7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 t="e">
        <f>BD185*VLOOKUP('Données projet'!$B$11,Paramètres!$A$1:$I$89,3,0)*VLOOKUP('Données projet'!$B$11,Paramètres!$A$1:$I$89,5,0)</f>
        <v>#N/A</v>
      </c>
      <c r="BF185" s="13" t="e">
        <f t="shared" si="167"/>
        <v>#N/A</v>
      </c>
      <c r="BG185" s="20" t="e">
        <f t="shared" si="168"/>
        <v>#N/A</v>
      </c>
      <c r="BH185" s="59" t="e">
        <f t="shared" si="116"/>
        <v>#N/A</v>
      </c>
      <c r="BI185" s="59" t="e">
        <f ca="1">AVERAGE(OFFSET($BH$3,0,0,'Données projet'!$E$11+1,1))-AVERAGE(OFFSET($H$3,0,0,'Données projet'!$E$11+1,1))</f>
        <v>#N/A</v>
      </c>
      <c r="BJ185" s="59" t="e">
        <f t="shared" si="146"/>
        <v>#N/A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 t="e">
        <f>EXP(-LN(2)/35)*BP184+(1-EXP(-LN(2)/35))/(LN(2)/35)*BL185*BM185*VLOOKUP('Données projet'!$B$11,Paramètres!$A$1:$I$89,3,0)*0.475*44/12</f>
        <v>#N/A</v>
      </c>
      <c r="BQ185" s="21" t="e">
        <f>EXP(-LN(2)/25)*BQ184+(1-EXP(-LN(2)/25))/(LN(2)/25)*Calculateur!BL185*Calculateur!BN185*VLOOKUP('Données projet'!$B$11,Paramètres!$A$1:$I$89,3,0)*0.475*44/12</f>
        <v>#N/A</v>
      </c>
      <c r="BR185" s="21" t="e">
        <f>EXP(-LN(2)/2)*BR184+(1-EXP(-LN(2)/2))/(LN(2)/2)*BL185*BO185*VLOOKUP('Données projet'!$B$11,Paramètres!$A$1:$I$89,3,0)*0.475*44/12</f>
        <v>#N/A</v>
      </c>
      <c r="BS185" s="22" t="e">
        <f t="shared" si="169"/>
        <v>#N/A</v>
      </c>
      <c r="BT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">
      <c r="A186" s="10">
        <f t="shared" si="161"/>
        <v>183</v>
      </c>
      <c r="B186" s="72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109.43399999999986</v>
      </c>
      <c r="D186" s="11">
        <f t="shared" si="140"/>
        <v>29.197590546325394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1070.1385936909319</v>
      </c>
      <c r="H186" s="66">
        <f t="shared" si="110"/>
        <v>534.78335353484977</v>
      </c>
      <c r="I186" s="6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0</v>
      </c>
      <c r="O186" s="13">
        <f>N186*VLOOKUP('Données projet'!$B$9,Paramètres!$A$1:$I$89,3,0)*VLOOKUP('Données projet'!$B$9,Paramètres!$A$1:$I$89,5,0)</f>
        <v>0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148.39628895278571</v>
      </c>
      <c r="T186" s="59">
        <f t="shared" si="142"/>
        <v>361.07991692964788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5.9671989144058717</v>
      </c>
      <c r="AA186" s="21">
        <f>EXP(-LN(2)/25)*AA185+(1-EXP(-LN(2)/25))/(LN(2)/25)*Calculateur!V186*Calculateur!X186*VLOOKUP('Données projet'!$B$9,Paramètres!$A$1:$I$89,3,0)*0.475*44/12</f>
        <v>0.20671598033250668</v>
      </c>
      <c r="AB186" s="21">
        <f>EXP(-LN(2)/2)*AB185+(1-EXP(-LN(2)/2))/(LN(2)/2)*V186*Y186*VLOOKUP('Données projet'!$B$9,Paramètres!$A$1:$I$89,3,0)*0.475*44/12</f>
        <v>4.207760486120347E-25</v>
      </c>
      <c r="AC186" s="22">
        <f t="shared" si="163"/>
        <v>6.1739148947383784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>
        <f>VLOOKUP(A186,'Données projet'!$A$61:$I$81,2,0)</f>
        <v>191.47</v>
      </c>
      <c r="AG186" s="12">
        <f>VLOOKUP(A186,'Données projet'!$A$61:$I$81,9,0)</f>
        <v>-0.79000000000000148</v>
      </c>
      <c r="AH186" s="12">
        <f t="array" ref="AH186">INDEX(AG:AG,MIN(IF(ISNUMBER(AG186:AG382),ROW(AG186:AG382),"")))</f>
        <v>-0.79000000000000148</v>
      </c>
      <c r="AI186" s="13">
        <f>IF('Données projet'!$A$62&gt;35,AI185+AH186-AQ185,IF(A186&lt;'Données projet'!$A$62,$AF$205^A186,IF(A186='Données projet'!$A$62,'Données projet'!$B$62,AI185+AH186-AQ185)))</f>
        <v>191.46999999999932</v>
      </c>
      <c r="AJ186" s="13">
        <f>AI186*VLOOKUP('Données projet'!$B$10,Paramètres!$A$1:$I$89,3,0)*VLOOKUP('Données projet'!$B$10,Paramètres!$A$1:$I$89,5,0)</f>
        <v>191.16364799999931</v>
      </c>
      <c r="AK186" s="13">
        <f t="shared" si="164"/>
        <v>47.797127409749422</v>
      </c>
      <c r="AL186" s="20">
        <f t="shared" si="165"/>
        <v>416.19001717197904</v>
      </c>
      <c r="AM186" s="59">
        <f t="shared" si="113"/>
        <v>709.52335050531235</v>
      </c>
      <c r="AN186" s="59">
        <f ca="1">AVERAGE(OFFSET($AM$3,0,0,'Données projet'!$E$10+1,1))-AVERAGE(OFFSET($H$3,0,0,'Données projet'!$E$10+1,1))</f>
        <v>525.29195699741149</v>
      </c>
      <c r="AO186" s="59">
        <f t="shared" si="144"/>
        <v>125.99812193007153</v>
      </c>
      <c r="AP186" s="15">
        <f>IF(ISNA(VLOOKUP(A186,'Données projet'!$A$61:$I$81,3,0)),0,VLOOKUP(A186,'Données projet'!$A$61:$I$81,3,0))</f>
        <v>18</v>
      </c>
      <c r="AQ186" s="15">
        <f>IF(ISNA(VLOOKUP(A186,'Données projet'!$A$61:$I$81,4,0)),0,VLOOKUP(A186,'Données projet'!$A$61:$I$81,4,0))</f>
        <v>169.76</v>
      </c>
      <c r="AR186" s="16">
        <f>IF(ISNA(VLOOKUP(A186,'Données projet'!$A$61:$I$81,5,0)),0%,VLOOKUP(A186,'Données projet'!$A$61:$I$81,5,0)*VLOOKUP('Données projet'!$B$10,Paramètres!$A$1:$I$89,7,0))</f>
        <v>0.43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344.30738662898119</v>
      </c>
      <c r="AV186" s="21">
        <f>EXP(-LN(2)/25)*AV185+(1-EXP(-LN(2)/25))/(LN(2)/25)*Calculateur!AQ186*Calculateur!AS186*VLOOKUP('Données projet'!$B$10,Paramètres!$A$1:$I$89,3,0)*0.475*44/12</f>
        <v>0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344.30738662898119</v>
      </c>
      <c r="AY186" s="7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 t="e">
        <f>BD186*VLOOKUP('Données projet'!$B$11,Paramètres!$A$1:$I$89,3,0)*VLOOKUP('Données projet'!$B$11,Paramètres!$A$1:$I$89,5,0)</f>
        <v>#N/A</v>
      </c>
      <c r="BF186" s="13" t="e">
        <f t="shared" si="167"/>
        <v>#N/A</v>
      </c>
      <c r="BG186" s="20" t="e">
        <f t="shared" si="168"/>
        <v>#N/A</v>
      </c>
      <c r="BH186" s="59" t="e">
        <f t="shared" si="116"/>
        <v>#N/A</v>
      </c>
      <c r="BI186" s="59" t="e">
        <f ca="1">AVERAGE(OFFSET($BH$3,0,0,'Données projet'!$E$11+1,1))-AVERAGE(OFFSET($H$3,0,0,'Données projet'!$E$11+1,1))</f>
        <v>#N/A</v>
      </c>
      <c r="BJ186" s="59" t="e">
        <f t="shared" si="146"/>
        <v>#N/A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 t="e">
        <f>EXP(-LN(2)/35)*BP185+(1-EXP(-LN(2)/35))/(LN(2)/35)*BL186*BM186*VLOOKUP('Données projet'!$B$11,Paramètres!$A$1:$I$89,3,0)*0.475*44/12</f>
        <v>#N/A</v>
      </c>
      <c r="BQ186" s="21" t="e">
        <f>EXP(-LN(2)/25)*BQ185+(1-EXP(-LN(2)/25))/(LN(2)/25)*Calculateur!BL186*Calculateur!BN186*VLOOKUP('Données projet'!$B$11,Paramètres!$A$1:$I$89,3,0)*0.475*44/12</f>
        <v>#N/A</v>
      </c>
      <c r="BR186" s="21" t="e">
        <f>EXP(-LN(2)/2)*BR185+(1-EXP(-LN(2)/2))/(LN(2)/2)*BL186*BO186*VLOOKUP('Données projet'!$B$11,Paramètres!$A$1:$I$89,3,0)*0.475*44/12</f>
        <v>#N/A</v>
      </c>
      <c r="BS186" s="22" t="e">
        <f t="shared" si="169"/>
        <v>#N/A</v>
      </c>
      <c r="BT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">
      <c r="A187" s="10">
        <f t="shared" si="161"/>
        <v>184</v>
      </c>
      <c r="B187" s="72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110.03199999999985</v>
      </c>
      <c r="D187" s="11">
        <f t="shared" si="140"/>
        <v>29.338523894513862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1075.8426405892287</v>
      </c>
      <c r="H187" s="66">
        <f t="shared" si="110"/>
        <v>536.07032911627812</v>
      </c>
      <c r="I187" s="6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0</v>
      </c>
      <c r="O187" s="13">
        <f>N187*VLOOKUP('Données projet'!$B$9,Paramètres!$A$1:$I$89,3,0)*VLOOKUP('Données projet'!$B$9,Paramètres!$A$1:$I$89,5,0)</f>
        <v>0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148.39628895278571</v>
      </c>
      <c r="T187" s="59">
        <f t="shared" si="142"/>
        <v>361.07991692964788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5.8501857833263262</v>
      </c>
      <c r="AA187" s="21">
        <f>EXP(-LN(2)/25)*AA186+(1-EXP(-LN(2)/25))/(LN(2)/25)*Calculateur!V187*Calculateur!X187*VLOOKUP('Données projet'!$B$9,Paramètres!$A$1:$I$89,3,0)*0.475*44/12</f>
        <v>0.20106332097959334</v>
      </c>
      <c r="AB187" s="21">
        <f>EXP(-LN(2)/2)*AB186+(1-EXP(-LN(2)/2))/(LN(2)/2)*V187*Y187*VLOOKUP('Données projet'!$B$9,Paramètres!$A$1:$I$89,3,0)*0.475*44/12</f>
        <v>2.9753359733445011E-25</v>
      </c>
      <c r="AC187" s="22">
        <f t="shared" si="163"/>
        <v>6.0512491043059198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21.709999999999326</v>
      </c>
      <c r="AJ187" s="13">
        <f>AI187*VLOOKUP('Données projet'!$B$10,Paramètres!$A$1:$I$89,3,0)*VLOOKUP('Données projet'!$B$10,Paramètres!$A$1:$I$89,5,0)</f>
        <v>21.675263999999331</v>
      </c>
      <c r="AK187" s="13">
        <f t="shared" si="164"/>
        <v>6.9824881123897624</v>
      </c>
      <c r="AL187" s="20">
        <f t="shared" si="165"/>
        <v>49.91225159574433</v>
      </c>
      <c r="AM187" s="59">
        <f t="shared" si="113"/>
        <v>343.24558492907767</v>
      </c>
      <c r="AN187" s="59">
        <f ca="1">AVERAGE(OFFSET($AM$3,0,0,'Données projet'!$E$10+1,1))-AVERAGE(OFFSET($H$3,0,0,'Données projet'!$E$10+1,1))</f>
        <v>525.29195699741149</v>
      </c>
      <c r="AO187" s="59">
        <f t="shared" si="144"/>
        <v>125.99812193007153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337.55572878395628</v>
      </c>
      <c r="AV187" s="21">
        <f>EXP(-LN(2)/25)*AV186+(1-EXP(-LN(2)/25))/(LN(2)/25)*Calculateur!AQ187*Calculateur!AS187*VLOOKUP('Données projet'!$B$10,Paramètres!$A$1:$I$89,3,0)*0.475*44/12</f>
        <v>0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337.55572878395628</v>
      </c>
      <c r="AY187" s="7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 t="e">
        <f>BD187*VLOOKUP('Données projet'!$B$11,Paramètres!$A$1:$I$89,3,0)*VLOOKUP('Données projet'!$B$11,Paramètres!$A$1:$I$89,5,0)</f>
        <v>#N/A</v>
      </c>
      <c r="BF187" s="13" t="e">
        <f t="shared" si="167"/>
        <v>#N/A</v>
      </c>
      <c r="BG187" s="20" t="e">
        <f t="shared" si="168"/>
        <v>#N/A</v>
      </c>
      <c r="BH187" s="59" t="e">
        <f t="shared" si="116"/>
        <v>#N/A</v>
      </c>
      <c r="BI187" s="59" t="e">
        <f ca="1">AVERAGE(OFFSET($BH$3,0,0,'Données projet'!$E$11+1,1))-AVERAGE(OFFSET($H$3,0,0,'Données projet'!$E$11+1,1))</f>
        <v>#N/A</v>
      </c>
      <c r="BJ187" s="59" t="e">
        <f t="shared" si="146"/>
        <v>#N/A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 t="e">
        <f>EXP(-LN(2)/35)*BP186+(1-EXP(-LN(2)/35))/(LN(2)/35)*BL187*BM187*VLOOKUP('Données projet'!$B$11,Paramètres!$A$1:$I$89,3,0)*0.475*44/12</f>
        <v>#N/A</v>
      </c>
      <c r="BQ187" s="21" t="e">
        <f>EXP(-LN(2)/25)*BQ186+(1-EXP(-LN(2)/25))/(LN(2)/25)*Calculateur!BL187*Calculateur!BN187*VLOOKUP('Données projet'!$B$11,Paramètres!$A$1:$I$89,3,0)*0.475*44/12</f>
        <v>#N/A</v>
      </c>
      <c r="BR187" s="21" t="e">
        <f>EXP(-LN(2)/2)*BR186+(1-EXP(-LN(2)/2))/(LN(2)/2)*BL187*BO187*VLOOKUP('Données projet'!$B$11,Paramètres!$A$1:$I$89,3,0)*0.475*44/12</f>
        <v>#N/A</v>
      </c>
      <c r="BS187" s="22" t="e">
        <f t="shared" si="169"/>
        <v>#N/A</v>
      </c>
      <c r="BT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">
      <c r="A188" s="10">
        <f t="shared" si="161"/>
        <v>185</v>
      </c>
      <c r="B188" s="72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110.62999999999985</v>
      </c>
      <c r="D188" s="11">
        <f t="shared" si="140"/>
        <v>29.479368114770981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1081.5459994824416</v>
      </c>
      <c r="H188" s="66">
        <f t="shared" si="110"/>
        <v>537.35714946655912</v>
      </c>
      <c r="I188" s="6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0</v>
      </c>
      <c r="O188" s="13">
        <f>N188*VLOOKUP('Données projet'!$B$9,Paramètres!$A$1:$I$89,3,0)*VLOOKUP('Données projet'!$B$9,Paramètres!$A$1:$I$89,5,0)</f>
        <v>0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148.39628895278571</v>
      </c>
      <c r="T188" s="59">
        <f t="shared" si="142"/>
        <v>361.07991692964788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5.7354672083762885</v>
      </c>
      <c r="AA188" s="21">
        <f>EXP(-LN(2)/25)*AA187+(1-EXP(-LN(2)/25))/(LN(2)/25)*Calculateur!V188*Calculateur!X188*VLOOKUP('Données projet'!$B$9,Paramètres!$A$1:$I$89,3,0)*0.475*44/12</f>
        <v>0.19556523389394584</v>
      </c>
      <c r="AB188" s="21">
        <f>EXP(-LN(2)/2)*AB187+(1-EXP(-LN(2)/2))/(LN(2)/2)*V188*Y188*VLOOKUP('Données projet'!$B$9,Paramètres!$A$1:$I$89,3,0)*0.475*44/12</f>
        <v>2.1038802430601735E-25</v>
      </c>
      <c r="AC188" s="22">
        <f t="shared" si="163"/>
        <v>5.9310324422702347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21.709999999999326</v>
      </c>
      <c r="AJ188" s="13">
        <f>AI188*VLOOKUP('Données projet'!$B$10,Paramètres!$A$1:$I$89,3,0)*VLOOKUP('Données projet'!$B$10,Paramètres!$A$1:$I$89,5,0)</f>
        <v>21.675263999999331</v>
      </c>
      <c r="AK188" s="13">
        <f t="shared" si="164"/>
        <v>6.9824881123897624</v>
      </c>
      <c r="AL188" s="20">
        <f t="shared" si="165"/>
        <v>49.91225159574433</v>
      </c>
      <c r="AM188" s="59">
        <f t="shared" si="113"/>
        <v>343.24558492907767</v>
      </c>
      <c r="AN188" s="59">
        <f ca="1">AVERAGE(OFFSET($AM$3,0,0,'Données projet'!$E$10+1,1))-AVERAGE(OFFSET($H$3,0,0,'Données projet'!$E$10+1,1))</f>
        <v>525.29195699741149</v>
      </c>
      <c r="AO188" s="59">
        <f t="shared" si="144"/>
        <v>125.99812193007153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330.93646683116765</v>
      </c>
      <c r="AV188" s="21">
        <f>EXP(-LN(2)/25)*AV187+(1-EXP(-LN(2)/25))/(LN(2)/25)*Calculateur!AQ188*Calculateur!AS188*VLOOKUP('Données projet'!$B$10,Paramètres!$A$1:$I$89,3,0)*0.475*44/12</f>
        <v>0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330.93646683116765</v>
      </c>
      <c r="AY188" s="7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 t="e">
        <f>BD188*VLOOKUP('Données projet'!$B$11,Paramètres!$A$1:$I$89,3,0)*VLOOKUP('Données projet'!$B$11,Paramètres!$A$1:$I$89,5,0)</f>
        <v>#N/A</v>
      </c>
      <c r="BF188" s="13" t="e">
        <f t="shared" si="167"/>
        <v>#N/A</v>
      </c>
      <c r="BG188" s="20" t="e">
        <f t="shared" si="168"/>
        <v>#N/A</v>
      </c>
      <c r="BH188" s="59" t="e">
        <f t="shared" si="116"/>
        <v>#N/A</v>
      </c>
      <c r="BI188" s="59" t="e">
        <f ca="1">AVERAGE(OFFSET($BH$3,0,0,'Données projet'!$E$11+1,1))-AVERAGE(OFFSET($H$3,0,0,'Données projet'!$E$11+1,1))</f>
        <v>#N/A</v>
      </c>
      <c r="BJ188" s="59" t="e">
        <f t="shared" si="146"/>
        <v>#N/A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 t="e">
        <f>EXP(-LN(2)/35)*BP187+(1-EXP(-LN(2)/35))/(LN(2)/35)*BL188*BM188*VLOOKUP('Données projet'!$B$11,Paramètres!$A$1:$I$89,3,0)*0.475*44/12</f>
        <v>#N/A</v>
      </c>
      <c r="BQ188" s="21" t="e">
        <f>EXP(-LN(2)/25)*BQ187+(1-EXP(-LN(2)/25))/(LN(2)/25)*Calculateur!BL188*Calculateur!BN188*VLOOKUP('Données projet'!$B$11,Paramètres!$A$1:$I$89,3,0)*0.475*44/12</f>
        <v>#N/A</v>
      </c>
      <c r="BR188" s="21" t="e">
        <f>EXP(-LN(2)/2)*BR187+(1-EXP(-LN(2)/2))/(LN(2)/2)*BL188*BO188*VLOOKUP('Données projet'!$B$11,Paramètres!$A$1:$I$89,3,0)*0.475*44/12</f>
        <v>#N/A</v>
      </c>
      <c r="BS188" s="22" t="e">
        <f t="shared" si="169"/>
        <v>#N/A</v>
      </c>
      <c r="BT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">
      <c r="A189" s="10">
        <f t="shared" si="161"/>
        <v>186</v>
      </c>
      <c r="B189" s="72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111.22799999999985</v>
      </c>
      <c r="D189" s="11">
        <f t="shared" si="140"/>
        <v>29.620123744783776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1087.2486745211368</v>
      </c>
      <c r="H189" s="66">
        <f t="shared" si="110"/>
        <v>538.6438155221648</v>
      </c>
      <c r="I189" s="6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0</v>
      </c>
      <c r="O189" s="13">
        <f>N189*VLOOKUP('Données projet'!$B$9,Paramètres!$A$1:$I$89,3,0)*VLOOKUP('Données projet'!$B$9,Paramètres!$A$1:$I$89,5,0)</f>
        <v>0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148.39628895278571</v>
      </c>
      <c r="T189" s="59">
        <f t="shared" si="142"/>
        <v>361.07991692964788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5.6229981947095995</v>
      </c>
      <c r="AA189" s="21">
        <f>EXP(-LN(2)/25)*AA188+(1-EXP(-LN(2)/25))/(LN(2)/25)*Calculateur!V189*Calculateur!X189*VLOOKUP('Données projet'!$B$9,Paramètres!$A$1:$I$89,3,0)*0.475*44/12</f>
        <v>0.1902174922887872</v>
      </c>
      <c r="AB189" s="21">
        <f>EXP(-LN(2)/2)*AB188+(1-EXP(-LN(2)/2))/(LN(2)/2)*V189*Y189*VLOOKUP('Données projet'!$B$9,Paramètres!$A$1:$I$89,3,0)*0.475*44/12</f>
        <v>1.4876679866722505E-25</v>
      </c>
      <c r="AC189" s="22">
        <f t="shared" si="163"/>
        <v>5.8132156869983866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21.709999999999326</v>
      </c>
      <c r="AJ189" s="13">
        <f>AI189*VLOOKUP('Données projet'!$B$10,Paramètres!$A$1:$I$89,3,0)*VLOOKUP('Données projet'!$B$10,Paramètres!$A$1:$I$89,5,0)</f>
        <v>21.675263999999331</v>
      </c>
      <c r="AK189" s="13">
        <f t="shared" si="164"/>
        <v>6.9824881123897624</v>
      </c>
      <c r="AL189" s="20">
        <f t="shared" si="165"/>
        <v>49.91225159574433</v>
      </c>
      <c r="AM189" s="59">
        <f t="shared" si="113"/>
        <v>343.24558492907767</v>
      </c>
      <c r="AN189" s="59">
        <f ca="1">AVERAGE(OFFSET($AM$3,0,0,'Données projet'!$E$10+1,1))-AVERAGE(OFFSET($H$3,0,0,'Données projet'!$E$10+1,1))</f>
        <v>525.29195699741149</v>
      </c>
      <c r="AO189" s="59">
        <f t="shared" si="144"/>
        <v>125.99812193007153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324.44700456792208</v>
      </c>
      <c r="AV189" s="21">
        <f>EXP(-LN(2)/25)*AV188+(1-EXP(-LN(2)/25))/(LN(2)/25)*Calculateur!AQ189*Calculateur!AS189*VLOOKUP('Données projet'!$B$10,Paramètres!$A$1:$I$89,3,0)*0.475*44/12</f>
        <v>0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324.44700456792208</v>
      </c>
      <c r="AY189" s="7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 t="e">
        <f>BD189*VLOOKUP('Données projet'!$B$11,Paramètres!$A$1:$I$89,3,0)*VLOOKUP('Données projet'!$B$11,Paramètres!$A$1:$I$89,5,0)</f>
        <v>#N/A</v>
      </c>
      <c r="BF189" s="13" t="e">
        <f t="shared" si="167"/>
        <v>#N/A</v>
      </c>
      <c r="BG189" s="20" t="e">
        <f t="shared" si="168"/>
        <v>#N/A</v>
      </c>
      <c r="BH189" s="59" t="e">
        <f t="shared" si="116"/>
        <v>#N/A</v>
      </c>
      <c r="BI189" s="59" t="e">
        <f ca="1">AVERAGE(OFFSET($BH$3,0,0,'Données projet'!$E$11+1,1))-AVERAGE(OFFSET($H$3,0,0,'Données projet'!$E$11+1,1))</f>
        <v>#N/A</v>
      </c>
      <c r="BJ189" s="59" t="e">
        <f t="shared" si="146"/>
        <v>#N/A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 t="e">
        <f>EXP(-LN(2)/35)*BP188+(1-EXP(-LN(2)/35))/(LN(2)/35)*BL189*BM189*VLOOKUP('Données projet'!$B$11,Paramètres!$A$1:$I$89,3,0)*0.475*44/12</f>
        <v>#N/A</v>
      </c>
      <c r="BQ189" s="21" t="e">
        <f>EXP(-LN(2)/25)*BQ188+(1-EXP(-LN(2)/25))/(LN(2)/25)*Calculateur!BL189*Calculateur!BN189*VLOOKUP('Données projet'!$B$11,Paramètres!$A$1:$I$89,3,0)*0.475*44/12</f>
        <v>#N/A</v>
      </c>
      <c r="BR189" s="21" t="e">
        <f>EXP(-LN(2)/2)*BR188+(1-EXP(-LN(2)/2))/(LN(2)/2)*BL189*BO189*VLOOKUP('Données projet'!$B$11,Paramètres!$A$1:$I$89,3,0)*0.475*44/12</f>
        <v>#N/A</v>
      </c>
      <c r="BS189" s="22" t="e">
        <f t="shared" si="169"/>
        <v>#N/A</v>
      </c>
      <c r="BT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">
      <c r="A190" s="10">
        <f t="shared" si="161"/>
        <v>187</v>
      </c>
      <c r="B190" s="72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111.82599999999985</v>
      </c>
      <c r="D190" s="11">
        <f t="shared" si="140"/>
        <v>29.760791316122987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1092.9506698086675</v>
      </c>
      <c r="H190" s="66">
        <f t="shared" si="110"/>
        <v>539.93032820891392</v>
      </c>
      <c r="I190" s="6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0</v>
      </c>
      <c r="O190" s="13">
        <f>N190*VLOOKUP('Données projet'!$B$9,Paramètres!$A$1:$I$89,3,0)*VLOOKUP('Données projet'!$B$9,Paramètres!$A$1:$I$89,5,0)</f>
        <v>0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148.39628895278571</v>
      </c>
      <c r="T190" s="59">
        <f t="shared" si="142"/>
        <v>361.07991692964788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5.5127346298015896</v>
      </c>
      <c r="AA190" s="21">
        <f>EXP(-LN(2)/25)*AA189+(1-EXP(-LN(2)/25))/(LN(2)/25)*Calculateur!V190*Calculateur!X190*VLOOKUP('Données projet'!$B$9,Paramètres!$A$1:$I$89,3,0)*0.475*44/12</f>
        <v>0.18501598495904714</v>
      </c>
      <c r="AB190" s="21">
        <f>EXP(-LN(2)/2)*AB189+(1-EXP(-LN(2)/2))/(LN(2)/2)*V190*Y190*VLOOKUP('Données projet'!$B$9,Paramètres!$A$1:$I$89,3,0)*0.475*44/12</f>
        <v>1.0519401215300867E-25</v>
      </c>
      <c r="AC190" s="22">
        <f t="shared" si="163"/>
        <v>5.6977506147606363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21.709999999999326</v>
      </c>
      <c r="AJ190" s="13">
        <f>AI190*VLOOKUP('Données projet'!$B$10,Paramètres!$A$1:$I$89,3,0)*VLOOKUP('Données projet'!$B$10,Paramètres!$A$1:$I$89,5,0)</f>
        <v>21.675263999999331</v>
      </c>
      <c r="AK190" s="13">
        <f t="shared" si="164"/>
        <v>6.9824881123897624</v>
      </c>
      <c r="AL190" s="20">
        <f t="shared" si="165"/>
        <v>49.91225159574433</v>
      </c>
      <c r="AM190" s="59">
        <f t="shared" si="113"/>
        <v>343.24558492907767</v>
      </c>
      <c r="AN190" s="59">
        <f ca="1">AVERAGE(OFFSET($AM$3,0,0,'Données projet'!$E$10+1,1))-AVERAGE(OFFSET($H$3,0,0,'Données projet'!$E$10+1,1))</f>
        <v>525.29195699741149</v>
      </c>
      <c r="AO190" s="59">
        <f t="shared" si="144"/>
        <v>125.99812193007153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318.08479670147761</v>
      </c>
      <c r="AV190" s="21">
        <f>EXP(-LN(2)/25)*AV189+(1-EXP(-LN(2)/25))/(LN(2)/25)*Calculateur!AQ190*Calculateur!AS190*VLOOKUP('Données projet'!$B$10,Paramètres!$A$1:$I$89,3,0)*0.475*44/12</f>
        <v>0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318.08479670147761</v>
      </c>
      <c r="AY190" s="7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 t="e">
        <f>BD190*VLOOKUP('Données projet'!$B$11,Paramètres!$A$1:$I$89,3,0)*VLOOKUP('Données projet'!$B$11,Paramètres!$A$1:$I$89,5,0)</f>
        <v>#N/A</v>
      </c>
      <c r="BF190" s="13" t="e">
        <f t="shared" si="167"/>
        <v>#N/A</v>
      </c>
      <c r="BG190" s="20" t="e">
        <f t="shared" si="168"/>
        <v>#N/A</v>
      </c>
      <c r="BH190" s="59" t="e">
        <f t="shared" si="116"/>
        <v>#N/A</v>
      </c>
      <c r="BI190" s="59" t="e">
        <f ca="1">AVERAGE(OFFSET($BH$3,0,0,'Données projet'!$E$11+1,1))-AVERAGE(OFFSET($H$3,0,0,'Données projet'!$E$11+1,1))</f>
        <v>#N/A</v>
      </c>
      <c r="BJ190" s="59" t="e">
        <f t="shared" si="146"/>
        <v>#N/A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 t="e">
        <f>EXP(-LN(2)/35)*BP189+(1-EXP(-LN(2)/35))/(LN(2)/35)*BL190*BM190*VLOOKUP('Données projet'!$B$11,Paramètres!$A$1:$I$89,3,0)*0.475*44/12</f>
        <v>#N/A</v>
      </c>
      <c r="BQ190" s="21" t="e">
        <f>EXP(-LN(2)/25)*BQ189+(1-EXP(-LN(2)/25))/(LN(2)/25)*Calculateur!BL190*Calculateur!BN190*VLOOKUP('Données projet'!$B$11,Paramètres!$A$1:$I$89,3,0)*0.475*44/12</f>
        <v>#N/A</v>
      </c>
      <c r="BR190" s="21" t="e">
        <f>EXP(-LN(2)/2)*BR189+(1-EXP(-LN(2)/2))/(LN(2)/2)*BL190*BO190*VLOOKUP('Données projet'!$B$11,Paramètres!$A$1:$I$89,3,0)*0.475*44/12</f>
        <v>#N/A</v>
      </c>
      <c r="BS190" s="22" t="e">
        <f t="shared" si="169"/>
        <v>#N/A</v>
      </c>
      <c r="BT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">
      <c r="A191" s="10">
        <f t="shared" si="161"/>
        <v>188</v>
      </c>
      <c r="B191" s="72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112.42399999999985</v>
      </c>
      <c r="D191" s="11">
        <f t="shared" si="140"/>
        <v>29.901371354345098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1098.6519894019611</v>
      </c>
      <c r="H191" s="66">
        <f t="shared" si="110"/>
        <v>541.21668844215083</v>
      </c>
      <c r="I191" s="6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0</v>
      </c>
      <c r="O191" s="13">
        <f>N191*VLOOKUP('Données projet'!$B$9,Paramètres!$A$1:$I$89,3,0)*VLOOKUP('Données projet'!$B$9,Paramètres!$A$1:$I$89,5,0)</f>
        <v>0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148.39628895278571</v>
      </c>
      <c r="T191" s="59">
        <f t="shared" si="142"/>
        <v>361.07991692964788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5.4046332661472913</v>
      </c>
      <c r="AA191" s="21">
        <f>EXP(-LN(2)/25)*AA190+(1-EXP(-LN(2)/25))/(LN(2)/25)*Calculateur!V191*Calculateur!X191*VLOOKUP('Données projet'!$B$9,Paramètres!$A$1:$I$89,3,0)*0.475*44/12</f>
        <v>0.17995671312077421</v>
      </c>
      <c r="AB191" s="21">
        <f>EXP(-LN(2)/2)*AB190+(1-EXP(-LN(2)/2))/(LN(2)/2)*V191*Y191*VLOOKUP('Données projet'!$B$9,Paramètres!$A$1:$I$89,3,0)*0.475*44/12</f>
        <v>7.4383399333612527E-26</v>
      </c>
      <c r="AC191" s="22">
        <f t="shared" si="163"/>
        <v>5.5845899792680651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21.709999999999326</v>
      </c>
      <c r="AJ191" s="13">
        <f>AI191*VLOOKUP('Données projet'!$B$10,Paramètres!$A$1:$I$89,3,0)*VLOOKUP('Données projet'!$B$10,Paramètres!$A$1:$I$89,5,0)</f>
        <v>21.675263999999331</v>
      </c>
      <c r="AK191" s="13">
        <f t="shared" si="164"/>
        <v>6.9824881123897624</v>
      </c>
      <c r="AL191" s="20">
        <f t="shared" si="165"/>
        <v>49.91225159574433</v>
      </c>
      <c r="AM191" s="59">
        <f t="shared" si="113"/>
        <v>343.24558492907767</v>
      </c>
      <c r="AN191" s="59">
        <f ca="1">AVERAGE(OFFSET($AM$3,0,0,'Données projet'!$E$10+1,1))-AVERAGE(OFFSET($H$3,0,0,'Données projet'!$E$10+1,1))</f>
        <v>525.29195699741149</v>
      </c>
      <c r="AO191" s="59">
        <f t="shared" si="144"/>
        <v>125.99812193007153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311.8473478507305</v>
      </c>
      <c r="AV191" s="21">
        <f>EXP(-LN(2)/25)*AV190+(1-EXP(-LN(2)/25))/(LN(2)/25)*Calculateur!AQ191*Calculateur!AS191*VLOOKUP('Données projet'!$B$10,Paramètres!$A$1:$I$89,3,0)*0.475*44/12</f>
        <v>0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311.8473478507305</v>
      </c>
      <c r="AY191" s="7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 t="e">
        <f>BD191*VLOOKUP('Données projet'!$B$11,Paramètres!$A$1:$I$89,3,0)*VLOOKUP('Données projet'!$B$11,Paramètres!$A$1:$I$89,5,0)</f>
        <v>#N/A</v>
      </c>
      <c r="BF191" s="13" t="e">
        <f t="shared" si="167"/>
        <v>#N/A</v>
      </c>
      <c r="BG191" s="20" t="e">
        <f t="shared" si="168"/>
        <v>#N/A</v>
      </c>
      <c r="BH191" s="59" t="e">
        <f t="shared" si="116"/>
        <v>#N/A</v>
      </c>
      <c r="BI191" s="59" t="e">
        <f ca="1">AVERAGE(OFFSET($BH$3,0,0,'Données projet'!$E$11+1,1))-AVERAGE(OFFSET($H$3,0,0,'Données projet'!$E$11+1,1))</f>
        <v>#N/A</v>
      </c>
      <c r="BJ191" s="59" t="e">
        <f t="shared" si="146"/>
        <v>#N/A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 t="e">
        <f>EXP(-LN(2)/35)*BP190+(1-EXP(-LN(2)/35))/(LN(2)/35)*BL191*BM191*VLOOKUP('Données projet'!$B$11,Paramètres!$A$1:$I$89,3,0)*0.475*44/12</f>
        <v>#N/A</v>
      </c>
      <c r="BQ191" s="21" t="e">
        <f>EXP(-LN(2)/25)*BQ190+(1-EXP(-LN(2)/25))/(LN(2)/25)*Calculateur!BL191*Calculateur!BN191*VLOOKUP('Données projet'!$B$11,Paramètres!$A$1:$I$89,3,0)*0.475*44/12</f>
        <v>#N/A</v>
      </c>
      <c r="BR191" s="21" t="e">
        <f>EXP(-LN(2)/2)*BR190+(1-EXP(-LN(2)/2))/(LN(2)/2)*BL191*BO191*VLOOKUP('Données projet'!$B$11,Paramètres!$A$1:$I$89,3,0)*0.475*44/12</f>
        <v>#N/A</v>
      </c>
      <c r="BS191" s="22" t="e">
        <f t="shared" si="169"/>
        <v>#N/A</v>
      </c>
      <c r="BT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">
      <c r="A192" s="10">
        <f t="shared" si="161"/>
        <v>189</v>
      </c>
      <c r="B192" s="72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113.02199999999985</v>
      </c>
      <c r="D192" s="11">
        <f t="shared" si="140"/>
        <v>30.041864379091798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1104.3526373122866</v>
      </c>
      <c r="H192" s="66">
        <f t="shared" si="110"/>
        <v>542.50289712691801</v>
      </c>
      <c r="I192" s="6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0</v>
      </c>
      <c r="O192" s="13">
        <f>N192*VLOOKUP('Données projet'!$B$9,Paramètres!$A$1:$I$89,3,0)*VLOOKUP('Données projet'!$B$9,Paramètres!$A$1:$I$89,5,0)</f>
        <v>0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148.39628895278571</v>
      </c>
      <c r="T192" s="59">
        <f t="shared" si="142"/>
        <v>361.07991692964788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5.2986517042989325</v>
      </c>
      <c r="AA192" s="21">
        <f>EXP(-LN(2)/25)*AA191+(1-EXP(-LN(2)/25))/(LN(2)/25)*Calculateur!V192*Calculateur!X192*VLOOKUP('Données projet'!$B$9,Paramètres!$A$1:$I$89,3,0)*0.475*44/12</f>
        <v>0.17503578733697439</v>
      </c>
      <c r="AB192" s="21">
        <f>EXP(-LN(2)/2)*AB191+(1-EXP(-LN(2)/2))/(LN(2)/2)*V192*Y192*VLOOKUP('Données projet'!$B$9,Paramètres!$A$1:$I$89,3,0)*0.475*44/12</f>
        <v>5.2597006076504337E-26</v>
      </c>
      <c r="AC192" s="22">
        <f t="shared" si="163"/>
        <v>5.4736874916359071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21.709999999999326</v>
      </c>
      <c r="AJ192" s="13">
        <f>AI192*VLOOKUP('Données projet'!$B$10,Paramètres!$A$1:$I$89,3,0)*VLOOKUP('Données projet'!$B$10,Paramètres!$A$1:$I$89,5,0)</f>
        <v>21.675263999999331</v>
      </c>
      <c r="AK192" s="13">
        <f t="shared" si="164"/>
        <v>6.9824881123897624</v>
      </c>
      <c r="AL192" s="20">
        <f t="shared" si="165"/>
        <v>49.91225159574433</v>
      </c>
      <c r="AM192" s="59">
        <f t="shared" si="113"/>
        <v>343.24558492907767</v>
      </c>
      <c r="AN192" s="59">
        <f ca="1">AVERAGE(OFFSET($AM$3,0,0,'Données projet'!$E$10+1,1))-AVERAGE(OFFSET($H$3,0,0,'Données projet'!$E$10+1,1))</f>
        <v>525.29195699741149</v>
      </c>
      <c r="AO192" s="59">
        <f t="shared" si="144"/>
        <v>125.99812193007153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305.73221156747837</v>
      </c>
      <c r="AV192" s="21">
        <f>EXP(-LN(2)/25)*AV191+(1-EXP(-LN(2)/25))/(LN(2)/25)*Calculateur!AQ192*Calculateur!AS192*VLOOKUP('Données projet'!$B$10,Paramètres!$A$1:$I$89,3,0)*0.475*44/12</f>
        <v>0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305.73221156747837</v>
      </c>
      <c r="AY192" s="7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 t="e">
        <f>BD192*VLOOKUP('Données projet'!$B$11,Paramètres!$A$1:$I$89,3,0)*VLOOKUP('Données projet'!$B$11,Paramètres!$A$1:$I$89,5,0)</f>
        <v>#N/A</v>
      </c>
      <c r="BF192" s="13" t="e">
        <f t="shared" si="167"/>
        <v>#N/A</v>
      </c>
      <c r="BG192" s="20" t="e">
        <f t="shared" si="168"/>
        <v>#N/A</v>
      </c>
      <c r="BH192" s="59" t="e">
        <f t="shared" si="116"/>
        <v>#N/A</v>
      </c>
      <c r="BI192" s="59" t="e">
        <f ca="1">AVERAGE(OFFSET($BH$3,0,0,'Données projet'!$E$11+1,1))-AVERAGE(OFFSET($H$3,0,0,'Données projet'!$E$11+1,1))</f>
        <v>#N/A</v>
      </c>
      <c r="BJ192" s="59" t="e">
        <f t="shared" si="146"/>
        <v>#N/A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 t="e">
        <f>EXP(-LN(2)/35)*BP191+(1-EXP(-LN(2)/35))/(LN(2)/35)*BL192*BM192*VLOOKUP('Données projet'!$B$11,Paramètres!$A$1:$I$89,3,0)*0.475*44/12</f>
        <v>#N/A</v>
      </c>
      <c r="BQ192" s="21" t="e">
        <f>EXP(-LN(2)/25)*BQ191+(1-EXP(-LN(2)/25))/(LN(2)/25)*Calculateur!BL192*Calculateur!BN192*VLOOKUP('Données projet'!$B$11,Paramètres!$A$1:$I$89,3,0)*0.475*44/12</f>
        <v>#N/A</v>
      </c>
      <c r="BR192" s="21" t="e">
        <f>EXP(-LN(2)/2)*BR191+(1-EXP(-LN(2)/2))/(LN(2)/2)*BL192*BO192*VLOOKUP('Données projet'!$B$11,Paramètres!$A$1:$I$89,3,0)*0.475*44/12</f>
        <v>#N/A</v>
      </c>
      <c r="BS192" s="22" t="e">
        <f t="shared" si="169"/>
        <v>#N/A</v>
      </c>
      <c r="BT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">
      <c r="A193" s="10">
        <f t="shared" si="161"/>
        <v>190</v>
      </c>
      <c r="B193" s="72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113.61999999999985</v>
      </c>
      <c r="D193" s="11">
        <f t="shared" si="140"/>
        <v>30.182270904187739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1110.0526175060095</v>
      </c>
      <c r="H193" s="66">
        <f t="shared" si="110"/>
        <v>543.78895515812667</v>
      </c>
      <c r="I193" s="6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0</v>
      </c>
      <c r="O193" s="13">
        <f>N193*VLOOKUP('Données projet'!$B$9,Paramètres!$A$1:$I$89,3,0)*VLOOKUP('Données projet'!$B$9,Paramètres!$A$1:$I$89,5,0)</f>
        <v>0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148.39628895278571</v>
      </c>
      <c r="T193" s="59">
        <f t="shared" si="142"/>
        <v>361.07991692964788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5.1947483762360509</v>
      </c>
      <c r="AA193" s="21">
        <f>EXP(-LN(2)/25)*AA192+(1-EXP(-LN(2)/25))/(LN(2)/25)*Calculateur!V193*Calculateur!X193*VLOOKUP('Données projet'!$B$9,Paramètres!$A$1:$I$89,3,0)*0.475*44/12</f>
        <v>0.17024942452751282</v>
      </c>
      <c r="AB193" s="21">
        <f>EXP(-LN(2)/2)*AB192+(1-EXP(-LN(2)/2))/(LN(2)/2)*V193*Y193*VLOOKUP('Données projet'!$B$9,Paramètres!$A$1:$I$89,3,0)*0.475*44/12</f>
        <v>3.7191699666806263E-26</v>
      </c>
      <c r="AC193" s="22">
        <f t="shared" si="163"/>
        <v>5.3649978007635637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21.709999999999326</v>
      </c>
      <c r="AJ193" s="13">
        <f>AI193*VLOOKUP('Données projet'!$B$10,Paramètres!$A$1:$I$89,3,0)*VLOOKUP('Données projet'!$B$10,Paramètres!$A$1:$I$89,5,0)</f>
        <v>21.675263999999331</v>
      </c>
      <c r="AK193" s="13">
        <f t="shared" si="164"/>
        <v>6.9824881123897624</v>
      </c>
      <c r="AL193" s="20">
        <f t="shared" si="165"/>
        <v>49.91225159574433</v>
      </c>
      <c r="AM193" s="59">
        <f t="shared" si="113"/>
        <v>343.24558492907767</v>
      </c>
      <c r="AN193" s="59">
        <f ca="1">AVERAGE(OFFSET($AM$3,0,0,'Données projet'!$E$10+1,1))-AVERAGE(OFFSET($H$3,0,0,'Données projet'!$E$10+1,1))</f>
        <v>525.29195699741149</v>
      </c>
      <c r="AO193" s="59">
        <f t="shared" si="144"/>
        <v>125.99812193007153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299.73698937687595</v>
      </c>
      <c r="AV193" s="21">
        <f>EXP(-LN(2)/25)*AV192+(1-EXP(-LN(2)/25))/(LN(2)/25)*Calculateur!AQ193*Calculateur!AS193*VLOOKUP('Données projet'!$B$10,Paramètres!$A$1:$I$89,3,0)*0.475*44/12</f>
        <v>0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299.73698937687595</v>
      </c>
      <c r="AY193" s="7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 t="e">
        <f>BD193*VLOOKUP('Données projet'!$B$11,Paramètres!$A$1:$I$89,3,0)*VLOOKUP('Données projet'!$B$11,Paramètres!$A$1:$I$89,5,0)</f>
        <v>#N/A</v>
      </c>
      <c r="BF193" s="13" t="e">
        <f t="shared" si="167"/>
        <v>#N/A</v>
      </c>
      <c r="BG193" s="20" t="e">
        <f t="shared" si="168"/>
        <v>#N/A</v>
      </c>
      <c r="BH193" s="59" t="e">
        <f t="shared" si="116"/>
        <v>#N/A</v>
      </c>
      <c r="BI193" s="59" t="e">
        <f ca="1">AVERAGE(OFFSET($BH$3,0,0,'Données projet'!$E$11+1,1))-AVERAGE(OFFSET($H$3,0,0,'Données projet'!$E$11+1,1))</f>
        <v>#N/A</v>
      </c>
      <c r="BJ193" s="59" t="e">
        <f t="shared" si="146"/>
        <v>#N/A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 t="e">
        <f>EXP(-LN(2)/35)*BP192+(1-EXP(-LN(2)/35))/(LN(2)/35)*BL193*BM193*VLOOKUP('Données projet'!$B$11,Paramètres!$A$1:$I$89,3,0)*0.475*44/12</f>
        <v>#N/A</v>
      </c>
      <c r="BQ193" s="21" t="e">
        <f>EXP(-LN(2)/25)*BQ192+(1-EXP(-LN(2)/25))/(LN(2)/25)*Calculateur!BL193*Calculateur!BN193*VLOOKUP('Données projet'!$B$11,Paramètres!$A$1:$I$89,3,0)*0.475*44/12</f>
        <v>#N/A</v>
      </c>
      <c r="BR193" s="21" t="e">
        <f>EXP(-LN(2)/2)*BR192+(1-EXP(-LN(2)/2))/(LN(2)/2)*BL193*BO193*VLOOKUP('Données projet'!$B$11,Paramètres!$A$1:$I$89,3,0)*0.475*44/12</f>
        <v>#N/A</v>
      </c>
      <c r="BS193" s="22" t="e">
        <f t="shared" si="169"/>
        <v>#N/A</v>
      </c>
      <c r="BT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">
      <c r="A194" s="10">
        <f t="shared" si="161"/>
        <v>191</v>
      </c>
      <c r="B194" s="72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114.21799999999985</v>
      </c>
      <c r="D194" s="11">
        <f t="shared" si="140"/>
        <v>30.322591437735614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1115.7519339053265</v>
      </c>
      <c r="H194" s="66">
        <f t="shared" si="110"/>
        <v>545.07486342072252</v>
      </c>
      <c r="I194" s="6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0</v>
      </c>
      <c r="O194" s="13">
        <f>N194*VLOOKUP('Données projet'!$B$9,Paramètres!$A$1:$I$89,3,0)*VLOOKUP('Données projet'!$B$9,Paramètres!$A$1:$I$89,5,0)</f>
        <v>0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148.39628895278571</v>
      </c>
      <c r="T194" s="59">
        <f t="shared" si="142"/>
        <v>361.07991692964788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5.0928825290617095</v>
      </c>
      <c r="AA194" s="21">
        <f>EXP(-LN(2)/25)*AA193+(1-EXP(-LN(2)/25))/(LN(2)/25)*Calculateur!V194*Calculateur!X194*VLOOKUP('Données projet'!$B$9,Paramètres!$A$1:$I$89,3,0)*0.475*44/12</f>
        <v>0.16559394506077985</v>
      </c>
      <c r="AB194" s="21">
        <f>EXP(-LN(2)/2)*AB193+(1-EXP(-LN(2)/2))/(LN(2)/2)*V194*Y194*VLOOKUP('Données projet'!$B$9,Paramètres!$A$1:$I$89,3,0)*0.475*44/12</f>
        <v>2.6298503038252169E-26</v>
      </c>
      <c r="AC194" s="22">
        <f t="shared" si="163"/>
        <v>5.2584764741224896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21.709999999999326</v>
      </c>
      <c r="AJ194" s="13">
        <f>AI194*VLOOKUP('Données projet'!$B$10,Paramètres!$A$1:$I$89,3,0)*VLOOKUP('Données projet'!$B$10,Paramètres!$A$1:$I$89,5,0)</f>
        <v>21.675263999999331</v>
      </c>
      <c r="AK194" s="13">
        <f t="shared" si="164"/>
        <v>6.9824881123897624</v>
      </c>
      <c r="AL194" s="20">
        <f t="shared" si="165"/>
        <v>49.91225159574433</v>
      </c>
      <c r="AM194" s="59">
        <f t="shared" si="113"/>
        <v>343.24558492907767</v>
      </c>
      <c r="AN194" s="59">
        <f ca="1">AVERAGE(OFFSET($AM$3,0,0,'Données projet'!$E$10+1,1))-AVERAGE(OFFSET($H$3,0,0,'Données projet'!$E$10+1,1))</f>
        <v>525.29195699741149</v>
      </c>
      <c r="AO194" s="59">
        <f t="shared" si="144"/>
        <v>125.99812193007153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293.85932983670682</v>
      </c>
      <c r="AV194" s="21">
        <f>EXP(-LN(2)/25)*AV193+(1-EXP(-LN(2)/25))/(LN(2)/25)*Calculateur!AQ194*Calculateur!AS194*VLOOKUP('Données projet'!$B$10,Paramètres!$A$1:$I$89,3,0)*0.475*44/12</f>
        <v>0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293.85932983670682</v>
      </c>
      <c r="AY194" s="7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 t="e">
        <f>BD194*VLOOKUP('Données projet'!$B$11,Paramètres!$A$1:$I$89,3,0)*VLOOKUP('Données projet'!$B$11,Paramètres!$A$1:$I$89,5,0)</f>
        <v>#N/A</v>
      </c>
      <c r="BF194" s="13" t="e">
        <f t="shared" si="167"/>
        <v>#N/A</v>
      </c>
      <c r="BG194" s="20" t="e">
        <f t="shared" si="168"/>
        <v>#N/A</v>
      </c>
      <c r="BH194" s="59" t="e">
        <f t="shared" si="116"/>
        <v>#N/A</v>
      </c>
      <c r="BI194" s="59" t="e">
        <f ca="1">AVERAGE(OFFSET($BH$3,0,0,'Données projet'!$E$11+1,1))-AVERAGE(OFFSET($H$3,0,0,'Données projet'!$E$11+1,1))</f>
        <v>#N/A</v>
      </c>
      <c r="BJ194" s="59" t="e">
        <f t="shared" si="146"/>
        <v>#N/A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 t="e">
        <f>EXP(-LN(2)/35)*BP193+(1-EXP(-LN(2)/35))/(LN(2)/35)*BL194*BM194*VLOOKUP('Données projet'!$B$11,Paramètres!$A$1:$I$89,3,0)*0.475*44/12</f>
        <v>#N/A</v>
      </c>
      <c r="BQ194" s="21" t="e">
        <f>EXP(-LN(2)/25)*BQ193+(1-EXP(-LN(2)/25))/(LN(2)/25)*Calculateur!BL194*Calculateur!BN194*VLOOKUP('Données projet'!$B$11,Paramètres!$A$1:$I$89,3,0)*0.475*44/12</f>
        <v>#N/A</v>
      </c>
      <c r="BR194" s="21" t="e">
        <f>EXP(-LN(2)/2)*BR193+(1-EXP(-LN(2)/2))/(LN(2)/2)*BL194*BO194*VLOOKUP('Données projet'!$B$11,Paramètres!$A$1:$I$89,3,0)*0.475*44/12</f>
        <v>#N/A</v>
      </c>
      <c r="BS194" s="22" t="e">
        <f t="shared" si="169"/>
        <v>#N/A</v>
      </c>
      <c r="BT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">
      <c r="A195" s="10">
        <f t="shared" si="161"/>
        <v>192</v>
      </c>
      <c r="B195" s="72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114.81599999999985</v>
      </c>
      <c r="D195" s="11">
        <f t="shared" si="140"/>
        <v>30.462826482209802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1121.4505903889867</v>
      </c>
      <c r="H195" s="66">
        <f t="shared" si="110"/>
        <v>546.36062278984843</v>
      </c>
      <c r="I195" s="6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0</v>
      </c>
      <c r="O195" s="13">
        <f>N195*VLOOKUP('Données projet'!$B$9,Paramètres!$A$1:$I$89,3,0)*VLOOKUP('Données projet'!$B$9,Paramètres!$A$1:$I$89,5,0)</f>
        <v>0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148.39628895278571</v>
      </c>
      <c r="T195" s="59">
        <f t="shared" si="142"/>
        <v>361.07991692964788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4.9930142090184253</v>
      </c>
      <c r="AA195" s="21">
        <f>EXP(-LN(2)/25)*AA194+(1-EXP(-LN(2)/25))/(LN(2)/25)*Calculateur!V195*Calculateur!X195*VLOOKUP('Données projet'!$B$9,Paramètres!$A$1:$I$89,3,0)*0.475*44/12</f>
        <v>0.16106576992488572</v>
      </c>
      <c r="AB195" s="21">
        <f>EXP(-LN(2)/2)*AB194+(1-EXP(-LN(2)/2))/(LN(2)/2)*V195*Y195*VLOOKUP('Données projet'!$B$9,Paramètres!$A$1:$I$89,3,0)*0.475*44/12</f>
        <v>1.8595849833403132E-26</v>
      </c>
      <c r="AC195" s="22">
        <f t="shared" si="163"/>
        <v>5.1540799789433107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21.709999999999326</v>
      </c>
      <c r="AJ195" s="13">
        <f>AI195*VLOOKUP('Données projet'!$B$10,Paramètres!$A$1:$I$89,3,0)*VLOOKUP('Données projet'!$B$10,Paramètres!$A$1:$I$89,5,0)</f>
        <v>21.675263999999331</v>
      </c>
      <c r="AK195" s="13">
        <f t="shared" si="164"/>
        <v>6.9824881123897624</v>
      </c>
      <c r="AL195" s="20">
        <f t="shared" si="165"/>
        <v>49.91225159574433</v>
      </c>
      <c r="AM195" s="59">
        <f t="shared" si="113"/>
        <v>343.24558492907767</v>
      </c>
      <c r="AN195" s="59">
        <f ca="1">AVERAGE(OFFSET($AM$3,0,0,'Données projet'!$E$10+1,1))-AVERAGE(OFFSET($H$3,0,0,'Données projet'!$E$10+1,1))</f>
        <v>525.29195699741149</v>
      </c>
      <c r="AO195" s="59">
        <f t="shared" si="144"/>
        <v>125.99812193007153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288.09692761510206</v>
      </c>
      <c r="AV195" s="21">
        <f>EXP(-LN(2)/25)*AV194+(1-EXP(-LN(2)/25))/(LN(2)/25)*Calculateur!AQ195*Calculateur!AS195*VLOOKUP('Données projet'!$B$10,Paramètres!$A$1:$I$89,3,0)*0.475*44/12</f>
        <v>0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288.09692761510206</v>
      </c>
      <c r="AY195" s="7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 t="e">
        <f>BD195*VLOOKUP('Données projet'!$B$11,Paramètres!$A$1:$I$89,3,0)*VLOOKUP('Données projet'!$B$11,Paramètres!$A$1:$I$89,5,0)</f>
        <v>#N/A</v>
      </c>
      <c r="BF195" s="13" t="e">
        <f t="shared" si="167"/>
        <v>#N/A</v>
      </c>
      <c r="BG195" s="20" t="e">
        <f t="shared" si="168"/>
        <v>#N/A</v>
      </c>
      <c r="BH195" s="59" t="e">
        <f t="shared" si="116"/>
        <v>#N/A</v>
      </c>
      <c r="BI195" s="59" t="e">
        <f ca="1">AVERAGE(OFFSET($BH$3,0,0,'Données projet'!$E$11+1,1))-AVERAGE(OFFSET($H$3,0,0,'Données projet'!$E$11+1,1))</f>
        <v>#N/A</v>
      </c>
      <c r="BJ195" s="59" t="e">
        <f t="shared" si="146"/>
        <v>#N/A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 t="e">
        <f>EXP(-LN(2)/35)*BP194+(1-EXP(-LN(2)/35))/(LN(2)/35)*BL195*BM195*VLOOKUP('Données projet'!$B$11,Paramètres!$A$1:$I$89,3,0)*0.475*44/12</f>
        <v>#N/A</v>
      </c>
      <c r="BQ195" s="21" t="e">
        <f>EXP(-LN(2)/25)*BQ194+(1-EXP(-LN(2)/25))/(LN(2)/25)*Calculateur!BL195*Calculateur!BN195*VLOOKUP('Données projet'!$B$11,Paramètres!$A$1:$I$89,3,0)*0.475*44/12</f>
        <v>#N/A</v>
      </c>
      <c r="BR195" s="21" t="e">
        <f>EXP(-LN(2)/2)*BR194+(1-EXP(-LN(2)/2))/(LN(2)/2)*BL195*BO195*VLOOKUP('Données projet'!$B$11,Paramètres!$A$1:$I$89,3,0)*0.475*44/12</f>
        <v>#N/A</v>
      </c>
      <c r="BS195" s="22" t="e">
        <f t="shared" si="169"/>
        <v>#N/A</v>
      </c>
      <c r="BT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">
      <c r="A196" s="10">
        <f t="shared" si="161"/>
        <v>193</v>
      </c>
      <c r="B196" s="72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115.41399999999985</v>
      </c>
      <c r="D196" s="11">
        <f t="shared" si="140"/>
        <v>30.602976534547494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1127.1485907929971</v>
      </c>
      <c r="H196" s="66">
        <f t="shared" ref="H196:H203" si="192">(B196+E196+F196)*44/12+(C196+D196)*0.475*44/12</f>
        <v>547.64623413100321</v>
      </c>
      <c r="I196" s="6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0</v>
      </c>
      <c r="O196" s="13">
        <f>N196*VLOOKUP('Données projet'!$B$9,Paramètres!$A$1:$I$89,3,0)*VLOOKUP('Données projet'!$B$9,Paramètres!$A$1:$I$89,5,0)</f>
        <v>0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148.39628895278571</v>
      </c>
      <c r="T196" s="59">
        <f t="shared" si="142"/>
        <v>361.07991692964788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4.8951042458175298</v>
      </c>
      <c r="AA196" s="21">
        <f>EXP(-LN(2)/25)*AA195+(1-EXP(-LN(2)/25))/(LN(2)/25)*Calculateur!V196*Calculateur!X196*VLOOKUP('Données projet'!$B$9,Paramètres!$A$1:$I$89,3,0)*0.475*44/12</f>
        <v>0.156661417976209</v>
      </c>
      <c r="AB196" s="21">
        <f>EXP(-LN(2)/2)*AB195+(1-EXP(-LN(2)/2))/(LN(2)/2)*V196*Y196*VLOOKUP('Données projet'!$B$9,Paramètres!$A$1:$I$89,3,0)*0.475*44/12</f>
        <v>1.3149251519126084E-26</v>
      </c>
      <c r="AC196" s="22">
        <f t="shared" si="163"/>
        <v>5.0517656637937387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21.709999999999326</v>
      </c>
      <c r="AJ196" s="13">
        <f>AI196*VLOOKUP('Données projet'!$B$10,Paramètres!$A$1:$I$89,3,0)*VLOOKUP('Données projet'!$B$10,Paramètres!$A$1:$I$89,5,0)</f>
        <v>21.675263999999331</v>
      </c>
      <c r="AK196" s="13">
        <f t="shared" si="164"/>
        <v>6.9824881123897624</v>
      </c>
      <c r="AL196" s="20">
        <f t="shared" si="165"/>
        <v>49.91225159574433</v>
      </c>
      <c r="AM196" s="59">
        <f t="shared" ref="AM196:AM203" si="193">AL196+(AD196+AE196)*44/12</f>
        <v>343.24558492907767</v>
      </c>
      <c r="AN196" s="59">
        <f ca="1">AVERAGE(OFFSET($AM$3,0,0,'Données projet'!$E$10+1,1))-AVERAGE(OFFSET($H$3,0,0,'Données projet'!$E$10+1,1))</f>
        <v>525.29195699741149</v>
      </c>
      <c r="AO196" s="59">
        <f t="shared" si="144"/>
        <v>125.99812193007153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282.44752258634469</v>
      </c>
      <c r="AV196" s="21">
        <f>EXP(-LN(2)/25)*AV195+(1-EXP(-LN(2)/25))/(LN(2)/25)*Calculateur!AQ196*Calculateur!AS196*VLOOKUP('Données projet'!$B$10,Paramètres!$A$1:$I$89,3,0)*0.475*44/12</f>
        <v>0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282.44752258634469</v>
      </c>
      <c r="AY196" s="7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 t="e">
        <f>BD196*VLOOKUP('Données projet'!$B$11,Paramètres!$A$1:$I$89,3,0)*VLOOKUP('Données projet'!$B$11,Paramètres!$A$1:$I$89,5,0)</f>
        <v>#N/A</v>
      </c>
      <c r="BF196" s="13" t="e">
        <f t="shared" si="167"/>
        <v>#N/A</v>
      </c>
      <c r="BG196" s="20" t="e">
        <f t="shared" si="168"/>
        <v>#N/A</v>
      </c>
      <c r="BH196" s="59" t="e">
        <f t="shared" ref="BH196:BH203" si="194">BG196+(AY196+AZ196)*44/12</f>
        <v>#N/A</v>
      </c>
      <c r="BI196" s="59" t="e">
        <f ca="1">AVERAGE(OFFSET($BH$3,0,0,'Données projet'!$E$11+1,1))-AVERAGE(OFFSET($H$3,0,0,'Données projet'!$E$11+1,1))</f>
        <v>#N/A</v>
      </c>
      <c r="BJ196" s="59" t="e">
        <f t="shared" si="146"/>
        <v>#N/A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 t="e">
        <f>EXP(-LN(2)/35)*BP195+(1-EXP(-LN(2)/35))/(LN(2)/35)*BL196*BM196*VLOOKUP('Données projet'!$B$11,Paramètres!$A$1:$I$89,3,0)*0.475*44/12</f>
        <v>#N/A</v>
      </c>
      <c r="BQ196" s="21" t="e">
        <f>EXP(-LN(2)/25)*BQ195+(1-EXP(-LN(2)/25))/(LN(2)/25)*Calculateur!BL196*Calculateur!BN196*VLOOKUP('Données projet'!$B$11,Paramètres!$A$1:$I$89,3,0)*0.475*44/12</f>
        <v>#N/A</v>
      </c>
      <c r="BR196" s="21" t="e">
        <f>EXP(-LN(2)/2)*BR195+(1-EXP(-LN(2)/2))/(LN(2)/2)*BL196*BO196*VLOOKUP('Données projet'!$B$11,Paramètres!$A$1:$I$89,3,0)*0.475*44/12</f>
        <v>#N/A</v>
      </c>
      <c r="BS196" s="22" t="e">
        <f t="shared" si="169"/>
        <v>#N/A</v>
      </c>
      <c r="BT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">
      <c r="A197" s="10">
        <f t="shared" si="161"/>
        <v>194</v>
      </c>
      <c r="B197" s="72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116.01199999999984</v>
      </c>
      <c r="D197" s="11">
        <f t="shared" ref="D197:D203" si="202">IFERROR(EXP(-1.0587+0.8836*LN(C197)+0.284),0)</f>
        <v>30.743042086238148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1132.8459389113111</v>
      </c>
      <c r="H197" s="66">
        <f t="shared" si="192"/>
        <v>548.93169830019781</v>
      </c>
      <c r="I197" s="6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0</v>
      </c>
      <c r="O197" s="13">
        <f>N197*VLOOKUP('Données projet'!$B$9,Paramètres!$A$1:$I$89,3,0)*VLOOKUP('Données projet'!$B$9,Paramètres!$A$1:$I$89,5,0)</f>
        <v>0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148.39628895278571</v>
      </c>
      <c r="T197" s="59">
        <f t="shared" ref="T197:T203" si="204">$T$3</f>
        <v>361.07991692964788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4.7991142372758224</v>
      </c>
      <c r="AA197" s="21">
        <f>EXP(-LN(2)/25)*AA196+(1-EXP(-LN(2)/25))/(LN(2)/25)*Calculateur!V197*Calculateur!X197*VLOOKUP('Données projet'!$B$9,Paramètres!$A$1:$I$89,3,0)*0.475*44/12</f>
        <v>0.15237750326318364</v>
      </c>
      <c r="AB197" s="21">
        <f>EXP(-LN(2)/2)*AB196+(1-EXP(-LN(2)/2))/(LN(2)/2)*V197*Y197*VLOOKUP('Données projet'!$B$9,Paramètres!$A$1:$I$89,3,0)*0.475*44/12</f>
        <v>9.2979249167015658E-27</v>
      </c>
      <c r="AC197" s="22">
        <f t="shared" si="163"/>
        <v>4.951491740539006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21.709999999999326</v>
      </c>
      <c r="AJ197" s="13">
        <f>AI197*VLOOKUP('Données projet'!$B$10,Paramètres!$A$1:$I$89,3,0)*VLOOKUP('Données projet'!$B$10,Paramètres!$A$1:$I$89,5,0)</f>
        <v>21.675263999999331</v>
      </c>
      <c r="AK197" s="13">
        <f t="shared" si="164"/>
        <v>6.9824881123897624</v>
      </c>
      <c r="AL197" s="20">
        <f t="shared" si="165"/>
        <v>49.91225159574433</v>
      </c>
      <c r="AM197" s="59">
        <f t="shared" si="193"/>
        <v>343.24558492907767</v>
      </c>
      <c r="AN197" s="59">
        <f ca="1">AVERAGE(OFFSET($AM$3,0,0,'Données projet'!$E$10+1,1))-AVERAGE(OFFSET($H$3,0,0,'Données projet'!$E$10+1,1))</f>
        <v>525.29195699741149</v>
      </c>
      <c r="AO197" s="59">
        <f t="shared" ref="AO197:AO203" si="205">$AO$3</f>
        <v>125.99812193007153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276.90889894440443</v>
      </c>
      <c r="AV197" s="21">
        <f>EXP(-LN(2)/25)*AV196+(1-EXP(-LN(2)/25))/(LN(2)/25)*Calculateur!AQ197*Calculateur!AS197*VLOOKUP('Données projet'!$B$10,Paramètres!$A$1:$I$89,3,0)*0.475*44/12</f>
        <v>0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276.90889894440443</v>
      </c>
      <c r="AY197" s="7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 t="e">
        <f>BD197*VLOOKUP('Données projet'!$B$11,Paramètres!$A$1:$I$89,3,0)*VLOOKUP('Données projet'!$B$11,Paramètres!$A$1:$I$89,5,0)</f>
        <v>#N/A</v>
      </c>
      <c r="BF197" s="13" t="e">
        <f t="shared" si="167"/>
        <v>#N/A</v>
      </c>
      <c r="BG197" s="20" t="e">
        <f t="shared" si="168"/>
        <v>#N/A</v>
      </c>
      <c r="BH197" s="59" t="e">
        <f t="shared" si="194"/>
        <v>#N/A</v>
      </c>
      <c r="BI197" s="59" t="e">
        <f ca="1">AVERAGE(OFFSET($BH$3,0,0,'Données projet'!$E$11+1,1))-AVERAGE(OFFSET($H$3,0,0,'Données projet'!$E$11+1,1))</f>
        <v>#N/A</v>
      </c>
      <c r="BJ197" s="59" t="e">
        <f t="shared" ref="BJ197:BJ203" si="206">$BJ$3</f>
        <v>#N/A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 t="e">
        <f>EXP(-LN(2)/35)*BP196+(1-EXP(-LN(2)/35))/(LN(2)/35)*BL197*BM197*VLOOKUP('Données projet'!$B$11,Paramètres!$A$1:$I$89,3,0)*0.475*44/12</f>
        <v>#N/A</v>
      </c>
      <c r="BQ197" s="21" t="e">
        <f>EXP(-LN(2)/25)*BQ196+(1-EXP(-LN(2)/25))/(LN(2)/25)*Calculateur!BL197*Calculateur!BN197*VLOOKUP('Données projet'!$B$11,Paramètres!$A$1:$I$89,3,0)*0.475*44/12</f>
        <v>#N/A</v>
      </c>
      <c r="BR197" s="21" t="e">
        <f>EXP(-LN(2)/2)*BR196+(1-EXP(-LN(2)/2))/(LN(2)/2)*BL197*BO197*VLOOKUP('Données projet'!$B$11,Paramètres!$A$1:$I$89,3,0)*0.475*44/12</f>
        <v>#N/A</v>
      </c>
      <c r="BS197" s="22" t="e">
        <f t="shared" si="169"/>
        <v>#N/A</v>
      </c>
      <c r="BT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">
      <c r="A198" s="10">
        <f t="shared" si="161"/>
        <v>195</v>
      </c>
      <c r="B198" s="72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116.60999999999984</v>
      </c>
      <c r="D198" s="11">
        <f t="shared" si="202"/>
        <v>30.883023623410974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1138.5426384965047</v>
      </c>
      <c r="H198" s="66">
        <f t="shared" si="192"/>
        <v>550.21701614410711</v>
      </c>
      <c r="I198" s="6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0</v>
      </c>
      <c r="O198" s="13">
        <f>N198*VLOOKUP('Données projet'!$B$9,Paramètres!$A$1:$I$89,3,0)*VLOOKUP('Données projet'!$B$9,Paramètres!$A$1:$I$89,5,0)</f>
        <v>0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148.39628895278571</v>
      </c>
      <c r="T198" s="59">
        <f t="shared" si="204"/>
        <v>361.07991692964788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4.7050065342534939</v>
      </c>
      <c r="AA198" s="21">
        <f>EXP(-LN(2)/25)*AA197+(1-EXP(-LN(2)/25))/(LN(2)/25)*Calculateur!V198*Calculateur!X198*VLOOKUP('Données projet'!$B$9,Paramètres!$A$1:$I$89,3,0)*0.475*44/12</f>
        <v>0.14821073242326724</v>
      </c>
      <c r="AB198" s="21">
        <f>EXP(-LN(2)/2)*AB197+(1-EXP(-LN(2)/2))/(LN(2)/2)*V198*Y198*VLOOKUP('Données projet'!$B$9,Paramètres!$A$1:$I$89,3,0)*0.475*44/12</f>
        <v>6.5746257595630422E-27</v>
      </c>
      <c r="AC198" s="22">
        <f t="shared" si="163"/>
        <v>4.8532172666767615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21.709999999999326</v>
      </c>
      <c r="AJ198" s="13">
        <f>AI198*VLOOKUP('Données projet'!$B$10,Paramètres!$A$1:$I$89,3,0)*VLOOKUP('Données projet'!$B$10,Paramètres!$A$1:$I$89,5,0)</f>
        <v>21.675263999999331</v>
      </c>
      <c r="AK198" s="13">
        <f t="shared" si="164"/>
        <v>6.9824881123897624</v>
      </c>
      <c r="AL198" s="20">
        <f t="shared" si="165"/>
        <v>49.91225159574433</v>
      </c>
      <c r="AM198" s="59">
        <f t="shared" si="193"/>
        <v>343.24558492907767</v>
      </c>
      <c r="AN198" s="59">
        <f ca="1">AVERAGE(OFFSET($AM$3,0,0,'Données projet'!$E$10+1,1))-AVERAGE(OFFSET($H$3,0,0,'Données projet'!$E$10+1,1))</f>
        <v>525.29195699741149</v>
      </c>
      <c r="AO198" s="59">
        <f t="shared" si="205"/>
        <v>125.99812193007153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271.47888433385572</v>
      </c>
      <c r="AV198" s="21">
        <f>EXP(-LN(2)/25)*AV197+(1-EXP(-LN(2)/25))/(LN(2)/25)*Calculateur!AQ198*Calculateur!AS198*VLOOKUP('Données projet'!$B$10,Paramètres!$A$1:$I$89,3,0)*0.475*44/12</f>
        <v>0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271.47888433385572</v>
      </c>
      <c r="AY198" s="7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 t="e">
        <f>BD198*VLOOKUP('Données projet'!$B$11,Paramètres!$A$1:$I$89,3,0)*VLOOKUP('Données projet'!$B$11,Paramètres!$A$1:$I$89,5,0)</f>
        <v>#N/A</v>
      </c>
      <c r="BF198" s="13" t="e">
        <f t="shared" si="167"/>
        <v>#N/A</v>
      </c>
      <c r="BG198" s="20" t="e">
        <f t="shared" si="168"/>
        <v>#N/A</v>
      </c>
      <c r="BH198" s="59" t="e">
        <f t="shared" si="194"/>
        <v>#N/A</v>
      </c>
      <c r="BI198" s="59" t="e">
        <f ca="1">AVERAGE(OFFSET($BH$3,0,0,'Données projet'!$E$11+1,1))-AVERAGE(OFFSET($H$3,0,0,'Données projet'!$E$11+1,1))</f>
        <v>#N/A</v>
      </c>
      <c r="BJ198" s="59" t="e">
        <f t="shared" si="206"/>
        <v>#N/A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 t="e">
        <f>EXP(-LN(2)/35)*BP197+(1-EXP(-LN(2)/35))/(LN(2)/35)*BL198*BM198*VLOOKUP('Données projet'!$B$11,Paramètres!$A$1:$I$89,3,0)*0.475*44/12</f>
        <v>#N/A</v>
      </c>
      <c r="BQ198" s="21" t="e">
        <f>EXP(-LN(2)/25)*BQ197+(1-EXP(-LN(2)/25))/(LN(2)/25)*Calculateur!BL198*Calculateur!BN198*VLOOKUP('Données projet'!$B$11,Paramètres!$A$1:$I$89,3,0)*0.475*44/12</f>
        <v>#N/A</v>
      </c>
      <c r="BR198" s="21" t="e">
        <f>EXP(-LN(2)/2)*BR197+(1-EXP(-LN(2)/2))/(LN(2)/2)*BL198*BO198*VLOOKUP('Données projet'!$B$11,Paramètres!$A$1:$I$89,3,0)*0.475*44/12</f>
        <v>#N/A</v>
      </c>
      <c r="BS198" s="22" t="e">
        <f t="shared" si="169"/>
        <v>#N/A</v>
      </c>
      <c r="BT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">
      <c r="A199" s="10">
        <f t="shared" si="161"/>
        <v>196</v>
      </c>
      <c r="B199" s="72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117.20799999999984</v>
      </c>
      <c r="D199" s="11">
        <f t="shared" si="202"/>
        <v>31.022921626920507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1144.2386932604379</v>
      </c>
      <c r="H199" s="66">
        <f t="shared" si="192"/>
        <v>551.50218850021952</v>
      </c>
      <c r="I199" s="6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0</v>
      </c>
      <c r="O199" s="13">
        <f>N199*VLOOKUP('Données projet'!$B$9,Paramètres!$A$1:$I$89,3,0)*VLOOKUP('Données projet'!$B$9,Paramètres!$A$1:$I$89,5,0)</f>
        <v>0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148.39628895278571</v>
      </c>
      <c r="T199" s="59">
        <f t="shared" si="204"/>
        <v>361.07991692964788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4.6127442258874023</v>
      </c>
      <c r="AA199" s="21">
        <f>EXP(-LN(2)/25)*AA198+(1-EXP(-LN(2)/25))/(LN(2)/25)*Calculateur!V199*Calculateur!X199*VLOOKUP('Données projet'!$B$9,Paramètres!$A$1:$I$89,3,0)*0.475*44/12</f>
        <v>0.14415790215108931</v>
      </c>
      <c r="AB199" s="21">
        <f>EXP(-LN(2)/2)*AB198+(1-EXP(-LN(2)/2))/(LN(2)/2)*V199*Y199*VLOOKUP('Données projet'!$B$9,Paramètres!$A$1:$I$89,3,0)*0.475*44/12</f>
        <v>4.6489624583507829E-27</v>
      </c>
      <c r="AC199" s="22">
        <f t="shared" si="163"/>
        <v>4.756902128038492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21.709999999999326</v>
      </c>
      <c r="AJ199" s="13">
        <f>AI199*VLOOKUP('Données projet'!$B$10,Paramètres!$A$1:$I$89,3,0)*VLOOKUP('Données projet'!$B$10,Paramètres!$A$1:$I$89,5,0)</f>
        <v>21.675263999999331</v>
      </c>
      <c r="AK199" s="13">
        <f t="shared" si="164"/>
        <v>6.9824881123897624</v>
      </c>
      <c r="AL199" s="20">
        <f t="shared" si="165"/>
        <v>49.91225159574433</v>
      </c>
      <c r="AM199" s="59">
        <f t="shared" si="193"/>
        <v>343.24558492907767</v>
      </c>
      <c r="AN199" s="59">
        <f ca="1">AVERAGE(OFFSET($AM$3,0,0,'Données projet'!$E$10+1,1))-AVERAGE(OFFSET($H$3,0,0,'Données projet'!$E$10+1,1))</f>
        <v>525.29195699741149</v>
      </c>
      <c r="AO199" s="59">
        <f t="shared" si="205"/>
        <v>125.99812193007153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266.15534899783802</v>
      </c>
      <c r="AV199" s="21">
        <f>EXP(-LN(2)/25)*AV198+(1-EXP(-LN(2)/25))/(LN(2)/25)*Calculateur!AQ199*Calculateur!AS199*VLOOKUP('Données projet'!$B$10,Paramètres!$A$1:$I$89,3,0)*0.475*44/12</f>
        <v>0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266.15534899783802</v>
      </c>
      <c r="AY199" s="7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 t="e">
        <f>BD199*VLOOKUP('Données projet'!$B$11,Paramètres!$A$1:$I$89,3,0)*VLOOKUP('Données projet'!$B$11,Paramètres!$A$1:$I$89,5,0)</f>
        <v>#N/A</v>
      </c>
      <c r="BF199" s="13" t="e">
        <f t="shared" si="167"/>
        <v>#N/A</v>
      </c>
      <c r="BG199" s="20" t="e">
        <f t="shared" si="168"/>
        <v>#N/A</v>
      </c>
      <c r="BH199" s="59" t="e">
        <f t="shared" si="194"/>
        <v>#N/A</v>
      </c>
      <c r="BI199" s="59" t="e">
        <f ca="1">AVERAGE(OFFSET($BH$3,0,0,'Données projet'!$E$11+1,1))-AVERAGE(OFFSET($H$3,0,0,'Données projet'!$E$11+1,1))</f>
        <v>#N/A</v>
      </c>
      <c r="BJ199" s="59" t="e">
        <f t="shared" si="206"/>
        <v>#N/A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 t="e">
        <f>EXP(-LN(2)/35)*BP198+(1-EXP(-LN(2)/35))/(LN(2)/35)*BL199*BM199*VLOOKUP('Données projet'!$B$11,Paramètres!$A$1:$I$89,3,0)*0.475*44/12</f>
        <v>#N/A</v>
      </c>
      <c r="BQ199" s="21" t="e">
        <f>EXP(-LN(2)/25)*BQ198+(1-EXP(-LN(2)/25))/(LN(2)/25)*Calculateur!BL199*Calculateur!BN199*VLOOKUP('Données projet'!$B$11,Paramètres!$A$1:$I$89,3,0)*0.475*44/12</f>
        <v>#N/A</v>
      </c>
      <c r="BR199" s="21" t="e">
        <f>EXP(-LN(2)/2)*BR198+(1-EXP(-LN(2)/2))/(LN(2)/2)*BL199*BO199*VLOOKUP('Données projet'!$B$11,Paramètres!$A$1:$I$89,3,0)*0.475*44/12</f>
        <v>#N/A</v>
      </c>
      <c r="BS199" s="22" t="e">
        <f t="shared" si="169"/>
        <v>#N/A</v>
      </c>
      <c r="BT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">
      <c r="A200" s="10">
        <f t="shared" si="161"/>
        <v>197</v>
      </c>
      <c r="B200" s="72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117.80599999999984</v>
      </c>
      <c r="D200" s="11">
        <f t="shared" si="202"/>
        <v>31.162736572430603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1149.9341068749018</v>
      </c>
      <c r="H200" s="66">
        <f t="shared" si="192"/>
        <v>552.78721619698297</v>
      </c>
      <c r="I200" s="6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0</v>
      </c>
      <c r="O200" s="13">
        <f>N200*VLOOKUP('Données projet'!$B$9,Paramètres!$A$1:$I$89,3,0)*VLOOKUP('Données projet'!$B$9,Paramètres!$A$1:$I$89,5,0)</f>
        <v>0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148.39628895278571</v>
      </c>
      <c r="T200" s="59">
        <f t="shared" si="204"/>
        <v>361.07991692964788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4.5222911251139184</v>
      </c>
      <c r="AA200" s="21">
        <f>EXP(-LN(2)/25)*AA199+(1-EXP(-LN(2)/25))/(LN(2)/25)*Calculateur!V200*Calculateur!X200*VLOOKUP('Données projet'!$B$9,Paramètres!$A$1:$I$89,3,0)*0.475*44/12</f>
        <v>0.14021589673583318</v>
      </c>
      <c r="AB200" s="21">
        <f>EXP(-LN(2)/2)*AB199+(1-EXP(-LN(2)/2))/(LN(2)/2)*V200*Y200*VLOOKUP('Données projet'!$B$9,Paramètres!$A$1:$I$89,3,0)*0.475*44/12</f>
        <v>3.2873128797815211E-27</v>
      </c>
      <c r="AC200" s="22">
        <f t="shared" si="163"/>
        <v>4.662507021849752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21.709999999999326</v>
      </c>
      <c r="AJ200" s="13">
        <f>AI200*VLOOKUP('Données projet'!$B$10,Paramètres!$A$1:$I$89,3,0)*VLOOKUP('Données projet'!$B$10,Paramètres!$A$1:$I$89,5,0)</f>
        <v>21.675263999999331</v>
      </c>
      <c r="AK200" s="13">
        <f t="shared" si="164"/>
        <v>6.9824881123897624</v>
      </c>
      <c r="AL200" s="20">
        <f t="shared" si="165"/>
        <v>49.91225159574433</v>
      </c>
      <c r="AM200" s="59">
        <f t="shared" si="193"/>
        <v>343.24558492907767</v>
      </c>
      <c r="AN200" s="59">
        <f ca="1">AVERAGE(OFFSET($AM$3,0,0,'Données projet'!$E$10+1,1))-AVERAGE(OFFSET($H$3,0,0,'Données projet'!$E$10+1,1))</f>
        <v>525.29195699741149</v>
      </c>
      <c r="AO200" s="59">
        <f t="shared" si="205"/>
        <v>125.99812193007153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260.93620494272369</v>
      </c>
      <c r="AV200" s="21">
        <f>EXP(-LN(2)/25)*AV199+(1-EXP(-LN(2)/25))/(LN(2)/25)*Calculateur!AQ200*Calculateur!AS200*VLOOKUP('Données projet'!$B$10,Paramètres!$A$1:$I$89,3,0)*0.475*44/12</f>
        <v>0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260.93620494272369</v>
      </c>
      <c r="AY200" s="7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 t="e">
        <f>BD200*VLOOKUP('Données projet'!$B$11,Paramètres!$A$1:$I$89,3,0)*VLOOKUP('Données projet'!$B$11,Paramètres!$A$1:$I$89,5,0)</f>
        <v>#N/A</v>
      </c>
      <c r="BF200" s="13" t="e">
        <f t="shared" si="167"/>
        <v>#N/A</v>
      </c>
      <c r="BG200" s="20" t="e">
        <f t="shared" si="168"/>
        <v>#N/A</v>
      </c>
      <c r="BH200" s="59" t="e">
        <f t="shared" si="194"/>
        <v>#N/A</v>
      </c>
      <c r="BI200" s="59" t="e">
        <f ca="1">AVERAGE(OFFSET($BH$3,0,0,'Données projet'!$E$11+1,1))-AVERAGE(OFFSET($H$3,0,0,'Données projet'!$E$11+1,1))</f>
        <v>#N/A</v>
      </c>
      <c r="BJ200" s="59" t="e">
        <f t="shared" si="206"/>
        <v>#N/A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 t="e">
        <f>EXP(-LN(2)/35)*BP199+(1-EXP(-LN(2)/35))/(LN(2)/35)*BL200*BM200*VLOOKUP('Données projet'!$B$11,Paramètres!$A$1:$I$89,3,0)*0.475*44/12</f>
        <v>#N/A</v>
      </c>
      <c r="BQ200" s="21" t="e">
        <f>EXP(-LN(2)/25)*BQ199+(1-EXP(-LN(2)/25))/(LN(2)/25)*Calculateur!BL200*Calculateur!BN200*VLOOKUP('Données projet'!$B$11,Paramètres!$A$1:$I$89,3,0)*0.475*44/12</f>
        <v>#N/A</v>
      </c>
      <c r="BR200" s="21" t="e">
        <f>EXP(-LN(2)/2)*BR199+(1-EXP(-LN(2)/2))/(LN(2)/2)*BL200*BO200*VLOOKUP('Données projet'!$B$11,Paramètres!$A$1:$I$89,3,0)*0.475*44/12</f>
        <v>#N/A</v>
      </c>
      <c r="BS200" s="22" t="e">
        <f t="shared" si="169"/>
        <v>#N/A</v>
      </c>
      <c r="BT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">
      <c r="A201" s="10">
        <f>A200+1</f>
        <v>198</v>
      </c>
      <c r="B201" s="72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118.40399999999984</v>
      </c>
      <c r="D201" s="11">
        <f t="shared" si="202"/>
        <v>31.302468930496392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1155.6288829722516</v>
      </c>
      <c r="H201" s="66">
        <f t="shared" si="192"/>
        <v>554.07210005394757</v>
      </c>
      <c r="I201" s="6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0</v>
      </c>
      <c r="O201" s="13">
        <f>N201*VLOOKUP('Données projet'!$B$9,Paramètres!$A$1:$I$89,3,0)*VLOOKUP('Données projet'!$B$9,Paramètres!$A$1:$I$89,5,0)</f>
        <v>0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148.39628895278571</v>
      </c>
      <c r="T201" s="59">
        <f t="shared" si="204"/>
        <v>361.07991692964788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4.4336117544756588</v>
      </c>
      <c r="AA201" s="21">
        <f>EXP(-LN(2)/25)*AA200+(1-EXP(-LN(2)/25))/(LN(2)/25)*Calculateur!V201*Calculateur!X201*VLOOKUP('Données projet'!$B$9,Paramètres!$A$1:$I$89,3,0)*0.475*44/12</f>
        <v>0.13638168566595829</v>
      </c>
      <c r="AB201" s="21">
        <f>EXP(-LN(2)/2)*AB200+(1-EXP(-LN(2)/2))/(LN(2)/2)*V201*Y201*VLOOKUP('Données projet'!$B$9,Paramètres!$A$1:$I$89,3,0)*0.475*44/12</f>
        <v>2.3244812291753915E-27</v>
      </c>
      <c r="AC201" s="22">
        <f t="shared" si="163"/>
        <v>4.5699934401416167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21.709999999999326</v>
      </c>
      <c r="AJ201" s="13">
        <f>AI201*VLOOKUP('Données projet'!$B$10,Paramètres!$A$1:$I$89,3,0)*VLOOKUP('Données projet'!$B$10,Paramètres!$A$1:$I$89,5,0)</f>
        <v>21.675263999999331</v>
      </c>
      <c r="AK201" s="13">
        <f t="shared" si="164"/>
        <v>6.9824881123897624</v>
      </c>
      <c r="AL201" s="20">
        <f t="shared" si="165"/>
        <v>49.91225159574433</v>
      </c>
      <c r="AM201" s="59">
        <f t="shared" si="193"/>
        <v>343.24558492907767</v>
      </c>
      <c r="AN201" s="59">
        <f ca="1">AVERAGE(OFFSET($AM$3,0,0,'Données projet'!$E$10+1,1))-AVERAGE(OFFSET($H$3,0,0,'Données projet'!$E$10+1,1))</f>
        <v>525.29195699741149</v>
      </c>
      <c r="AO201" s="59">
        <f t="shared" si="205"/>
        <v>125.99812193007153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255.81940511916662</v>
      </c>
      <c r="AV201" s="21">
        <f>EXP(-LN(2)/25)*AV200+(1-EXP(-LN(2)/25))/(LN(2)/25)*Calculateur!AQ201*Calculateur!AS201*VLOOKUP('Données projet'!$B$10,Paramètres!$A$1:$I$89,3,0)*0.475*44/12</f>
        <v>0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255.81940511916662</v>
      </c>
      <c r="AY201" s="7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 t="e">
        <f>BD201*VLOOKUP('Données projet'!$B$11,Paramètres!$A$1:$I$89,3,0)*VLOOKUP('Données projet'!$B$11,Paramètres!$A$1:$I$89,5,0)</f>
        <v>#N/A</v>
      </c>
      <c r="BF201" s="13" t="e">
        <f t="shared" si="167"/>
        <v>#N/A</v>
      </c>
      <c r="BG201" s="20" t="e">
        <f t="shared" si="168"/>
        <v>#N/A</v>
      </c>
      <c r="BH201" s="59" t="e">
        <f t="shared" si="194"/>
        <v>#N/A</v>
      </c>
      <c r="BI201" s="59" t="e">
        <f ca="1">AVERAGE(OFFSET($BH$3,0,0,'Données projet'!$E$11+1,1))-AVERAGE(OFFSET($H$3,0,0,'Données projet'!$E$11+1,1))</f>
        <v>#N/A</v>
      </c>
      <c r="BJ201" s="59" t="e">
        <f t="shared" si="206"/>
        <v>#N/A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 t="e">
        <f>EXP(-LN(2)/35)*BP200+(1-EXP(-LN(2)/35))/(LN(2)/35)*BL201*BM201*VLOOKUP('Données projet'!$B$11,Paramètres!$A$1:$I$89,3,0)*0.475*44/12</f>
        <v>#N/A</v>
      </c>
      <c r="BQ201" s="21" t="e">
        <f>EXP(-LN(2)/25)*BQ200+(1-EXP(-LN(2)/25))/(LN(2)/25)*Calculateur!BL201*Calculateur!BN201*VLOOKUP('Données projet'!$B$11,Paramètres!$A$1:$I$89,3,0)*0.475*44/12</f>
        <v>#N/A</v>
      </c>
      <c r="BR201" s="21" t="e">
        <f>EXP(-LN(2)/2)*BR200+(1-EXP(-LN(2)/2))/(LN(2)/2)*BL201*BO201*VLOOKUP('Données projet'!$B$11,Paramètres!$A$1:$I$89,3,0)*0.475*44/12</f>
        <v>#N/A</v>
      </c>
      <c r="BS201" s="22" t="e">
        <f t="shared" si="169"/>
        <v>#N/A</v>
      </c>
      <c r="BT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">
      <c r="A202" s="10">
        <f t="shared" si="161"/>
        <v>199</v>
      </c>
      <c r="B202" s="72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119.00199999999984</v>
      </c>
      <c r="D202" s="11">
        <f t="shared" si="202"/>
        <v>31.442119166644662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1161.3230251460277</v>
      </c>
      <c r="H202" s="66">
        <f t="shared" si="192"/>
        <v>555.35684088190578</v>
      </c>
      <c r="I202" s="6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0</v>
      </c>
      <c r="O202" s="13">
        <f>N202*VLOOKUP('Données projet'!$B$9,Paramètres!$A$1:$I$89,3,0)*VLOOKUP('Données projet'!$B$9,Paramètres!$A$1:$I$89,5,0)</f>
        <v>0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148.39628895278571</v>
      </c>
      <c r="T202" s="59">
        <f t="shared" si="204"/>
        <v>361.07991692964788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4.3466713322065402</v>
      </c>
      <c r="AA202" s="21">
        <f>EXP(-LN(2)/25)*AA201+(1-EXP(-LN(2)/25))/(LN(2)/25)*Calculateur!V202*Calculateur!X202*VLOOKUP('Données projet'!$B$9,Paramètres!$A$1:$I$89,3,0)*0.475*44/12</f>
        <v>0.13265232129942151</v>
      </c>
      <c r="AB202" s="21">
        <f>EXP(-LN(2)/2)*AB201+(1-EXP(-LN(2)/2))/(LN(2)/2)*V202*Y202*VLOOKUP('Données projet'!$B$9,Paramètres!$A$1:$I$89,3,0)*0.475*44/12</f>
        <v>1.6436564398907605E-27</v>
      </c>
      <c r="AC202" s="22">
        <f t="shared" si="163"/>
        <v>4.4793236535059613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21.709999999999326</v>
      </c>
      <c r="AJ202" s="13">
        <f>AI202*VLOOKUP('Données projet'!$B$10,Paramètres!$A$1:$I$89,3,0)*VLOOKUP('Données projet'!$B$10,Paramètres!$A$1:$I$89,5,0)</f>
        <v>21.675263999999331</v>
      </c>
      <c r="AK202" s="13">
        <f t="shared" si="164"/>
        <v>6.9824881123897624</v>
      </c>
      <c r="AL202" s="20">
        <f t="shared" si="165"/>
        <v>49.91225159574433</v>
      </c>
      <c r="AM202" s="59">
        <f t="shared" si="193"/>
        <v>343.24558492907767</v>
      </c>
      <c r="AN202" s="59">
        <f ca="1">AVERAGE(OFFSET($AM$3,0,0,'Données projet'!$E$10+1,1))-AVERAGE(OFFSET($H$3,0,0,'Données projet'!$E$10+1,1))</f>
        <v>525.29195699741149</v>
      </c>
      <c r="AO202" s="59">
        <f t="shared" si="205"/>
        <v>125.99812193007153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250.80294261920977</v>
      </c>
      <c r="AV202" s="21">
        <f>EXP(-LN(2)/25)*AV201+(1-EXP(-LN(2)/25))/(LN(2)/25)*Calculateur!AQ202*Calculateur!AS202*VLOOKUP('Données projet'!$B$10,Paramètres!$A$1:$I$89,3,0)*0.475*44/12</f>
        <v>0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250.80294261920977</v>
      </c>
      <c r="AY202" s="7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 t="e">
        <f>BD202*VLOOKUP('Données projet'!$B$11,Paramètres!$A$1:$I$89,3,0)*VLOOKUP('Données projet'!$B$11,Paramètres!$A$1:$I$89,5,0)</f>
        <v>#N/A</v>
      </c>
      <c r="BF202" s="13" t="e">
        <f t="shared" si="167"/>
        <v>#N/A</v>
      </c>
      <c r="BG202" s="20" t="e">
        <f t="shared" si="168"/>
        <v>#N/A</v>
      </c>
      <c r="BH202" s="59" t="e">
        <f t="shared" si="194"/>
        <v>#N/A</v>
      </c>
      <c r="BI202" s="59" t="e">
        <f ca="1">AVERAGE(OFFSET($BH$3,0,0,'Données projet'!$E$11+1,1))-AVERAGE(OFFSET($H$3,0,0,'Données projet'!$E$11+1,1))</f>
        <v>#N/A</v>
      </c>
      <c r="BJ202" s="59" t="e">
        <f t="shared" si="206"/>
        <v>#N/A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 t="e">
        <f>EXP(-LN(2)/35)*BP201+(1-EXP(-LN(2)/35))/(LN(2)/35)*BL202*BM202*VLOOKUP('Données projet'!$B$11,Paramètres!$A$1:$I$89,3,0)*0.475*44/12</f>
        <v>#N/A</v>
      </c>
      <c r="BQ202" s="21" t="e">
        <f>EXP(-LN(2)/25)*BQ201+(1-EXP(-LN(2)/25))/(LN(2)/25)*Calculateur!BL202*Calculateur!BN202*VLOOKUP('Données projet'!$B$11,Paramètres!$A$1:$I$89,3,0)*0.475*44/12</f>
        <v>#N/A</v>
      </c>
      <c r="BR202" s="21" t="e">
        <f>EXP(-LN(2)/2)*BR201+(1-EXP(-LN(2)/2))/(LN(2)/2)*BL202*BO202*VLOOKUP('Données projet'!$B$11,Paramètres!$A$1:$I$89,3,0)*0.475*44/12</f>
        <v>#N/A</v>
      </c>
      <c r="BS202" s="22" t="e">
        <f t="shared" si="169"/>
        <v>#N/A</v>
      </c>
      <c r="BT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35">
      <c r="A203" s="10">
        <f>A202+1</f>
        <v>200</v>
      </c>
      <c r="B203" s="72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119.59999999999984</v>
      </c>
      <c r="D203" s="11">
        <f t="shared" si="202"/>
        <v>31.581687741452679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1167.0165369515635</v>
      </c>
      <c r="H203" s="66">
        <f t="shared" si="192"/>
        <v>556.64143948302979</v>
      </c>
      <c r="I203" s="6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0</v>
      </c>
      <c r="O203" s="13">
        <f>N203*VLOOKUP('Données projet'!$B$9,Paramètres!$A$1:$I$89,3,0)*VLOOKUP('Données projet'!$B$9,Paramètres!$A$1:$I$89,5,0)</f>
        <v>0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148.39628895278571</v>
      </c>
      <c r="T203" s="59">
        <f t="shared" si="204"/>
        <v>361.07991692964788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4.2614357585896974</v>
      </c>
      <c r="AA203" s="21">
        <f>EXP(-LN(2)/25)*AA202+(1-EXP(-LN(2)/25))/(LN(2)/25)*Calculateur!V203*Calculateur!X203*VLOOKUP('Données projet'!$B$9,Paramètres!$A$1:$I$89,3,0)*0.475*44/12</f>
        <v>0.12902493659760642</v>
      </c>
      <c r="AB203" s="21">
        <f>EXP(-LN(2)/2)*AB202+(1-EXP(-LN(2)/2))/(LN(2)/2)*V203*Y203*VLOOKUP('Données projet'!$B$9,Paramètres!$A$1:$I$89,3,0)*0.475*44/12</f>
        <v>1.1622406145876957E-27</v>
      </c>
      <c r="AC203" s="22">
        <f t="shared" si="163"/>
        <v>4.3904606951873042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21.709999999999326</v>
      </c>
      <c r="AJ203" s="13">
        <f>AI203*VLOOKUP('Données projet'!$B$10,Paramètres!$A$1:$I$89,3,0)*VLOOKUP('Données projet'!$B$10,Paramètres!$A$1:$I$89,5,0)</f>
        <v>21.675263999999331</v>
      </c>
      <c r="AK203" s="13">
        <f t="shared" si="164"/>
        <v>6.9824881123897624</v>
      </c>
      <c r="AL203" s="20">
        <f t="shared" si="165"/>
        <v>49.91225159574433</v>
      </c>
      <c r="AM203" s="59">
        <f t="shared" si="193"/>
        <v>343.24558492907767</v>
      </c>
      <c r="AN203" s="59">
        <f ca="1">AVERAGE(OFFSET($AM$3,0,0,'Données projet'!$E$10+1,1))-AVERAGE(OFFSET($H$3,0,0,'Données projet'!$E$10+1,1))</f>
        <v>525.29195699741149</v>
      </c>
      <c r="AO203" s="59">
        <f t="shared" si="205"/>
        <v>125.99812193007153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245.88484988913706</v>
      </c>
      <c r="AV203" s="21">
        <f>EXP(-LN(2)/25)*AV202+(1-EXP(-LN(2)/25))/(LN(2)/25)*Calculateur!AQ203*Calculateur!AS203*VLOOKUP('Données projet'!$B$10,Paramètres!$A$1:$I$89,3,0)*0.475*44/12</f>
        <v>0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245.88484988913706</v>
      </c>
      <c r="AY203" s="7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 t="e">
        <f>BD203*VLOOKUP('Données projet'!$B$11,Paramètres!$A$1:$I$89,3,0)*VLOOKUP('Données projet'!$B$11,Paramètres!$A$1:$I$89,5,0)</f>
        <v>#N/A</v>
      </c>
      <c r="BF203" s="13" t="e">
        <f t="shared" si="167"/>
        <v>#N/A</v>
      </c>
      <c r="BG203" s="20" t="e">
        <f t="shared" si="168"/>
        <v>#N/A</v>
      </c>
      <c r="BH203" s="59" t="e">
        <f t="shared" si="194"/>
        <v>#N/A</v>
      </c>
      <c r="BI203" s="59" t="e">
        <f ca="1">AVERAGE(OFFSET($BH$3,0,0,'Données projet'!$E$11+1,1))-AVERAGE(OFFSET($H$3,0,0,'Données projet'!$E$11+1,1))</f>
        <v>#N/A</v>
      </c>
      <c r="BJ203" s="59" t="e">
        <f t="shared" si="206"/>
        <v>#N/A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 t="e">
        <f>EXP(-LN(2)/35)*BP202+(1-EXP(-LN(2)/35))/(LN(2)/35)*BL203*BM203*VLOOKUP('Données projet'!$B$11,Paramètres!$A$1:$I$89,3,0)*0.475*44/12</f>
        <v>#N/A</v>
      </c>
      <c r="BQ203" s="21" t="e">
        <f>EXP(-LN(2)/25)*BQ202+(1-EXP(-LN(2)/25))/(LN(2)/25)*Calculateur!BL203*Calculateur!BN203*VLOOKUP('Données projet'!$B$11,Paramètres!$A$1:$I$89,3,0)*0.475*44/12</f>
        <v>#N/A</v>
      </c>
      <c r="BR203" s="21" t="e">
        <f>EXP(-LN(2)/2)*BR202+(1-EXP(-LN(2)/2))/(LN(2)/2)*BL203*BO203*VLOOKUP('Données projet'!$B$11,Paramètres!$A$1:$I$89,3,0)*0.475*44/12</f>
        <v>#N/A</v>
      </c>
      <c r="BS203" s="22" t="e">
        <f t="shared" si="169"/>
        <v>#N/A</v>
      </c>
      <c r="BT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35">
      <c r="B204" s="10"/>
      <c r="C204" s="75"/>
      <c r="D204" s="76"/>
      <c r="E204" s="76"/>
      <c r="F204" s="76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5"/>
      <c r="I204" s="75"/>
      <c r="J204" s="75"/>
      <c r="K204" s="83" t="s">
        <v>293</v>
      </c>
      <c r="L204" s="77"/>
      <c r="M204" s="77"/>
      <c r="N204" s="77"/>
      <c r="O204" s="75"/>
      <c r="P204" s="75"/>
      <c r="Q204" s="76"/>
      <c r="R204" s="78"/>
      <c r="S204" s="78"/>
      <c r="T204" s="78"/>
      <c r="U204" s="77"/>
      <c r="V204" s="77"/>
      <c r="W204" s="79"/>
      <c r="X204" s="79"/>
      <c r="Y204" s="79"/>
      <c r="Z204" s="75"/>
      <c r="AA204" s="75"/>
      <c r="AB204" s="75"/>
      <c r="AC204" s="75"/>
      <c r="AD204" s="75"/>
      <c r="AE204" s="75"/>
      <c r="AF204" s="80" t="s">
        <v>293</v>
      </c>
      <c r="BA204" s="80" t="s">
        <v>293</v>
      </c>
      <c r="BV204" s="80" t="s">
        <v>293</v>
      </c>
      <c r="CQ204" s="80" t="s">
        <v>293</v>
      </c>
      <c r="DL204" s="80" t="s">
        <v>293</v>
      </c>
      <c r="EG204" s="80" t="s">
        <v>293</v>
      </c>
      <c r="FB204" s="80" t="s">
        <v>293</v>
      </c>
      <c r="FW204" s="80" t="s">
        <v>293</v>
      </c>
      <c r="GR204" s="80" t="s">
        <v>293</v>
      </c>
    </row>
    <row r="205" spans="1:218" ht="15" thickBot="1" x14ac:dyDescent="0.35">
      <c r="B205" s="10"/>
      <c r="C205" s="75"/>
      <c r="D205" s="76"/>
      <c r="E205" s="76"/>
      <c r="F205" s="76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5"/>
      <c r="I205" s="75"/>
      <c r="J205" s="75"/>
      <c r="K205" s="81">
        <f>EXP(LN('Données projet'!B36)/'Données projet'!A36)</f>
        <v>1.4943820583928935</v>
      </c>
      <c r="L205" s="77"/>
      <c r="M205" s="77"/>
      <c r="N205" s="77"/>
      <c r="O205" s="75"/>
      <c r="P205" s="75"/>
      <c r="Q205" s="76"/>
      <c r="R205" s="78"/>
      <c r="S205" s="78"/>
      <c r="T205" s="78"/>
      <c r="U205" s="77"/>
      <c r="V205" s="77"/>
      <c r="W205" s="79"/>
      <c r="X205" s="79"/>
      <c r="Y205" s="79"/>
      <c r="Z205" s="75"/>
      <c r="AA205" s="75"/>
      <c r="AB205" s="75"/>
      <c r="AC205" s="75"/>
      <c r="AD205" s="75"/>
      <c r="AE205" s="75"/>
      <c r="AF205" s="82">
        <f>EXP(LN('Données projet'!B62)/'Données projet'!A62)</f>
        <v>1.1549646791293957</v>
      </c>
      <c r="BA205" s="81" t="e">
        <f>EXP(LN('Données projet'!B88)/'Données projet'!A88)</f>
        <v>#NUM!</v>
      </c>
      <c r="BV205" s="81" t="e">
        <f>EXP(LN('Données projet'!B114)/'Données projet'!A114)</f>
        <v>#NUM!</v>
      </c>
      <c r="CQ205" s="81" t="e">
        <f>EXP(LN('Données projet'!B140)/'Données projet'!A140)</f>
        <v>#NUM!</v>
      </c>
      <c r="DL205" s="81" t="e">
        <f>EXP(LN('Données projet'!B166)/'Données projet'!A166)</f>
        <v>#NUM!</v>
      </c>
      <c r="EG205" s="81" t="e">
        <f>EXP(LN('Données projet'!B192)/'Données projet'!A192)</f>
        <v>#NUM!</v>
      </c>
      <c r="FB205" s="81" t="e">
        <f>EXP(LN('Données projet'!B218)/'Données projet'!A218)</f>
        <v>#NUM!</v>
      </c>
      <c r="FW205" s="81" t="e">
        <f>EXP(LN('Données projet'!B244)/'Données projet'!A244)</f>
        <v>#NUM!</v>
      </c>
      <c r="GR205" s="81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6640625" style="4" bestFit="1" customWidth="1"/>
    <col min="3" max="3" width="11.77734375" style="4" bestFit="1" customWidth="1"/>
    <col min="4" max="4" width="40" style="4" bestFit="1" customWidth="1"/>
    <col min="5" max="5" width="11.777343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09" t="s">
        <v>0</v>
      </c>
      <c r="B1" s="110" t="s">
        <v>106</v>
      </c>
      <c r="C1" s="111" t="s">
        <v>144</v>
      </c>
      <c r="D1" s="110" t="s">
        <v>100</v>
      </c>
      <c r="E1" s="111" t="s">
        <v>145</v>
      </c>
      <c r="F1" s="111" t="s">
        <v>100</v>
      </c>
      <c r="G1" s="111" t="s">
        <v>146</v>
      </c>
      <c r="H1" s="111" t="s">
        <v>100</v>
      </c>
      <c r="I1" s="112" t="s">
        <v>147</v>
      </c>
      <c r="J1" s="77"/>
      <c r="K1" s="77"/>
      <c r="L1" s="77"/>
      <c r="M1" s="77"/>
      <c r="N1" s="77"/>
    </row>
    <row r="2" spans="1:16" x14ac:dyDescent="0.3">
      <c r="A2" s="113" t="s">
        <v>1</v>
      </c>
      <c r="B2" s="114" t="s">
        <v>53</v>
      </c>
      <c r="C2" s="115">
        <v>0.62</v>
      </c>
      <c r="D2" s="115" t="s">
        <v>161</v>
      </c>
      <c r="E2" s="115">
        <v>1.56</v>
      </c>
      <c r="F2" s="115" t="s">
        <v>274</v>
      </c>
      <c r="G2" s="116">
        <v>0.43</v>
      </c>
      <c r="H2" s="117" t="s">
        <v>278</v>
      </c>
      <c r="I2" s="118">
        <v>0.25</v>
      </c>
      <c r="J2" s="77"/>
      <c r="K2" s="77"/>
      <c r="L2" s="77"/>
      <c r="M2" s="77"/>
      <c r="N2" s="77"/>
      <c r="O2" s="290" t="s">
        <v>238</v>
      </c>
      <c r="P2" s="119">
        <v>0</v>
      </c>
    </row>
    <row r="3" spans="1:16" ht="15" thickBot="1" x14ac:dyDescent="0.35">
      <c r="A3" s="120" t="s">
        <v>2</v>
      </c>
      <c r="B3" s="121" t="s">
        <v>54</v>
      </c>
      <c r="C3" s="122">
        <v>0.64</v>
      </c>
      <c r="D3" s="122" t="s">
        <v>161</v>
      </c>
      <c r="E3" s="122">
        <v>1.56</v>
      </c>
      <c r="F3" s="123" t="s">
        <v>274</v>
      </c>
      <c r="G3" s="124">
        <v>0.43</v>
      </c>
      <c r="H3" s="122" t="s">
        <v>278</v>
      </c>
      <c r="I3" s="125">
        <v>0.25</v>
      </c>
      <c r="J3" s="77"/>
      <c r="K3" s="77"/>
      <c r="L3" s="77"/>
      <c r="M3" s="77"/>
      <c r="N3" s="77"/>
      <c r="O3" s="291"/>
      <c r="P3" s="126">
        <v>0.2</v>
      </c>
    </row>
    <row r="4" spans="1:16" ht="15" thickBot="1" x14ac:dyDescent="0.35">
      <c r="A4" s="120" t="s">
        <v>98</v>
      </c>
      <c r="B4" s="121" t="s">
        <v>99</v>
      </c>
      <c r="C4" s="122">
        <v>0.42</v>
      </c>
      <c r="D4" s="122" t="s">
        <v>161</v>
      </c>
      <c r="E4" s="122">
        <v>1.56</v>
      </c>
      <c r="F4" s="123" t="s">
        <v>274</v>
      </c>
      <c r="G4" s="124">
        <v>0.43</v>
      </c>
      <c r="H4" s="122" t="s">
        <v>278</v>
      </c>
      <c r="I4" s="125">
        <v>0.25</v>
      </c>
      <c r="J4" s="77"/>
      <c r="K4" s="77"/>
      <c r="L4" s="77"/>
      <c r="M4" s="77"/>
      <c r="N4" s="77"/>
    </row>
    <row r="5" spans="1:16" x14ac:dyDescent="0.3">
      <c r="A5" s="120" t="s">
        <v>4</v>
      </c>
      <c r="B5" s="121" t="s">
        <v>55</v>
      </c>
      <c r="C5" s="122">
        <v>0.42</v>
      </c>
      <c r="D5" s="122" t="s">
        <v>161</v>
      </c>
      <c r="E5" s="122">
        <v>1.56</v>
      </c>
      <c r="F5" s="123" t="s">
        <v>274</v>
      </c>
      <c r="G5" s="124">
        <v>0.43</v>
      </c>
      <c r="H5" s="122" t="s">
        <v>278</v>
      </c>
      <c r="I5" s="125">
        <v>0.25</v>
      </c>
      <c r="J5" s="77"/>
      <c r="K5" s="77"/>
      <c r="L5" s="77"/>
      <c r="M5" s="77"/>
      <c r="N5" s="77"/>
      <c r="O5" s="290" t="s">
        <v>237</v>
      </c>
      <c r="P5" s="119">
        <v>0</v>
      </c>
    </row>
    <row r="6" spans="1:16" x14ac:dyDescent="0.3">
      <c r="A6" s="120" t="s">
        <v>3</v>
      </c>
      <c r="B6" s="121" t="s">
        <v>97</v>
      </c>
      <c r="C6" s="122">
        <v>0.42</v>
      </c>
      <c r="D6" s="122" t="s">
        <v>161</v>
      </c>
      <c r="E6" s="122">
        <v>1.56</v>
      </c>
      <c r="F6" s="123" t="s">
        <v>274</v>
      </c>
      <c r="G6" s="124">
        <v>0.43</v>
      </c>
      <c r="H6" s="122" t="s">
        <v>278</v>
      </c>
      <c r="I6" s="125">
        <v>0.25</v>
      </c>
      <c r="J6" s="77"/>
      <c r="K6" s="77"/>
      <c r="L6" s="77"/>
      <c r="M6" s="77"/>
      <c r="N6" s="77"/>
      <c r="O6" s="292"/>
      <c r="P6" s="127">
        <v>0.05</v>
      </c>
    </row>
    <row r="7" spans="1:16" x14ac:dyDescent="0.3">
      <c r="A7" s="120" t="s">
        <v>5</v>
      </c>
      <c r="B7" s="121" t="s">
        <v>56</v>
      </c>
      <c r="C7" s="122">
        <v>0.52</v>
      </c>
      <c r="D7" s="122" t="s">
        <v>161</v>
      </c>
      <c r="E7" s="122">
        <v>1.56</v>
      </c>
      <c r="F7" s="123" t="s">
        <v>274</v>
      </c>
      <c r="G7" s="124">
        <v>0.43</v>
      </c>
      <c r="H7" s="122" t="s">
        <v>278</v>
      </c>
      <c r="I7" s="125">
        <v>0.25</v>
      </c>
      <c r="J7" s="77"/>
      <c r="K7" s="77"/>
      <c r="L7" s="77"/>
      <c r="M7" s="77"/>
      <c r="N7" s="77"/>
      <c r="O7" s="292"/>
      <c r="P7" s="127">
        <v>0.1</v>
      </c>
    </row>
    <row r="8" spans="1:16" ht="15" thickBot="1" x14ac:dyDescent="0.35">
      <c r="A8" s="120" t="s">
        <v>164</v>
      </c>
      <c r="B8" s="121" t="s">
        <v>57</v>
      </c>
      <c r="C8" s="122">
        <v>0.36</v>
      </c>
      <c r="D8" s="122" t="s">
        <v>161</v>
      </c>
      <c r="E8" s="122">
        <v>1.3</v>
      </c>
      <c r="F8" s="123" t="s">
        <v>274</v>
      </c>
      <c r="G8" s="124">
        <v>0.55000000000000004</v>
      </c>
      <c r="H8" s="122" t="s">
        <v>153</v>
      </c>
      <c r="I8" s="125">
        <v>0.43</v>
      </c>
      <c r="J8" s="77"/>
      <c r="K8" s="77"/>
      <c r="L8" s="77"/>
      <c r="M8" s="77"/>
      <c r="N8" s="77"/>
      <c r="O8" s="291"/>
      <c r="P8" s="126">
        <v>0.15</v>
      </c>
    </row>
    <row r="9" spans="1:16" ht="15" thickBot="1" x14ac:dyDescent="0.35">
      <c r="A9" s="120" t="s">
        <v>6</v>
      </c>
      <c r="B9" s="121" t="s">
        <v>58</v>
      </c>
      <c r="C9" s="122">
        <v>0.61</v>
      </c>
      <c r="D9" s="122" t="s">
        <v>161</v>
      </c>
      <c r="E9" s="122">
        <v>1.56</v>
      </c>
      <c r="F9" s="123" t="s">
        <v>274</v>
      </c>
      <c r="G9" s="124">
        <v>0.43</v>
      </c>
      <c r="H9" s="122" t="s">
        <v>278</v>
      </c>
      <c r="I9" s="125">
        <v>0.25</v>
      </c>
      <c r="J9" s="77"/>
      <c r="K9" s="77"/>
      <c r="L9" s="77"/>
      <c r="M9" s="77"/>
      <c r="N9" s="77"/>
    </row>
    <row r="10" spans="1:16" x14ac:dyDescent="0.3">
      <c r="A10" s="120" t="s">
        <v>7</v>
      </c>
      <c r="B10" s="121" t="s">
        <v>59</v>
      </c>
      <c r="C10" s="122">
        <v>0.66</v>
      </c>
      <c r="D10" s="122" t="s">
        <v>161</v>
      </c>
      <c r="E10" s="122">
        <v>1.56</v>
      </c>
      <c r="F10" s="123" t="s">
        <v>274</v>
      </c>
      <c r="G10" s="124">
        <v>0.43</v>
      </c>
      <c r="H10" s="122" t="s">
        <v>278</v>
      </c>
      <c r="I10" s="125">
        <v>0.25</v>
      </c>
      <c r="J10" s="77"/>
      <c r="K10" s="77"/>
      <c r="L10" s="77"/>
      <c r="M10" s="77"/>
      <c r="N10" s="77"/>
      <c r="O10" s="290" t="s">
        <v>236</v>
      </c>
      <c r="P10" s="119">
        <v>0</v>
      </c>
    </row>
    <row r="11" spans="1:16" ht="15" thickBot="1" x14ac:dyDescent="0.35">
      <c r="A11" s="120" t="s">
        <v>8</v>
      </c>
      <c r="B11" s="121" t="s">
        <v>60</v>
      </c>
      <c r="C11" s="122">
        <v>0.47</v>
      </c>
      <c r="D11" s="122" t="s">
        <v>161</v>
      </c>
      <c r="E11" s="122">
        <v>1.56</v>
      </c>
      <c r="F11" s="123" t="s">
        <v>274</v>
      </c>
      <c r="G11" s="124">
        <v>0.43</v>
      </c>
      <c r="H11" s="122" t="s">
        <v>278</v>
      </c>
      <c r="I11" s="125">
        <v>0.25</v>
      </c>
      <c r="J11" s="77"/>
      <c r="K11" s="77"/>
      <c r="L11" s="77"/>
      <c r="M11" s="77"/>
      <c r="N11" s="77"/>
      <c r="O11" s="291"/>
      <c r="P11" s="126">
        <v>0.1</v>
      </c>
    </row>
    <row r="12" spans="1:16" x14ac:dyDescent="0.3">
      <c r="A12" s="120" t="s">
        <v>9</v>
      </c>
      <c r="B12" s="121" t="s">
        <v>61</v>
      </c>
      <c r="C12" s="122">
        <v>0.67</v>
      </c>
      <c r="D12" s="122" t="s">
        <v>161</v>
      </c>
      <c r="E12" s="122">
        <v>1.56</v>
      </c>
      <c r="F12" s="123" t="s">
        <v>274</v>
      </c>
      <c r="G12" s="124">
        <v>0.43</v>
      </c>
      <c r="H12" s="122" t="s">
        <v>152</v>
      </c>
      <c r="I12" s="125">
        <v>0.25</v>
      </c>
      <c r="J12" s="77"/>
      <c r="K12" s="77"/>
      <c r="L12" s="77"/>
      <c r="M12" s="77"/>
      <c r="N12" s="77"/>
    </row>
    <row r="13" spans="1:16" x14ac:dyDescent="0.3">
      <c r="A13" s="120" t="s">
        <v>10</v>
      </c>
      <c r="B13" s="121" t="s">
        <v>62</v>
      </c>
      <c r="C13" s="122">
        <v>0.7</v>
      </c>
      <c r="D13" s="122" t="s">
        <v>161</v>
      </c>
      <c r="E13" s="122">
        <v>1.56</v>
      </c>
      <c r="F13" s="123" t="s">
        <v>274</v>
      </c>
      <c r="G13" s="124">
        <v>0.43</v>
      </c>
      <c r="H13" s="122" t="s">
        <v>152</v>
      </c>
      <c r="I13" s="125">
        <v>0.25</v>
      </c>
      <c r="J13" s="77"/>
      <c r="K13" s="77"/>
      <c r="L13" s="77"/>
      <c r="M13" s="77"/>
      <c r="N13" s="77"/>
    </row>
    <row r="14" spans="1:16" x14ac:dyDescent="0.3">
      <c r="A14" s="120" t="s">
        <v>11</v>
      </c>
      <c r="B14" s="121" t="s">
        <v>63</v>
      </c>
      <c r="C14" s="122">
        <v>0.54</v>
      </c>
      <c r="D14" s="122" t="s">
        <v>161</v>
      </c>
      <c r="E14" s="122">
        <v>1.56</v>
      </c>
      <c r="F14" s="123" t="s">
        <v>274</v>
      </c>
      <c r="G14" s="124">
        <v>0.43</v>
      </c>
      <c r="H14" s="122" t="s">
        <v>152</v>
      </c>
      <c r="I14" s="125">
        <v>0.25</v>
      </c>
      <c r="J14" s="77"/>
      <c r="K14" s="77"/>
      <c r="L14" s="77"/>
      <c r="M14" s="77"/>
      <c r="N14" s="77"/>
    </row>
    <row r="15" spans="1:16" x14ac:dyDescent="0.3">
      <c r="A15" s="120" t="s">
        <v>12</v>
      </c>
      <c r="B15" s="121" t="s">
        <v>64</v>
      </c>
      <c r="C15" s="122">
        <v>0.65</v>
      </c>
      <c r="D15" s="122" t="s">
        <v>161</v>
      </c>
      <c r="E15" s="122">
        <v>1.56</v>
      </c>
      <c r="F15" s="123" t="s">
        <v>274</v>
      </c>
      <c r="G15" s="124">
        <v>0.43</v>
      </c>
      <c r="H15" s="122" t="s">
        <v>152</v>
      </c>
      <c r="I15" s="125">
        <v>0.25</v>
      </c>
      <c r="J15" s="77"/>
      <c r="K15" s="77"/>
      <c r="L15" s="77"/>
      <c r="M15" s="77"/>
      <c r="N15" s="77"/>
    </row>
    <row r="16" spans="1:16" x14ac:dyDescent="0.3">
      <c r="A16" s="120" t="s">
        <v>13</v>
      </c>
      <c r="B16" s="121" t="s">
        <v>65</v>
      </c>
      <c r="C16" s="122">
        <v>0.56000000000000005</v>
      </c>
      <c r="D16" s="122" t="s">
        <v>161</v>
      </c>
      <c r="E16" s="122">
        <v>1.56</v>
      </c>
      <c r="F16" s="123" t="s">
        <v>274</v>
      </c>
      <c r="G16" s="124">
        <v>0.43</v>
      </c>
      <c r="H16" s="122" t="s">
        <v>152</v>
      </c>
      <c r="I16" s="125">
        <v>0.25</v>
      </c>
      <c r="J16" s="77"/>
      <c r="K16" s="77"/>
      <c r="L16" s="77"/>
      <c r="M16" s="77"/>
      <c r="N16" s="77"/>
    </row>
    <row r="17" spans="1:14" x14ac:dyDescent="0.3">
      <c r="A17" s="120" t="s">
        <v>14</v>
      </c>
      <c r="B17" s="121" t="s">
        <v>66</v>
      </c>
      <c r="C17" s="122">
        <v>0.57999999999999996</v>
      </c>
      <c r="D17" s="122" t="s">
        <v>161</v>
      </c>
      <c r="E17" s="122">
        <v>1.56</v>
      </c>
      <c r="F17" s="123" t="s">
        <v>274</v>
      </c>
      <c r="G17" s="124">
        <v>0.43</v>
      </c>
      <c r="H17" s="122" t="s">
        <v>152</v>
      </c>
      <c r="I17" s="125">
        <v>0.25</v>
      </c>
      <c r="J17" s="77"/>
      <c r="K17" s="77"/>
      <c r="L17" s="77"/>
      <c r="M17" s="77"/>
      <c r="N17" s="77"/>
    </row>
    <row r="18" spans="1:14" x14ac:dyDescent="0.3">
      <c r="A18" s="120" t="s">
        <v>15</v>
      </c>
      <c r="B18" s="121" t="s">
        <v>67</v>
      </c>
      <c r="C18" s="122">
        <v>0.64</v>
      </c>
      <c r="D18" s="122" t="s">
        <v>161</v>
      </c>
      <c r="E18" s="122">
        <v>1.56</v>
      </c>
      <c r="F18" s="123" t="s">
        <v>274</v>
      </c>
      <c r="G18" s="124">
        <v>0.43</v>
      </c>
      <c r="H18" s="122" t="s">
        <v>152</v>
      </c>
      <c r="I18" s="125">
        <v>0.25</v>
      </c>
      <c r="J18" s="77"/>
      <c r="K18" s="77"/>
      <c r="L18" s="77"/>
      <c r="M18" s="77"/>
      <c r="N18" s="77"/>
    </row>
    <row r="19" spans="1:14" x14ac:dyDescent="0.3">
      <c r="A19" s="120" t="s">
        <v>16</v>
      </c>
      <c r="B19" s="121" t="s">
        <v>68</v>
      </c>
      <c r="C19" s="122">
        <v>0.73</v>
      </c>
      <c r="D19" s="122" t="s">
        <v>161</v>
      </c>
      <c r="E19" s="122">
        <v>1.56</v>
      </c>
      <c r="F19" s="123" t="s">
        <v>274</v>
      </c>
      <c r="G19" s="124">
        <v>0.43</v>
      </c>
      <c r="H19" s="122" t="s">
        <v>152</v>
      </c>
      <c r="I19" s="125">
        <v>0.25</v>
      </c>
      <c r="J19" s="77"/>
      <c r="K19" s="77"/>
      <c r="L19" s="77"/>
      <c r="M19" s="77"/>
      <c r="N19" s="77"/>
    </row>
    <row r="20" spans="1:14" x14ac:dyDescent="0.3">
      <c r="A20" s="120" t="s">
        <v>52</v>
      </c>
      <c r="B20" s="121" t="s">
        <v>69</v>
      </c>
      <c r="C20" s="122">
        <v>0.69</v>
      </c>
      <c r="D20" s="122" t="s">
        <v>131</v>
      </c>
      <c r="E20" s="122">
        <v>1.56</v>
      </c>
      <c r="F20" s="123" t="s">
        <v>274</v>
      </c>
      <c r="G20" s="124">
        <v>0.43</v>
      </c>
      <c r="H20" s="122" t="s">
        <v>282</v>
      </c>
      <c r="I20" s="125">
        <v>0.25</v>
      </c>
      <c r="J20" s="77"/>
      <c r="K20" s="77"/>
      <c r="L20" s="77"/>
      <c r="M20" s="77"/>
      <c r="N20" s="77"/>
    </row>
    <row r="21" spans="1:14" x14ac:dyDescent="0.3">
      <c r="A21" s="120" t="s">
        <v>154</v>
      </c>
      <c r="B21" s="121" t="s">
        <v>155</v>
      </c>
      <c r="C21" s="122">
        <v>0.36</v>
      </c>
      <c r="D21" s="122" t="s">
        <v>161</v>
      </c>
      <c r="E21" s="122">
        <v>1.3</v>
      </c>
      <c r="F21" s="123" t="s">
        <v>274</v>
      </c>
      <c r="G21" s="124">
        <v>0.55000000000000004</v>
      </c>
      <c r="H21" s="122" t="s">
        <v>153</v>
      </c>
      <c r="I21" s="125">
        <v>0.43</v>
      </c>
      <c r="J21" s="77"/>
      <c r="K21" s="77"/>
      <c r="L21" s="77"/>
      <c r="M21" s="77"/>
      <c r="N21" s="77"/>
    </row>
    <row r="22" spans="1:14" x14ac:dyDescent="0.3">
      <c r="A22" s="120" t="s">
        <v>17</v>
      </c>
      <c r="B22" s="121" t="s">
        <v>70</v>
      </c>
      <c r="C22" s="122">
        <v>0.4</v>
      </c>
      <c r="D22" s="122" t="s">
        <v>161</v>
      </c>
      <c r="E22" s="122">
        <v>1.3</v>
      </c>
      <c r="F22" s="123" t="s">
        <v>274</v>
      </c>
      <c r="G22" s="124">
        <v>0.55000000000000004</v>
      </c>
      <c r="H22" s="122" t="s">
        <v>153</v>
      </c>
      <c r="I22" s="125">
        <v>0.43</v>
      </c>
      <c r="J22" s="77"/>
      <c r="K22" s="77"/>
      <c r="L22" s="77"/>
      <c r="M22" s="77"/>
      <c r="N22" s="77"/>
    </row>
    <row r="23" spans="1:14" x14ac:dyDescent="0.3">
      <c r="A23" s="120" t="s">
        <v>18</v>
      </c>
      <c r="B23" s="121" t="s">
        <v>71</v>
      </c>
      <c r="C23" s="122">
        <v>0.43</v>
      </c>
      <c r="D23" s="122" t="s">
        <v>161</v>
      </c>
      <c r="E23" s="122">
        <v>1.3</v>
      </c>
      <c r="F23" s="123" t="s">
        <v>274</v>
      </c>
      <c r="G23" s="124">
        <v>0.55000000000000004</v>
      </c>
      <c r="H23" s="122" t="s">
        <v>153</v>
      </c>
      <c r="I23" s="125">
        <v>0.43</v>
      </c>
      <c r="J23" s="77"/>
      <c r="K23" s="77"/>
      <c r="L23" s="77"/>
      <c r="M23" s="77"/>
      <c r="N23" s="77"/>
    </row>
    <row r="24" spans="1:14" x14ac:dyDescent="0.3">
      <c r="A24" s="120" t="s">
        <v>19</v>
      </c>
      <c r="B24" s="121" t="s">
        <v>72</v>
      </c>
      <c r="C24" s="122">
        <v>0.37</v>
      </c>
      <c r="D24" s="122" t="s">
        <v>161</v>
      </c>
      <c r="E24" s="122">
        <v>1.3</v>
      </c>
      <c r="F24" s="123" t="s">
        <v>274</v>
      </c>
      <c r="G24" s="124">
        <v>0.55000000000000004</v>
      </c>
      <c r="H24" s="122" t="s">
        <v>152</v>
      </c>
      <c r="I24" s="125">
        <v>0.43</v>
      </c>
      <c r="J24" s="77"/>
      <c r="K24" s="77"/>
      <c r="L24" s="77"/>
      <c r="M24" s="77"/>
      <c r="N24" s="77"/>
    </row>
    <row r="25" spans="1:14" x14ac:dyDescent="0.3">
      <c r="A25" s="120" t="s">
        <v>20</v>
      </c>
      <c r="B25" s="121" t="s">
        <v>73</v>
      </c>
      <c r="C25" s="122">
        <v>0.36</v>
      </c>
      <c r="D25" s="122" t="s">
        <v>161</v>
      </c>
      <c r="E25" s="122">
        <v>1.3</v>
      </c>
      <c r="F25" s="123" t="s">
        <v>274</v>
      </c>
      <c r="G25" s="124">
        <v>0.55000000000000004</v>
      </c>
      <c r="H25" s="122" t="s">
        <v>152</v>
      </c>
      <c r="I25" s="125">
        <v>0.43</v>
      </c>
      <c r="J25" s="77"/>
      <c r="K25" s="77"/>
      <c r="L25" s="77"/>
      <c r="M25" s="77"/>
      <c r="N25" s="77"/>
    </row>
    <row r="26" spans="1:14" x14ac:dyDescent="0.3">
      <c r="A26" s="120" t="s">
        <v>21</v>
      </c>
      <c r="B26" s="121" t="s">
        <v>74</v>
      </c>
      <c r="C26" s="122">
        <v>0.56000000000000005</v>
      </c>
      <c r="D26" s="122" t="s">
        <v>161</v>
      </c>
      <c r="E26" s="122">
        <v>1.56</v>
      </c>
      <c r="F26" s="123" t="s">
        <v>274</v>
      </c>
      <c r="G26" s="124">
        <v>0.53</v>
      </c>
      <c r="H26" s="122" t="s">
        <v>275</v>
      </c>
      <c r="I26" s="125">
        <v>0.25</v>
      </c>
      <c r="J26" s="77"/>
      <c r="K26" s="77"/>
      <c r="L26" s="77"/>
      <c r="M26" s="77"/>
      <c r="N26" s="77"/>
    </row>
    <row r="27" spans="1:14" x14ac:dyDescent="0.3">
      <c r="A27" s="120" t="s">
        <v>22</v>
      </c>
      <c r="B27" s="121" t="s">
        <v>75</v>
      </c>
      <c r="C27" s="122">
        <v>0.51</v>
      </c>
      <c r="D27" s="122" t="s">
        <v>161</v>
      </c>
      <c r="E27" s="122">
        <v>1.56</v>
      </c>
      <c r="F27" s="123" t="s">
        <v>274</v>
      </c>
      <c r="G27" s="124">
        <v>0.53</v>
      </c>
      <c r="H27" s="122" t="s">
        <v>275</v>
      </c>
      <c r="I27" s="125">
        <v>0.25</v>
      </c>
      <c r="J27" s="77"/>
      <c r="K27" s="77"/>
      <c r="L27" s="77"/>
      <c r="M27" s="77"/>
      <c r="N27" s="77"/>
    </row>
    <row r="28" spans="1:14" x14ac:dyDescent="0.3">
      <c r="A28" s="120" t="s">
        <v>23</v>
      </c>
      <c r="B28" s="121" t="s">
        <v>76</v>
      </c>
      <c r="C28" s="122">
        <v>0.51</v>
      </c>
      <c r="D28" s="122" t="s">
        <v>161</v>
      </c>
      <c r="E28" s="122">
        <v>1.56</v>
      </c>
      <c r="F28" s="123" t="s">
        <v>274</v>
      </c>
      <c r="G28" s="124">
        <v>0.53</v>
      </c>
      <c r="H28" s="122" t="s">
        <v>275</v>
      </c>
      <c r="I28" s="125">
        <v>0.25</v>
      </c>
      <c r="J28" s="77"/>
      <c r="K28" s="77"/>
      <c r="L28" s="77"/>
      <c r="M28" s="77"/>
      <c r="N28" s="77"/>
    </row>
    <row r="29" spans="1:14" x14ac:dyDescent="0.3">
      <c r="A29" s="120" t="s">
        <v>24</v>
      </c>
      <c r="B29" s="121" t="s">
        <v>24</v>
      </c>
      <c r="C29" s="122">
        <v>0.56000000000000005</v>
      </c>
      <c r="D29" s="122" t="s">
        <v>161</v>
      </c>
      <c r="E29" s="122">
        <v>1.56</v>
      </c>
      <c r="F29" s="123" t="s">
        <v>274</v>
      </c>
      <c r="G29" s="124">
        <v>0.53</v>
      </c>
      <c r="H29" s="122" t="s">
        <v>275</v>
      </c>
      <c r="I29" s="125">
        <v>0.25</v>
      </c>
      <c r="J29" s="77"/>
      <c r="K29" s="77"/>
      <c r="L29" s="77"/>
      <c r="M29" s="77"/>
      <c r="N29" s="77"/>
    </row>
    <row r="30" spans="1:14" x14ac:dyDescent="0.3">
      <c r="A30" s="120" t="s">
        <v>25</v>
      </c>
      <c r="B30" s="121" t="s">
        <v>77</v>
      </c>
      <c r="C30" s="122">
        <v>0.55000000000000004</v>
      </c>
      <c r="D30" s="122" t="s">
        <v>161</v>
      </c>
      <c r="E30" s="122">
        <v>1.56</v>
      </c>
      <c r="F30" s="123" t="s">
        <v>274</v>
      </c>
      <c r="G30" s="124">
        <v>0.53</v>
      </c>
      <c r="H30" s="122" t="s">
        <v>152</v>
      </c>
      <c r="I30" s="125">
        <v>0.25</v>
      </c>
      <c r="J30" s="77"/>
      <c r="K30" s="77"/>
      <c r="L30" s="77"/>
      <c r="M30" s="77"/>
      <c r="N30" s="77"/>
    </row>
    <row r="31" spans="1:14" x14ac:dyDescent="0.3">
      <c r="A31" s="120" t="s">
        <v>26</v>
      </c>
      <c r="B31" s="121" t="s">
        <v>78</v>
      </c>
      <c r="C31" s="122">
        <v>0.56000000000000005</v>
      </c>
      <c r="D31" s="122" t="s">
        <v>161</v>
      </c>
      <c r="E31" s="122">
        <v>1.56</v>
      </c>
      <c r="F31" s="123" t="s">
        <v>274</v>
      </c>
      <c r="G31" s="124">
        <v>0.43</v>
      </c>
      <c r="H31" s="122" t="s">
        <v>278</v>
      </c>
      <c r="I31" s="125">
        <v>0.25</v>
      </c>
      <c r="J31" s="77"/>
      <c r="K31" s="77"/>
      <c r="L31" s="77"/>
      <c r="M31" s="77"/>
      <c r="N31" s="77"/>
    </row>
    <row r="32" spans="1:14" x14ac:dyDescent="0.3">
      <c r="A32" s="120" t="s">
        <v>27</v>
      </c>
      <c r="B32" s="121" t="s">
        <v>79</v>
      </c>
      <c r="C32" s="122">
        <v>0.48</v>
      </c>
      <c r="D32" s="122" t="s">
        <v>161</v>
      </c>
      <c r="E32" s="122">
        <v>1.3</v>
      </c>
      <c r="F32" s="123" t="s">
        <v>274</v>
      </c>
      <c r="G32" s="124">
        <v>0.6</v>
      </c>
      <c r="H32" s="122" t="s">
        <v>281</v>
      </c>
      <c r="I32" s="125">
        <v>0.43</v>
      </c>
      <c r="J32" s="77"/>
      <c r="K32" s="77"/>
      <c r="L32" s="77"/>
      <c r="M32" s="77"/>
      <c r="N32" s="77"/>
    </row>
    <row r="33" spans="1:14" x14ac:dyDescent="0.3">
      <c r="A33" s="120" t="s">
        <v>28</v>
      </c>
      <c r="B33" s="121" t="s">
        <v>80</v>
      </c>
      <c r="C33" s="122">
        <v>0.42</v>
      </c>
      <c r="D33" s="122" t="s">
        <v>161</v>
      </c>
      <c r="E33" s="122">
        <v>1.3</v>
      </c>
      <c r="F33" s="123" t="s">
        <v>274</v>
      </c>
      <c r="G33" s="124">
        <v>0.6</v>
      </c>
      <c r="H33" s="122" t="s">
        <v>281</v>
      </c>
      <c r="I33" s="125">
        <v>0.43</v>
      </c>
      <c r="J33" s="77"/>
      <c r="K33" s="77"/>
      <c r="L33" s="77"/>
      <c r="M33" s="77"/>
      <c r="N33" s="77"/>
    </row>
    <row r="34" spans="1:14" x14ac:dyDescent="0.3">
      <c r="A34" s="120" t="s">
        <v>81</v>
      </c>
      <c r="B34" s="121" t="s">
        <v>163</v>
      </c>
      <c r="C34" s="122">
        <v>0.42</v>
      </c>
      <c r="D34" s="122" t="s">
        <v>103</v>
      </c>
      <c r="E34" s="122">
        <v>1.3</v>
      </c>
      <c r="F34" s="123" t="s">
        <v>274</v>
      </c>
      <c r="G34" s="124">
        <v>0.6</v>
      </c>
      <c r="H34" s="121" t="s">
        <v>280</v>
      </c>
      <c r="I34" s="125">
        <v>0.43</v>
      </c>
      <c r="J34" s="77"/>
      <c r="K34" s="77"/>
      <c r="L34" s="77"/>
      <c r="M34" s="77"/>
      <c r="N34" s="77"/>
    </row>
    <row r="35" spans="1:14" x14ac:dyDescent="0.3">
      <c r="A35" s="120" t="s">
        <v>29</v>
      </c>
      <c r="B35" s="121" t="s">
        <v>82</v>
      </c>
      <c r="C35" s="122">
        <v>0.5</v>
      </c>
      <c r="D35" s="122" t="s">
        <v>161</v>
      </c>
      <c r="E35" s="122">
        <v>1.56</v>
      </c>
      <c r="F35" s="123" t="s">
        <v>274</v>
      </c>
      <c r="G35" s="124">
        <v>0.43</v>
      </c>
      <c r="H35" s="122" t="s">
        <v>278</v>
      </c>
      <c r="I35" s="125">
        <v>0.25</v>
      </c>
      <c r="J35" s="77"/>
      <c r="K35" s="77"/>
      <c r="L35" s="77"/>
      <c r="M35" s="77"/>
      <c r="N35" s="77"/>
    </row>
    <row r="36" spans="1:14" x14ac:dyDescent="0.3">
      <c r="A36" s="120" t="s">
        <v>102</v>
      </c>
      <c r="B36" s="121" t="s">
        <v>101</v>
      </c>
      <c r="C36" s="122">
        <v>0.55000000000000004</v>
      </c>
      <c r="D36" s="122" t="s">
        <v>161</v>
      </c>
      <c r="E36" s="122">
        <v>1.56</v>
      </c>
      <c r="F36" s="123" t="s">
        <v>274</v>
      </c>
      <c r="G36" s="124">
        <v>0.53</v>
      </c>
      <c r="H36" s="122" t="s">
        <v>275</v>
      </c>
      <c r="I36" s="125">
        <v>0.25</v>
      </c>
      <c r="J36" s="77"/>
      <c r="K36" s="77"/>
      <c r="L36" s="77"/>
      <c r="M36" s="77"/>
      <c r="N36" s="77"/>
    </row>
    <row r="37" spans="1:14" x14ac:dyDescent="0.3">
      <c r="A37" s="120" t="s">
        <v>30</v>
      </c>
      <c r="B37" s="121" t="s">
        <v>104</v>
      </c>
      <c r="C37" s="122">
        <v>0.52</v>
      </c>
      <c r="D37" s="122" t="s">
        <v>161</v>
      </c>
      <c r="E37" s="122">
        <v>1.56</v>
      </c>
      <c r="F37" s="123" t="s">
        <v>274</v>
      </c>
      <c r="G37" s="124">
        <v>0.53</v>
      </c>
      <c r="H37" s="122" t="s">
        <v>275</v>
      </c>
      <c r="I37" s="125">
        <v>0.25</v>
      </c>
      <c r="J37" s="77"/>
      <c r="K37" s="77"/>
      <c r="L37" s="77"/>
      <c r="M37" s="77"/>
      <c r="N37" s="77"/>
    </row>
    <row r="38" spans="1:14" x14ac:dyDescent="0.3">
      <c r="A38" s="120" t="s">
        <v>31</v>
      </c>
      <c r="B38" s="121" t="s">
        <v>105</v>
      </c>
      <c r="C38" s="122">
        <v>0.52</v>
      </c>
      <c r="D38" s="122" t="s">
        <v>161</v>
      </c>
      <c r="E38" s="122">
        <v>1.56</v>
      </c>
      <c r="F38" s="123" t="s">
        <v>274</v>
      </c>
      <c r="G38" s="124">
        <v>0.43</v>
      </c>
      <c r="H38" s="122" t="s">
        <v>278</v>
      </c>
      <c r="I38" s="125">
        <v>0.25</v>
      </c>
      <c r="J38" s="77"/>
      <c r="K38" s="77"/>
      <c r="L38" s="77"/>
      <c r="M38" s="77"/>
      <c r="N38" s="77"/>
    </row>
    <row r="39" spans="1:14" x14ac:dyDescent="0.3">
      <c r="A39" s="120" t="s">
        <v>107</v>
      </c>
      <c r="B39" s="121" t="s">
        <v>132</v>
      </c>
      <c r="C39" s="122">
        <v>0.313</v>
      </c>
      <c r="D39" s="122" t="s">
        <v>130</v>
      </c>
      <c r="E39" s="122">
        <v>1.56</v>
      </c>
      <c r="F39" s="123" t="s">
        <v>274</v>
      </c>
      <c r="G39" s="124">
        <v>0.6</v>
      </c>
      <c r="H39" s="122" t="s">
        <v>283</v>
      </c>
      <c r="I39" s="125">
        <v>1.03</v>
      </c>
      <c r="J39" s="77"/>
      <c r="K39" s="77"/>
      <c r="L39" s="77"/>
      <c r="M39" s="77"/>
      <c r="N39" s="77"/>
    </row>
    <row r="40" spans="1:14" x14ac:dyDescent="0.3">
      <c r="A40" s="120" t="s">
        <v>108</v>
      </c>
      <c r="B40" s="121" t="s">
        <v>132</v>
      </c>
      <c r="C40" s="122">
        <v>0.35199999999999998</v>
      </c>
      <c r="D40" s="122" t="s">
        <v>130</v>
      </c>
      <c r="E40" s="122">
        <v>1.56</v>
      </c>
      <c r="F40" s="123" t="s">
        <v>274</v>
      </c>
      <c r="G40" s="124">
        <v>0.6</v>
      </c>
      <c r="H40" s="122" t="s">
        <v>283</v>
      </c>
      <c r="I40" s="125">
        <v>1.03</v>
      </c>
      <c r="J40" s="77"/>
      <c r="K40" s="77"/>
      <c r="L40" s="77"/>
      <c r="M40" s="77"/>
      <c r="N40" s="77"/>
    </row>
    <row r="41" spans="1:14" x14ac:dyDescent="0.3">
      <c r="A41" s="120" t="s">
        <v>121</v>
      </c>
      <c r="B41" s="121" t="s">
        <v>132</v>
      </c>
      <c r="C41" s="122">
        <v>0.32200000000000001</v>
      </c>
      <c r="D41" s="122" t="s">
        <v>130</v>
      </c>
      <c r="E41" s="122">
        <v>1.56</v>
      </c>
      <c r="F41" s="123" t="s">
        <v>274</v>
      </c>
      <c r="G41" s="124">
        <v>0.6</v>
      </c>
      <c r="H41" s="122" t="s">
        <v>283</v>
      </c>
      <c r="I41" s="125">
        <v>1.03</v>
      </c>
      <c r="J41" s="77"/>
      <c r="K41" s="77"/>
      <c r="L41" s="77"/>
      <c r="M41" s="77"/>
      <c r="N41" s="77"/>
    </row>
    <row r="42" spans="1:14" x14ac:dyDescent="0.3">
      <c r="A42" s="120" t="s">
        <v>122</v>
      </c>
      <c r="B42" s="121" t="s">
        <v>132</v>
      </c>
      <c r="C42" s="122">
        <v>0.311</v>
      </c>
      <c r="D42" s="122" t="s">
        <v>130</v>
      </c>
      <c r="E42" s="122">
        <v>1.56</v>
      </c>
      <c r="F42" s="123" t="s">
        <v>274</v>
      </c>
      <c r="G42" s="124">
        <v>0.6</v>
      </c>
      <c r="H42" s="122" t="s">
        <v>283</v>
      </c>
      <c r="I42" s="125">
        <v>1.03</v>
      </c>
      <c r="J42" s="77"/>
      <c r="K42" s="77"/>
      <c r="L42" s="77"/>
      <c r="M42" s="77"/>
      <c r="N42" s="77"/>
    </row>
    <row r="43" spans="1:14" x14ac:dyDescent="0.3">
      <c r="A43" s="120" t="s">
        <v>109</v>
      </c>
      <c r="B43" s="121" t="s">
        <v>132</v>
      </c>
      <c r="C43" s="122">
        <v>0.33900000000000002</v>
      </c>
      <c r="D43" s="122" t="s">
        <v>130</v>
      </c>
      <c r="E43" s="122">
        <v>1.56</v>
      </c>
      <c r="F43" s="123" t="s">
        <v>274</v>
      </c>
      <c r="G43" s="124">
        <v>0.6</v>
      </c>
      <c r="H43" s="122" t="s">
        <v>283</v>
      </c>
      <c r="I43" s="125">
        <v>1.03</v>
      </c>
      <c r="J43" s="77"/>
      <c r="K43" s="77"/>
      <c r="L43" s="77"/>
      <c r="M43" s="77"/>
      <c r="N43" s="77"/>
    </row>
    <row r="44" spans="1:14" x14ac:dyDescent="0.3">
      <c r="A44" s="120" t="s">
        <v>123</v>
      </c>
      <c r="B44" s="121" t="s">
        <v>132</v>
      </c>
      <c r="C44" s="122">
        <v>0.33600000000000002</v>
      </c>
      <c r="D44" s="122" t="s">
        <v>130</v>
      </c>
      <c r="E44" s="122">
        <v>1.56</v>
      </c>
      <c r="F44" s="123" t="s">
        <v>274</v>
      </c>
      <c r="G44" s="124">
        <v>0.6</v>
      </c>
      <c r="H44" s="122" t="s">
        <v>283</v>
      </c>
      <c r="I44" s="125">
        <v>1.03</v>
      </c>
      <c r="J44" s="77"/>
      <c r="K44" s="77"/>
      <c r="L44" s="77"/>
      <c r="M44" s="77"/>
      <c r="N44" s="77"/>
    </row>
    <row r="45" spans="1:14" x14ac:dyDescent="0.3">
      <c r="A45" s="120" t="s">
        <v>110</v>
      </c>
      <c r="B45" s="121" t="s">
        <v>132</v>
      </c>
      <c r="C45" s="122">
        <v>0.32900000000000001</v>
      </c>
      <c r="D45" s="122" t="s">
        <v>130</v>
      </c>
      <c r="E45" s="122">
        <v>1.56</v>
      </c>
      <c r="F45" s="123" t="s">
        <v>274</v>
      </c>
      <c r="G45" s="124">
        <v>0.6</v>
      </c>
      <c r="H45" s="122" t="s">
        <v>283</v>
      </c>
      <c r="I45" s="125">
        <v>1.03</v>
      </c>
      <c r="J45" s="77"/>
      <c r="K45" s="77"/>
      <c r="L45" s="77"/>
      <c r="M45" s="77"/>
      <c r="N45" s="77"/>
    </row>
    <row r="46" spans="1:14" x14ac:dyDescent="0.3">
      <c r="A46" s="120" t="s">
        <v>124</v>
      </c>
      <c r="B46" s="121" t="s">
        <v>132</v>
      </c>
      <c r="C46" s="122">
        <v>0.34300000000000003</v>
      </c>
      <c r="D46" s="122" t="s">
        <v>130</v>
      </c>
      <c r="E46" s="122">
        <v>1.56</v>
      </c>
      <c r="F46" s="123" t="s">
        <v>274</v>
      </c>
      <c r="G46" s="124">
        <v>0.6</v>
      </c>
      <c r="H46" s="122" t="s">
        <v>283</v>
      </c>
      <c r="I46" s="125">
        <v>1.03</v>
      </c>
      <c r="J46" s="77"/>
      <c r="K46" s="77"/>
      <c r="L46" s="77"/>
      <c r="M46" s="77"/>
      <c r="N46" s="77"/>
    </row>
    <row r="47" spans="1:14" x14ac:dyDescent="0.3">
      <c r="A47" s="120" t="s">
        <v>125</v>
      </c>
      <c r="B47" s="121" t="s">
        <v>132</v>
      </c>
      <c r="C47" s="122">
        <v>0.32500000000000001</v>
      </c>
      <c r="D47" s="122" t="s">
        <v>130</v>
      </c>
      <c r="E47" s="122">
        <v>1.56</v>
      </c>
      <c r="F47" s="123" t="s">
        <v>274</v>
      </c>
      <c r="G47" s="124">
        <v>0.6</v>
      </c>
      <c r="H47" s="122" t="s">
        <v>283</v>
      </c>
      <c r="I47" s="125">
        <v>1.03</v>
      </c>
      <c r="J47" s="77"/>
      <c r="K47" s="77"/>
      <c r="L47" s="77"/>
      <c r="M47" s="77"/>
      <c r="N47" s="77"/>
    </row>
    <row r="48" spans="1:14" x14ac:dyDescent="0.3">
      <c r="A48" s="120" t="s">
        <v>126</v>
      </c>
      <c r="B48" s="121" t="s">
        <v>132</v>
      </c>
      <c r="C48" s="122">
        <v>0.32</v>
      </c>
      <c r="D48" s="122" t="s">
        <v>130</v>
      </c>
      <c r="E48" s="122">
        <v>1.56</v>
      </c>
      <c r="F48" s="123" t="s">
        <v>274</v>
      </c>
      <c r="G48" s="124">
        <v>0.6</v>
      </c>
      <c r="H48" s="122" t="s">
        <v>283</v>
      </c>
      <c r="I48" s="125">
        <v>1.03</v>
      </c>
      <c r="J48" s="77"/>
      <c r="K48" s="77"/>
      <c r="L48" s="77"/>
      <c r="M48" s="77"/>
      <c r="N48" s="77"/>
    </row>
    <row r="49" spans="1:14" x14ac:dyDescent="0.3">
      <c r="A49" s="120" t="s">
        <v>111</v>
      </c>
      <c r="B49" s="121" t="s">
        <v>132</v>
      </c>
      <c r="C49" s="122">
        <v>0.28199999999999997</v>
      </c>
      <c r="D49" s="122" t="s">
        <v>130</v>
      </c>
      <c r="E49" s="122">
        <v>1.56</v>
      </c>
      <c r="F49" s="123" t="s">
        <v>274</v>
      </c>
      <c r="G49" s="124">
        <v>0.6</v>
      </c>
      <c r="H49" s="122" t="s">
        <v>283</v>
      </c>
      <c r="I49" s="125">
        <v>1.03</v>
      </c>
      <c r="J49" s="77"/>
      <c r="K49" s="77"/>
      <c r="L49" s="77"/>
      <c r="M49" s="77"/>
      <c r="N49" s="77"/>
    </row>
    <row r="50" spans="1:14" x14ac:dyDescent="0.3">
      <c r="A50" s="120" t="s">
        <v>127</v>
      </c>
      <c r="B50" s="121" t="s">
        <v>132</v>
      </c>
      <c r="C50" s="122">
        <v>0.32800000000000001</v>
      </c>
      <c r="D50" s="122" t="s">
        <v>130</v>
      </c>
      <c r="E50" s="122">
        <v>1.56</v>
      </c>
      <c r="F50" s="123" t="s">
        <v>274</v>
      </c>
      <c r="G50" s="124">
        <v>0.6</v>
      </c>
      <c r="H50" s="122" t="s">
        <v>283</v>
      </c>
      <c r="I50" s="125">
        <v>1.03</v>
      </c>
      <c r="J50" s="77"/>
      <c r="K50" s="77"/>
      <c r="L50" s="77"/>
      <c r="M50" s="77"/>
      <c r="N50" s="77"/>
    </row>
    <row r="51" spans="1:14" x14ac:dyDescent="0.3">
      <c r="A51" s="120" t="s">
        <v>112</v>
      </c>
      <c r="B51" s="121" t="s">
        <v>132</v>
      </c>
      <c r="C51" s="122">
        <v>0.32600000000000001</v>
      </c>
      <c r="D51" s="122" t="s">
        <v>130</v>
      </c>
      <c r="E51" s="122">
        <v>1.56</v>
      </c>
      <c r="F51" s="123" t="s">
        <v>274</v>
      </c>
      <c r="G51" s="124">
        <v>0.6</v>
      </c>
      <c r="H51" s="122" t="s">
        <v>283</v>
      </c>
      <c r="I51" s="125">
        <v>1.03</v>
      </c>
      <c r="J51" s="77"/>
      <c r="K51" s="77"/>
      <c r="L51" s="77"/>
      <c r="M51" s="77"/>
      <c r="N51" s="77"/>
    </row>
    <row r="52" spans="1:14" x14ac:dyDescent="0.3">
      <c r="A52" s="120" t="s">
        <v>113</v>
      </c>
      <c r="B52" s="121" t="s">
        <v>132</v>
      </c>
      <c r="C52" s="122">
        <v>0.35899999999999999</v>
      </c>
      <c r="D52" s="122" t="s">
        <v>130</v>
      </c>
      <c r="E52" s="122">
        <v>1.56</v>
      </c>
      <c r="F52" s="123" t="s">
        <v>274</v>
      </c>
      <c r="G52" s="124">
        <v>0.6</v>
      </c>
      <c r="H52" s="122" t="s">
        <v>283</v>
      </c>
      <c r="I52" s="125">
        <v>1.03</v>
      </c>
      <c r="J52" s="77"/>
      <c r="K52" s="77"/>
      <c r="L52" s="77"/>
      <c r="M52" s="77"/>
      <c r="N52" s="77"/>
    </row>
    <row r="53" spans="1:14" x14ac:dyDescent="0.3">
      <c r="A53" s="120" t="s">
        <v>114</v>
      </c>
      <c r="B53" s="121" t="s">
        <v>132</v>
      </c>
      <c r="C53" s="122">
        <v>0.34599999999999997</v>
      </c>
      <c r="D53" s="122" t="s">
        <v>130</v>
      </c>
      <c r="E53" s="122">
        <v>1.56</v>
      </c>
      <c r="F53" s="123" t="s">
        <v>274</v>
      </c>
      <c r="G53" s="124">
        <v>0.6</v>
      </c>
      <c r="H53" s="122" t="s">
        <v>283</v>
      </c>
      <c r="I53" s="125">
        <v>1.03</v>
      </c>
      <c r="J53" s="77"/>
      <c r="K53" s="77"/>
      <c r="L53" s="77"/>
      <c r="M53" s="77"/>
      <c r="N53" s="77"/>
    </row>
    <row r="54" spans="1:14" x14ac:dyDescent="0.3">
      <c r="A54" s="120" t="s">
        <v>115</v>
      </c>
      <c r="B54" s="121" t="s">
        <v>132</v>
      </c>
      <c r="C54" s="122">
        <v>0.32600000000000001</v>
      </c>
      <c r="D54" s="122" t="s">
        <v>130</v>
      </c>
      <c r="E54" s="122">
        <v>1.56</v>
      </c>
      <c r="F54" s="123" t="s">
        <v>274</v>
      </c>
      <c r="G54" s="124">
        <v>0.6</v>
      </c>
      <c r="H54" s="122" t="s">
        <v>283</v>
      </c>
      <c r="I54" s="125">
        <v>1.03</v>
      </c>
      <c r="J54" s="77"/>
      <c r="K54" s="77"/>
      <c r="L54" s="77"/>
      <c r="M54" s="77"/>
      <c r="N54" s="77"/>
    </row>
    <row r="55" spans="1:14" x14ac:dyDescent="0.3">
      <c r="A55" s="120" t="s">
        <v>116</v>
      </c>
      <c r="B55" s="121" t="s">
        <v>132</v>
      </c>
      <c r="C55" s="122">
        <v>0.30499999999999999</v>
      </c>
      <c r="D55" s="122" t="s">
        <v>130</v>
      </c>
      <c r="E55" s="122">
        <v>1.56</v>
      </c>
      <c r="F55" s="123" t="s">
        <v>274</v>
      </c>
      <c r="G55" s="124">
        <v>0.6</v>
      </c>
      <c r="H55" s="122" t="s">
        <v>283</v>
      </c>
      <c r="I55" s="125">
        <v>1.03</v>
      </c>
      <c r="J55" s="77"/>
      <c r="K55" s="77"/>
      <c r="L55" s="77"/>
      <c r="M55" s="77"/>
      <c r="N55" s="77"/>
    </row>
    <row r="56" spans="1:14" x14ac:dyDescent="0.3">
      <c r="A56" s="120" t="s">
        <v>128</v>
      </c>
      <c r="B56" s="121" t="s">
        <v>132</v>
      </c>
      <c r="C56" s="122">
        <v>0.32300000000000001</v>
      </c>
      <c r="D56" s="122" t="s">
        <v>130</v>
      </c>
      <c r="E56" s="122">
        <v>1.56</v>
      </c>
      <c r="F56" s="123" t="s">
        <v>274</v>
      </c>
      <c r="G56" s="124">
        <v>0.6</v>
      </c>
      <c r="H56" s="122" t="s">
        <v>283</v>
      </c>
      <c r="I56" s="125">
        <v>1.03</v>
      </c>
      <c r="J56" s="77"/>
      <c r="K56" s="77"/>
      <c r="L56" s="77"/>
      <c r="M56" s="77"/>
      <c r="N56" s="77"/>
    </row>
    <row r="57" spans="1:14" x14ac:dyDescent="0.3">
      <c r="A57" s="120" t="s">
        <v>129</v>
      </c>
      <c r="B57" s="121" t="s">
        <v>132</v>
      </c>
      <c r="C57" s="122">
        <v>0.36699999999999999</v>
      </c>
      <c r="D57" s="122" t="s">
        <v>130</v>
      </c>
      <c r="E57" s="122">
        <v>1.56</v>
      </c>
      <c r="F57" s="123" t="s">
        <v>274</v>
      </c>
      <c r="G57" s="124">
        <v>0.6</v>
      </c>
      <c r="H57" s="122" t="s">
        <v>283</v>
      </c>
      <c r="I57" s="125">
        <v>1.03</v>
      </c>
      <c r="J57" s="77"/>
      <c r="K57" s="77"/>
      <c r="L57" s="77"/>
      <c r="M57" s="77"/>
      <c r="N57" s="77"/>
    </row>
    <row r="58" spans="1:14" x14ac:dyDescent="0.3">
      <c r="A58" s="120" t="s">
        <v>117</v>
      </c>
      <c r="B58" s="121" t="s">
        <v>132</v>
      </c>
      <c r="C58" s="122">
        <v>0.36</v>
      </c>
      <c r="D58" s="122" t="s">
        <v>130</v>
      </c>
      <c r="E58" s="122">
        <v>1.56</v>
      </c>
      <c r="F58" s="123" t="s">
        <v>274</v>
      </c>
      <c r="G58" s="124">
        <v>0.6</v>
      </c>
      <c r="H58" s="122" t="s">
        <v>283</v>
      </c>
      <c r="I58" s="125">
        <v>1.03</v>
      </c>
      <c r="J58" s="77"/>
      <c r="K58" s="77"/>
      <c r="L58" s="77"/>
      <c r="M58" s="77"/>
      <c r="N58" s="77"/>
    </row>
    <row r="59" spans="1:14" x14ac:dyDescent="0.3">
      <c r="A59" s="120" t="s">
        <v>118</v>
      </c>
      <c r="B59" s="121" t="s">
        <v>132</v>
      </c>
      <c r="C59" s="122">
        <v>0.36799999999999999</v>
      </c>
      <c r="D59" s="122" t="s">
        <v>130</v>
      </c>
      <c r="E59" s="122">
        <v>1.56</v>
      </c>
      <c r="F59" s="123" t="s">
        <v>274</v>
      </c>
      <c r="G59" s="124">
        <v>0.6</v>
      </c>
      <c r="H59" s="122" t="s">
        <v>283</v>
      </c>
      <c r="I59" s="125">
        <v>1.03</v>
      </c>
      <c r="J59" s="77"/>
      <c r="K59" s="77"/>
      <c r="L59" s="77"/>
      <c r="M59" s="77"/>
      <c r="N59" s="77"/>
    </row>
    <row r="60" spans="1:14" x14ac:dyDescent="0.3">
      <c r="A60" s="120" t="s">
        <v>119</v>
      </c>
      <c r="B60" s="121" t="s">
        <v>132</v>
      </c>
      <c r="C60" s="122">
        <v>0.30599999999999999</v>
      </c>
      <c r="D60" s="122" t="s">
        <v>130</v>
      </c>
      <c r="E60" s="122">
        <v>1.56</v>
      </c>
      <c r="F60" s="123" t="s">
        <v>274</v>
      </c>
      <c r="G60" s="124">
        <v>0.6</v>
      </c>
      <c r="H60" s="122" t="s">
        <v>283</v>
      </c>
      <c r="I60" s="125">
        <v>1.03</v>
      </c>
      <c r="J60" s="77"/>
      <c r="K60" s="77"/>
      <c r="L60" s="77"/>
      <c r="M60" s="77"/>
      <c r="N60" s="77"/>
    </row>
    <row r="61" spans="1:14" x14ac:dyDescent="0.3">
      <c r="A61" s="120" t="s">
        <v>120</v>
      </c>
      <c r="B61" s="121" t="s">
        <v>132</v>
      </c>
      <c r="C61" s="122">
        <v>0.313</v>
      </c>
      <c r="D61" s="122" t="s">
        <v>130</v>
      </c>
      <c r="E61" s="122">
        <v>1.56</v>
      </c>
      <c r="F61" s="123" t="s">
        <v>274</v>
      </c>
      <c r="G61" s="124">
        <v>0.6</v>
      </c>
      <c r="H61" s="122" t="s">
        <v>283</v>
      </c>
      <c r="I61" s="125">
        <v>1.03</v>
      </c>
      <c r="J61" s="77"/>
      <c r="K61" s="77"/>
      <c r="L61" s="77"/>
      <c r="M61" s="77"/>
      <c r="N61" s="77"/>
    </row>
    <row r="62" spans="1:14" x14ac:dyDescent="0.3">
      <c r="A62" s="120" t="s">
        <v>32</v>
      </c>
      <c r="B62" s="121" t="s">
        <v>133</v>
      </c>
      <c r="C62" s="122">
        <v>0.37</v>
      </c>
      <c r="D62" s="122" t="s">
        <v>161</v>
      </c>
      <c r="E62" s="122">
        <v>1.56</v>
      </c>
      <c r="F62" s="123" t="s">
        <v>274</v>
      </c>
      <c r="G62" s="124">
        <v>0.6</v>
      </c>
      <c r="H62" s="122" t="s">
        <v>283</v>
      </c>
      <c r="I62" s="125">
        <v>1.03</v>
      </c>
      <c r="J62" s="77"/>
      <c r="K62" s="77"/>
      <c r="L62" s="77"/>
      <c r="M62" s="77"/>
      <c r="N62" s="77"/>
    </row>
    <row r="63" spans="1:14" x14ac:dyDescent="0.3">
      <c r="A63" s="120" t="s">
        <v>90</v>
      </c>
      <c r="B63" s="121" t="s">
        <v>83</v>
      </c>
      <c r="C63" s="122">
        <v>0.45</v>
      </c>
      <c r="D63" s="122" t="s">
        <v>161</v>
      </c>
      <c r="E63" s="122">
        <v>1.3</v>
      </c>
      <c r="F63" s="123" t="s">
        <v>274</v>
      </c>
      <c r="G63" s="124">
        <v>0.45</v>
      </c>
      <c r="H63" s="122" t="s">
        <v>276</v>
      </c>
      <c r="I63" s="125">
        <v>0.43</v>
      </c>
      <c r="J63" s="77"/>
      <c r="K63" s="77"/>
      <c r="L63" s="77"/>
      <c r="M63" s="77"/>
      <c r="N63" s="77"/>
    </row>
    <row r="64" spans="1:14" x14ac:dyDescent="0.3">
      <c r="A64" s="120" t="s">
        <v>33</v>
      </c>
      <c r="B64" s="121" t="s">
        <v>134</v>
      </c>
      <c r="C64" s="122">
        <v>0.39</v>
      </c>
      <c r="D64" s="122" t="s">
        <v>161</v>
      </c>
      <c r="E64" s="122">
        <v>1.3</v>
      </c>
      <c r="F64" s="123" t="s">
        <v>274</v>
      </c>
      <c r="G64" s="124">
        <v>0.45</v>
      </c>
      <c r="H64" s="122" t="s">
        <v>276</v>
      </c>
      <c r="I64" s="125">
        <v>0.43</v>
      </c>
      <c r="J64" s="77"/>
      <c r="K64" s="77"/>
      <c r="L64" s="77"/>
      <c r="M64" s="77"/>
      <c r="N64" s="77"/>
    </row>
    <row r="65" spans="1:14" x14ac:dyDescent="0.3">
      <c r="A65" s="120" t="s">
        <v>34</v>
      </c>
      <c r="B65" s="121" t="s">
        <v>135</v>
      </c>
      <c r="C65" s="122">
        <v>0.44</v>
      </c>
      <c r="D65" s="122" t="s">
        <v>161</v>
      </c>
      <c r="E65" s="122">
        <v>1.3</v>
      </c>
      <c r="F65" s="123" t="s">
        <v>274</v>
      </c>
      <c r="G65" s="124">
        <v>0.45</v>
      </c>
      <c r="H65" s="122" t="s">
        <v>276</v>
      </c>
      <c r="I65" s="125">
        <v>0.43</v>
      </c>
      <c r="J65" s="77"/>
      <c r="K65" s="77"/>
      <c r="L65" s="77"/>
      <c r="M65" s="77"/>
      <c r="N65" s="77"/>
    </row>
    <row r="66" spans="1:14" x14ac:dyDescent="0.3">
      <c r="A66" s="120" t="s">
        <v>35</v>
      </c>
      <c r="B66" s="121" t="s">
        <v>84</v>
      </c>
      <c r="C66" s="122">
        <v>0.46</v>
      </c>
      <c r="D66" s="122" t="s">
        <v>161</v>
      </c>
      <c r="E66" s="122">
        <v>1.3</v>
      </c>
      <c r="F66" s="123" t="s">
        <v>274</v>
      </c>
      <c r="G66" s="124">
        <v>0.45</v>
      </c>
      <c r="H66" s="122" t="s">
        <v>276</v>
      </c>
      <c r="I66" s="125">
        <v>0.43</v>
      </c>
      <c r="J66" s="77"/>
      <c r="K66" s="77"/>
      <c r="L66" s="77"/>
      <c r="M66" s="77"/>
      <c r="N66" s="77"/>
    </row>
    <row r="67" spans="1:14" x14ac:dyDescent="0.3">
      <c r="A67" s="120" t="s">
        <v>36</v>
      </c>
      <c r="B67" s="121" t="s">
        <v>85</v>
      </c>
      <c r="C67" s="122">
        <v>0.46</v>
      </c>
      <c r="D67" s="122" t="s">
        <v>161</v>
      </c>
      <c r="E67" s="122">
        <v>1.3</v>
      </c>
      <c r="F67" s="123" t="s">
        <v>274</v>
      </c>
      <c r="G67" s="124">
        <v>0.45</v>
      </c>
      <c r="H67" s="122" t="s">
        <v>152</v>
      </c>
      <c r="I67" s="125">
        <v>0.59</v>
      </c>
      <c r="J67" s="77"/>
      <c r="K67" s="77"/>
      <c r="L67" s="77"/>
      <c r="M67" s="77"/>
      <c r="N67" s="77"/>
    </row>
    <row r="68" spans="1:14" x14ac:dyDescent="0.3">
      <c r="A68" s="120" t="s">
        <v>37</v>
      </c>
      <c r="B68" s="121" t="s">
        <v>136</v>
      </c>
      <c r="C68" s="122">
        <v>0.44</v>
      </c>
      <c r="D68" s="122" t="s">
        <v>161</v>
      </c>
      <c r="E68" s="122">
        <v>1.3</v>
      </c>
      <c r="F68" s="123" t="s">
        <v>274</v>
      </c>
      <c r="G68" s="124">
        <v>0.45</v>
      </c>
      <c r="H68" s="122" t="s">
        <v>276</v>
      </c>
      <c r="I68" s="125">
        <v>0.43</v>
      </c>
      <c r="J68" s="77"/>
      <c r="K68" s="77"/>
      <c r="L68" s="77"/>
      <c r="M68" s="77"/>
      <c r="N68" s="77"/>
    </row>
    <row r="69" spans="1:14" x14ac:dyDescent="0.3">
      <c r="A69" s="120" t="s">
        <v>38</v>
      </c>
      <c r="B69" s="121" t="s">
        <v>86</v>
      </c>
      <c r="C69" s="122">
        <v>0.46</v>
      </c>
      <c r="D69" s="122" t="s">
        <v>161</v>
      </c>
      <c r="E69" s="122">
        <v>1.3</v>
      </c>
      <c r="F69" s="123" t="s">
        <v>274</v>
      </c>
      <c r="G69" s="124">
        <v>0.45</v>
      </c>
      <c r="H69" s="122" t="s">
        <v>276</v>
      </c>
      <c r="I69" s="125">
        <v>0.43</v>
      </c>
      <c r="J69" s="77"/>
      <c r="K69" s="77"/>
      <c r="L69" s="77"/>
      <c r="M69" s="77"/>
      <c r="N69" s="77"/>
    </row>
    <row r="70" spans="1:14" x14ac:dyDescent="0.3">
      <c r="A70" s="120" t="s">
        <v>39</v>
      </c>
      <c r="B70" s="121" t="s">
        <v>137</v>
      </c>
      <c r="C70" s="122">
        <v>0.48</v>
      </c>
      <c r="D70" s="122" t="s">
        <v>161</v>
      </c>
      <c r="E70" s="122">
        <v>2.4</v>
      </c>
      <c r="F70" s="122" t="s">
        <v>284</v>
      </c>
      <c r="G70" s="124">
        <v>0.45</v>
      </c>
      <c r="H70" s="122" t="s">
        <v>276</v>
      </c>
      <c r="I70" s="125">
        <v>0.43</v>
      </c>
      <c r="J70" s="77"/>
      <c r="K70" s="77"/>
      <c r="L70" s="77"/>
      <c r="M70" s="77"/>
      <c r="N70" s="77"/>
    </row>
    <row r="71" spans="1:14" x14ac:dyDescent="0.3">
      <c r="A71" s="120" t="s">
        <v>40</v>
      </c>
      <c r="B71" s="121" t="s">
        <v>87</v>
      </c>
      <c r="C71" s="122">
        <v>0.46</v>
      </c>
      <c r="D71" s="122" t="s">
        <v>150</v>
      </c>
      <c r="E71" s="122">
        <v>1.3</v>
      </c>
      <c r="F71" s="123" t="s">
        <v>274</v>
      </c>
      <c r="G71" s="124">
        <v>0.45</v>
      </c>
      <c r="H71" s="122" t="s">
        <v>276</v>
      </c>
      <c r="I71" s="125">
        <v>0.43</v>
      </c>
      <c r="J71" s="77"/>
      <c r="K71" s="77"/>
      <c r="L71" s="77"/>
      <c r="M71" s="77"/>
      <c r="N71" s="77"/>
    </row>
    <row r="72" spans="1:14" x14ac:dyDescent="0.3">
      <c r="A72" s="120" t="s">
        <v>41</v>
      </c>
      <c r="B72" s="121" t="s">
        <v>88</v>
      </c>
      <c r="C72" s="122">
        <v>0.44</v>
      </c>
      <c r="D72" s="122" t="s">
        <v>161</v>
      </c>
      <c r="E72" s="122">
        <v>1.3</v>
      </c>
      <c r="F72" s="123" t="s">
        <v>274</v>
      </c>
      <c r="G72" s="124">
        <v>0.45</v>
      </c>
      <c r="H72" s="122" t="s">
        <v>276</v>
      </c>
      <c r="I72" s="125">
        <v>0.43</v>
      </c>
      <c r="J72" s="77"/>
      <c r="K72" s="77"/>
      <c r="L72" s="77"/>
      <c r="M72" s="77"/>
      <c r="N72" s="77"/>
    </row>
    <row r="73" spans="1:14" x14ac:dyDescent="0.3">
      <c r="A73" s="120" t="s">
        <v>138</v>
      </c>
      <c r="B73" s="121" t="s">
        <v>140</v>
      </c>
      <c r="C73" s="122">
        <v>0.46</v>
      </c>
      <c r="D73" s="122" t="s">
        <v>151</v>
      </c>
      <c r="E73" s="122">
        <v>1.3</v>
      </c>
      <c r="F73" s="123" t="s">
        <v>274</v>
      </c>
      <c r="G73" s="124">
        <v>0.45</v>
      </c>
      <c r="H73" s="122" t="s">
        <v>276</v>
      </c>
      <c r="I73" s="125">
        <v>0.43</v>
      </c>
      <c r="J73" s="77"/>
      <c r="K73" s="77"/>
      <c r="L73" s="77"/>
      <c r="M73" s="77"/>
      <c r="N73" s="77"/>
    </row>
    <row r="74" spans="1:14" x14ac:dyDescent="0.3">
      <c r="A74" s="120" t="s">
        <v>42</v>
      </c>
      <c r="B74" s="121" t="s">
        <v>139</v>
      </c>
      <c r="C74" s="122">
        <v>0.34</v>
      </c>
      <c r="D74" s="122" t="s">
        <v>161</v>
      </c>
      <c r="E74" s="122">
        <v>1.3</v>
      </c>
      <c r="F74" s="123" t="s">
        <v>274</v>
      </c>
      <c r="G74" s="124">
        <v>0.45</v>
      </c>
      <c r="H74" s="122" t="s">
        <v>276</v>
      </c>
      <c r="I74" s="125">
        <v>0.43</v>
      </c>
      <c r="J74" s="77"/>
      <c r="K74" s="77"/>
      <c r="L74" s="77"/>
      <c r="M74" s="77"/>
      <c r="N74" s="77"/>
    </row>
    <row r="75" spans="1:14" x14ac:dyDescent="0.3">
      <c r="A75" s="120" t="s">
        <v>43</v>
      </c>
      <c r="B75" s="121" t="s">
        <v>162</v>
      </c>
      <c r="C75" s="122">
        <v>0.5</v>
      </c>
      <c r="D75" s="122" t="s">
        <v>161</v>
      </c>
      <c r="E75" s="122">
        <v>1.56</v>
      </c>
      <c r="F75" s="123" t="s">
        <v>274</v>
      </c>
      <c r="G75" s="124">
        <v>0.53</v>
      </c>
      <c r="H75" s="122" t="s">
        <v>275</v>
      </c>
      <c r="I75" s="125">
        <v>0.25</v>
      </c>
      <c r="J75" s="77"/>
      <c r="K75" s="77"/>
      <c r="L75" s="77"/>
      <c r="M75" s="77"/>
      <c r="N75" s="77"/>
    </row>
    <row r="76" spans="1:14" x14ac:dyDescent="0.3">
      <c r="A76" s="120" t="s">
        <v>44</v>
      </c>
      <c r="B76" s="121" t="s">
        <v>89</v>
      </c>
      <c r="C76" s="122">
        <v>0.57999999999999996</v>
      </c>
      <c r="D76" s="122" t="s">
        <v>161</v>
      </c>
      <c r="E76" s="122">
        <v>1.56</v>
      </c>
      <c r="F76" s="123" t="s">
        <v>274</v>
      </c>
      <c r="G76" s="124">
        <v>0.3</v>
      </c>
      <c r="H76" s="122" t="s">
        <v>277</v>
      </c>
      <c r="I76" s="125">
        <v>0.25</v>
      </c>
      <c r="J76" s="77"/>
      <c r="K76" s="77"/>
      <c r="L76" s="77"/>
      <c r="M76" s="77"/>
      <c r="N76" s="77"/>
    </row>
    <row r="77" spans="1:14" x14ac:dyDescent="0.3">
      <c r="A77" s="120" t="s">
        <v>47</v>
      </c>
      <c r="B77" s="121" t="s">
        <v>141</v>
      </c>
      <c r="C77" s="122">
        <v>0.37</v>
      </c>
      <c r="D77" s="122" t="s">
        <v>161</v>
      </c>
      <c r="E77" s="122">
        <v>1.3</v>
      </c>
      <c r="F77" s="123" t="s">
        <v>274</v>
      </c>
      <c r="G77" s="124">
        <v>0.55000000000000004</v>
      </c>
      <c r="H77" s="122" t="s">
        <v>152</v>
      </c>
      <c r="I77" s="125">
        <v>0.43</v>
      </c>
      <c r="J77" s="77"/>
      <c r="K77" s="77"/>
      <c r="L77" s="77"/>
      <c r="M77" s="77"/>
      <c r="N77" s="77"/>
    </row>
    <row r="78" spans="1:14" x14ac:dyDescent="0.3">
      <c r="A78" s="120" t="s">
        <v>45</v>
      </c>
      <c r="B78" s="121" t="s">
        <v>96</v>
      </c>
      <c r="C78" s="122">
        <v>0.37</v>
      </c>
      <c r="D78" s="122" t="s">
        <v>161</v>
      </c>
      <c r="E78" s="122">
        <v>1.3</v>
      </c>
      <c r="F78" s="123" t="s">
        <v>274</v>
      </c>
      <c r="G78" s="124">
        <v>0.55000000000000004</v>
      </c>
      <c r="H78" s="122" t="s">
        <v>152</v>
      </c>
      <c r="I78" s="125">
        <v>0.43</v>
      </c>
      <c r="J78" s="77"/>
      <c r="K78" s="77"/>
      <c r="L78" s="77"/>
      <c r="M78" s="77"/>
      <c r="N78" s="77"/>
    </row>
    <row r="79" spans="1:14" x14ac:dyDescent="0.3">
      <c r="A79" s="120" t="s">
        <v>46</v>
      </c>
      <c r="B79" s="121" t="s">
        <v>95</v>
      </c>
      <c r="C79" s="122">
        <v>0.38</v>
      </c>
      <c r="D79" s="122" t="s">
        <v>161</v>
      </c>
      <c r="E79" s="122">
        <v>1.3</v>
      </c>
      <c r="F79" s="123" t="s">
        <v>274</v>
      </c>
      <c r="G79" s="124">
        <v>0.55000000000000004</v>
      </c>
      <c r="H79" s="122" t="s">
        <v>153</v>
      </c>
      <c r="I79" s="125">
        <v>0.43</v>
      </c>
      <c r="J79" s="77"/>
      <c r="K79" s="77"/>
      <c r="L79" s="77"/>
      <c r="M79" s="77"/>
      <c r="N79" s="77"/>
    </row>
    <row r="80" spans="1:14" x14ac:dyDescent="0.3">
      <c r="A80" s="120" t="s">
        <v>48</v>
      </c>
      <c r="B80" s="121" t="s">
        <v>94</v>
      </c>
      <c r="C80" s="122">
        <v>0.36</v>
      </c>
      <c r="D80" s="122" t="s">
        <v>161</v>
      </c>
      <c r="E80" s="122">
        <v>1.3</v>
      </c>
      <c r="F80" s="123" t="s">
        <v>274</v>
      </c>
      <c r="G80" s="124">
        <v>0.55000000000000004</v>
      </c>
      <c r="H80" s="122" t="s">
        <v>153</v>
      </c>
      <c r="I80" s="125">
        <v>0.43</v>
      </c>
      <c r="J80" s="77"/>
      <c r="K80" s="77"/>
      <c r="L80" s="77"/>
      <c r="M80" s="77"/>
      <c r="N80" s="77"/>
    </row>
    <row r="81" spans="1:14" x14ac:dyDescent="0.3">
      <c r="A81" s="120" t="s">
        <v>49</v>
      </c>
      <c r="B81" s="121" t="s">
        <v>142</v>
      </c>
      <c r="C81" s="122">
        <v>0.37</v>
      </c>
      <c r="D81" s="122" t="s">
        <v>161</v>
      </c>
      <c r="E81" s="122">
        <v>1.56</v>
      </c>
      <c r="F81" s="123" t="s">
        <v>274</v>
      </c>
      <c r="G81" s="124">
        <v>0.43</v>
      </c>
      <c r="H81" s="122" t="s">
        <v>278</v>
      </c>
      <c r="I81" s="125">
        <v>0.25</v>
      </c>
      <c r="J81" s="77"/>
      <c r="K81" s="77"/>
      <c r="L81" s="77"/>
      <c r="M81" s="77"/>
      <c r="N81" s="77"/>
    </row>
    <row r="82" spans="1:14" x14ac:dyDescent="0.3">
      <c r="A82" s="120" t="s">
        <v>158</v>
      </c>
      <c r="B82" s="121" t="s">
        <v>159</v>
      </c>
      <c r="C82" s="122">
        <v>0.35</v>
      </c>
      <c r="D82" s="122" t="s">
        <v>160</v>
      </c>
      <c r="E82" s="122">
        <v>1.3</v>
      </c>
      <c r="F82" s="123" t="s">
        <v>274</v>
      </c>
      <c r="G82" s="124">
        <v>0.55000000000000004</v>
      </c>
      <c r="H82" s="122" t="s">
        <v>153</v>
      </c>
      <c r="I82" s="125">
        <v>0.43</v>
      </c>
      <c r="J82" s="77"/>
      <c r="K82" s="77"/>
      <c r="L82" s="77"/>
      <c r="M82" s="77"/>
      <c r="N82" s="77"/>
    </row>
    <row r="83" spans="1:14" x14ac:dyDescent="0.3">
      <c r="A83" s="120" t="s">
        <v>156</v>
      </c>
      <c r="B83" s="121" t="s">
        <v>157</v>
      </c>
      <c r="C83" s="122">
        <v>0.34</v>
      </c>
      <c r="D83" s="122" t="s">
        <v>161</v>
      </c>
      <c r="E83" s="122">
        <v>1.3</v>
      </c>
      <c r="F83" s="123" t="s">
        <v>274</v>
      </c>
      <c r="G83" s="124">
        <v>0.55000000000000004</v>
      </c>
      <c r="H83" s="122" t="s">
        <v>153</v>
      </c>
      <c r="I83" s="125">
        <v>0.43</v>
      </c>
      <c r="J83" s="77"/>
      <c r="K83" s="77"/>
      <c r="L83" s="77"/>
      <c r="M83" s="77"/>
      <c r="N83" s="77"/>
    </row>
    <row r="84" spans="1:14" x14ac:dyDescent="0.3">
      <c r="A84" s="120" t="s">
        <v>92</v>
      </c>
      <c r="B84" s="121" t="s">
        <v>93</v>
      </c>
      <c r="C84" s="122">
        <v>0.31</v>
      </c>
      <c r="D84" s="122" t="s">
        <v>161</v>
      </c>
      <c r="E84" s="122">
        <v>1.3</v>
      </c>
      <c r="F84" s="123" t="s">
        <v>274</v>
      </c>
      <c r="G84" s="124">
        <v>0.55000000000000004</v>
      </c>
      <c r="H84" s="122" t="s">
        <v>153</v>
      </c>
      <c r="I84" s="125">
        <v>0.43</v>
      </c>
      <c r="J84" s="77"/>
      <c r="K84" s="77"/>
      <c r="L84" s="77"/>
      <c r="M84" s="77"/>
      <c r="N84" s="77"/>
    </row>
    <row r="85" spans="1:14" x14ac:dyDescent="0.3">
      <c r="A85" s="120" t="s">
        <v>50</v>
      </c>
      <c r="B85" s="121" t="s">
        <v>143</v>
      </c>
      <c r="C85" s="122">
        <v>0.43</v>
      </c>
      <c r="D85" s="122" t="s">
        <v>161</v>
      </c>
      <c r="E85" s="122">
        <v>1.56</v>
      </c>
      <c r="F85" s="123" t="s">
        <v>274</v>
      </c>
      <c r="G85" s="124">
        <v>0.53</v>
      </c>
      <c r="H85" s="122" t="s">
        <v>275</v>
      </c>
      <c r="I85" s="125">
        <v>0.25</v>
      </c>
      <c r="J85" s="77"/>
      <c r="K85" s="77"/>
      <c r="L85" s="77"/>
      <c r="M85" s="77"/>
      <c r="N85" s="77"/>
    </row>
    <row r="86" spans="1:14" x14ac:dyDescent="0.3">
      <c r="A86" s="120" t="s">
        <v>51</v>
      </c>
      <c r="B86" s="121" t="s">
        <v>91</v>
      </c>
      <c r="C86" s="122">
        <v>0.38</v>
      </c>
      <c r="D86" s="122" t="s">
        <v>161</v>
      </c>
      <c r="E86" s="122">
        <v>1.56</v>
      </c>
      <c r="F86" s="123" t="s">
        <v>274</v>
      </c>
      <c r="G86" s="124">
        <v>0.6</v>
      </c>
      <c r="H86" s="122" t="s">
        <v>279</v>
      </c>
      <c r="I86" s="125">
        <v>0.25</v>
      </c>
      <c r="J86" s="77"/>
      <c r="K86" s="77"/>
      <c r="L86" s="77"/>
      <c r="M86" s="77"/>
      <c r="N86" s="77"/>
    </row>
    <row r="87" spans="1:14" x14ac:dyDescent="0.3">
      <c r="A87" s="249" t="s">
        <v>321</v>
      </c>
      <c r="B87" s="250" t="s">
        <v>322</v>
      </c>
      <c r="C87" s="251">
        <v>0.41</v>
      </c>
      <c r="D87" s="251" t="s">
        <v>323</v>
      </c>
      <c r="E87" s="251">
        <v>1.56</v>
      </c>
      <c r="F87" s="252" t="s">
        <v>274</v>
      </c>
      <c r="G87" s="253">
        <v>0.43</v>
      </c>
      <c r="H87" s="251" t="s">
        <v>278</v>
      </c>
      <c r="I87" s="254">
        <v>0.25</v>
      </c>
      <c r="J87" s="77"/>
      <c r="K87" s="77"/>
      <c r="L87" s="77"/>
      <c r="M87" s="77"/>
      <c r="N87" s="77"/>
    </row>
    <row r="88" spans="1:14" x14ac:dyDescent="0.3">
      <c r="A88" s="120" t="s">
        <v>148</v>
      </c>
      <c r="B88" s="128"/>
      <c r="C88" s="122">
        <v>0.42</v>
      </c>
      <c r="D88" s="122" t="s">
        <v>161</v>
      </c>
      <c r="E88" s="122">
        <v>1.3</v>
      </c>
      <c r="F88" s="123" t="s">
        <v>274</v>
      </c>
      <c r="G88" s="129"/>
      <c r="H88" s="128"/>
      <c r="I88" s="130"/>
    </row>
    <row r="89" spans="1:14" ht="15" thickBot="1" x14ac:dyDescent="0.35">
      <c r="A89" s="131" t="s">
        <v>149</v>
      </c>
      <c r="B89" s="132"/>
      <c r="C89" s="133">
        <v>0.56999999999999995</v>
      </c>
      <c r="D89" s="134" t="s">
        <v>161</v>
      </c>
      <c r="E89" s="133">
        <v>1.56</v>
      </c>
      <c r="F89" s="133" t="s">
        <v>274</v>
      </c>
      <c r="G89" s="132"/>
      <c r="H89" s="132"/>
      <c r="I89" s="135"/>
    </row>
    <row r="93" spans="1:14" x14ac:dyDescent="0.3">
      <c r="A93" s="120" t="s">
        <v>208</v>
      </c>
    </row>
    <row r="94" spans="1:14" x14ac:dyDescent="0.3">
      <c r="A94" s="120" t="s">
        <v>209</v>
      </c>
    </row>
    <row r="95" spans="1:14" x14ac:dyDescent="0.3">
      <c r="A95" s="120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110" zoomScaleNormal="110" workbookViewId="0">
      <selection activeCell="M34" sqref="M34"/>
    </sheetView>
  </sheetViews>
  <sheetFormatPr baseColWidth="10" defaultColWidth="11.44140625" defaultRowHeight="14.4" x14ac:dyDescent="0.3"/>
  <cols>
    <col min="1" max="1" width="22.77734375" style="1" bestFit="1" customWidth="1"/>
    <col min="2" max="2" width="10.44140625" style="1" bestFit="1" customWidth="1"/>
    <col min="3" max="3" width="15.4414062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81" t="s">
        <v>271</v>
      </c>
      <c r="B2" s="282"/>
      <c r="C2" s="282"/>
      <c r="D2" s="282"/>
      <c r="E2" s="282"/>
      <c r="F2" s="282"/>
      <c r="G2" s="282"/>
      <c r="H2" s="282"/>
      <c r="I2" s="282"/>
      <c r="J2" s="282"/>
      <c r="K2" s="282"/>
      <c r="L2" s="283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6" t="s">
        <v>207</v>
      </c>
      <c r="B5" s="137" t="s">
        <v>250</v>
      </c>
      <c r="C5" s="138" t="str">
        <f>Calculateur!S2</f>
        <v>ΔStock moyen de long terme (tCO₂/ha)</v>
      </c>
      <c r="D5" s="138" t="str">
        <f>Calculateur!T2</f>
        <v>Δstock CO₂ 30 ans (tCO₂/ha)</v>
      </c>
      <c r="E5" s="138" t="s">
        <v>228</v>
      </c>
      <c r="F5" s="138" t="s">
        <v>239</v>
      </c>
      <c r="G5" s="138" t="s">
        <v>240</v>
      </c>
      <c r="H5" s="139" t="s">
        <v>241</v>
      </c>
      <c r="I5" s="140" t="s">
        <v>242</v>
      </c>
      <c r="J5" s="141" t="s">
        <v>243</v>
      </c>
      <c r="K5" s="142" t="s">
        <v>244</v>
      </c>
      <c r="L5" s="83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3" t="str">
        <f>IF('Données projet'!$B$9="","",'Données projet'!$B$9)</f>
        <v>Pin maritime</v>
      </c>
      <c r="B6" s="144">
        <f>'Données projet'!D9</f>
        <v>2.3952513966480451</v>
      </c>
      <c r="C6" s="145">
        <f ca="1">IF(OR('Données projet'!B9="",'Données projet'!C9="",'Données projet'!C9=0%),0,Calculateur!S3)</f>
        <v>148.39628895278571</v>
      </c>
      <c r="D6" s="145">
        <f>IF(OR('Données projet'!B9="",'Données projet'!C9="",'Données projet'!C9=0%),0,Calculateur!T3)</f>
        <v>361.07991692964788</v>
      </c>
      <c r="E6" s="145">
        <f ca="1">MIN(C6,D6)</f>
        <v>148.39628895278571</v>
      </c>
      <c r="F6" s="145">
        <f ca="1">E6*B6</f>
        <v>355.44641837154683</v>
      </c>
      <c r="G6" s="145">
        <f ca="1">F6*(100%-'Données projet'!$C$24)*(100%-'Données projet'!$C$25)*(100%-'Données projet'!$C$26)*(100%-'Données projet'!$C$27)</f>
        <v>217.53320804338668</v>
      </c>
      <c r="H6" s="146">
        <f>IF(OR('Données projet'!B9="",'Données projet'!C9="",'Données projet'!C9=0%),0,AVERAGE(Calculateur!$AC$3:$AC$33)*B6)</f>
        <v>41.358164141844583</v>
      </c>
      <c r="I6" s="147">
        <f>H6*(100%-'Données projet'!$C$24)*(100%-'Données projet'!$C$25)*(100%-'Données projet'!$C$26)*(100%-'Données projet'!$C$27)</f>
        <v>25.311196454808886</v>
      </c>
      <c r="J6" s="148">
        <f>IF(OR('Données projet'!B9="",'Données projet'!C9="",'Données projet'!C9=0%),0,SUM(Calculateur!$V$3:$V$33)*VLOOKUP('Données projet'!$B$9,Paramètres!$A$1:$I$89,9,0)*B6)</f>
        <v>624.63365921787715</v>
      </c>
      <c r="K6" s="149">
        <f>J6*(100%-'Données projet'!$C$24)*(100%-'Données projet'!$C$25)*(100%-'Données projet'!$C$26)*(100%-'Données projet'!$C$27)</f>
        <v>382.27579944134084</v>
      </c>
      <c r="L6" s="150">
        <f ca="1">G6+I6+K6</f>
        <v>625.1202039395364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1" t="str">
        <f>IF('Données projet'!$B$10="","",'Données projet'!$B$10)</f>
        <v>Chêne tauzin</v>
      </c>
      <c r="B7" s="152">
        <f>'Données projet'!D10</f>
        <v>5.4748603351955305E-2</v>
      </c>
      <c r="C7" s="145">
        <f ca="1">IF(OR('Données projet'!B10="",'Données projet'!C10="",'Données projet'!C10=0%),0,Calculateur!AN3)</f>
        <v>525.29195699741149</v>
      </c>
      <c r="D7" s="145">
        <f>IF(OR('Données projet'!B10="",'Données projet'!C10="",'Données projet'!C10=0%),0,Calculateur!AO3)</f>
        <v>125.99812193007153</v>
      </c>
      <c r="E7" s="145">
        <f t="shared" ref="E7:E15" ca="1" si="0">MIN(C7,D7)</f>
        <v>125.99812193007153</v>
      </c>
      <c r="F7" s="145">
        <f t="shared" ref="F7:F15" ca="1" si="1">E7*B7</f>
        <v>6.8982212006407879</v>
      </c>
      <c r="G7" s="145">
        <f ca="1">F7*(100%-'Données projet'!$C$24)*(100%-'Données projet'!$C$25)*(100%-'Données projet'!$C$26)*(100%-'Données projet'!$C$27)</f>
        <v>4.2217113747921626</v>
      </c>
      <c r="H7" s="153">
        <f>IF(OR('Données projet'!B10="",'Données projet'!C10="",'Données projet'!C10=0%),0,AVERAGE(Calculateur!$AX$3:$AX$33)*B7)</f>
        <v>0</v>
      </c>
      <c r="I7" s="147">
        <f>H7*(100%-'Données projet'!$C$24)*(100%-'Données projet'!$C$25)*(100%-'Données projet'!$C$26)*(100%-'Données projet'!$C$27)</f>
        <v>0</v>
      </c>
      <c r="J7" s="148">
        <f>IF(OR('Données projet'!B10="",'Données projet'!C10="",'Données projet'!C10=0%),0,SUM(Calculateur!$AQ$3:$AQ$33)*VLOOKUP('Données projet'!$B$10,Paramètres!$A$1:$I$89,9,0)*B7)</f>
        <v>0</v>
      </c>
      <c r="K7" s="149">
        <f>J7*(100%-'Données projet'!$C$24)*(100%-'Données projet'!$C$25)*(100%-'Données projet'!$C$26)*(100%-'Données projet'!$C$27)</f>
        <v>0</v>
      </c>
      <c r="L7" s="150">
        <f t="shared" ref="L7:L15" ca="1" si="2">G7+I7+K7</f>
        <v>4.2217113747921626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1" t="str">
        <f>IF('Données projet'!$B$11="","",'Données projet'!$B$11)</f>
        <v/>
      </c>
      <c r="B8" s="152">
        <f>'Données projet'!D11</f>
        <v>0</v>
      </c>
      <c r="C8" s="145">
        <f>IF(OR('Données projet'!B11="",'Données projet'!C11="",'Données projet'!C11=0%),0,Calculateur!BI3)</f>
        <v>0</v>
      </c>
      <c r="D8" s="145">
        <f>IF(OR('Données projet'!B11="",'Données projet'!C11="",'Données projet'!C11=0%),0,Calculateur!BJ3)</f>
        <v>0</v>
      </c>
      <c r="E8" s="145">
        <f t="shared" si="0"/>
        <v>0</v>
      </c>
      <c r="F8" s="145">
        <f t="shared" si="1"/>
        <v>0</v>
      </c>
      <c r="G8" s="145">
        <f>F8*(100%-'Données projet'!$C$24)*(100%-'Données projet'!$C$25)*(100%-'Données projet'!$C$26)*(100%-'Données projet'!$C$27)</f>
        <v>0</v>
      </c>
      <c r="H8" s="153">
        <f>IF(OR('Données projet'!B11="",'Données projet'!C11="",'Données projet'!C11=0%),0,AVERAGE(Calculateur!$BS$3:$BS$33)*B8)</f>
        <v>0</v>
      </c>
      <c r="I8" s="147">
        <f>H8*(100%-'Données projet'!$C$24)*(100%-'Données projet'!$C$25)*(100%-'Données projet'!$C$26)*(100%-'Données projet'!$C$27)</f>
        <v>0</v>
      </c>
      <c r="J8" s="148">
        <f>IF(OR('Données projet'!B11="",'Données projet'!C11="",'Données projet'!C11=0%),0,SUM(Calculateur!$BL$3:$BL$33)*VLOOKUP('Données projet'!$B$11,Paramètres!$A$1:$I$89,9,0)*B8)</f>
        <v>0</v>
      </c>
      <c r="K8" s="149">
        <f>J8*(100%-'Données projet'!$C$24)*(100%-'Données projet'!$C$25)*(100%-'Données projet'!$C$26)*(100%-'Données projet'!$C$27)</f>
        <v>0</v>
      </c>
      <c r="L8" s="150">
        <f t="shared" si="2"/>
        <v>0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1" t="str">
        <f>IF('Données projet'!$B$12="","",'Données projet'!$B$12)</f>
        <v/>
      </c>
      <c r="B9" s="152">
        <f>'Données projet'!D12</f>
        <v>0</v>
      </c>
      <c r="C9" s="145">
        <f>IF(OR('Données projet'!B12="",'Données projet'!C12="",'Données projet'!C12=0%),0,Calculateur!CD3)</f>
        <v>0</v>
      </c>
      <c r="D9" s="145">
        <f>IF(OR('Données projet'!B12="",'Données projet'!C12="",'Données projet'!C12=0%),0,Calculateur!CE3)</f>
        <v>0</v>
      </c>
      <c r="E9" s="145">
        <f t="shared" si="0"/>
        <v>0</v>
      </c>
      <c r="F9" s="145">
        <f t="shared" si="1"/>
        <v>0</v>
      </c>
      <c r="G9" s="145">
        <f>F9*(100%-'Données projet'!$C$24)*(100%-'Données projet'!$C$25)*(100%-'Données projet'!$C$26)*(100%-'Données projet'!$C$27)</f>
        <v>0</v>
      </c>
      <c r="H9" s="153">
        <f>IF(OR('Données projet'!B12="",'Données projet'!C12="",'Données projet'!C12=0%),0,AVERAGE(Calculateur!$CN$3:$CN$33)*B9)</f>
        <v>0</v>
      </c>
      <c r="I9" s="147">
        <f>H9*(100%-'Données projet'!$C$24)*(100%-'Données projet'!$C$25)*(100%-'Données projet'!$C$26)*(100%-'Données projet'!$C$27)</f>
        <v>0</v>
      </c>
      <c r="J9" s="148">
        <f>IF(OR('Données projet'!B12="",'Données projet'!C12="",'Données projet'!C12=0%),0,SUM(Calculateur!$CG$3:$CG$33)*VLOOKUP('Données projet'!$B$12,Paramètres!$A$1:$I$89,9,0)*B9)</f>
        <v>0</v>
      </c>
      <c r="K9" s="149">
        <f>J9*(100%-'Données projet'!$C$24)*(100%-'Données projet'!$C$25)*(100%-'Données projet'!$C$26)*(100%-'Données projet'!$C$27)</f>
        <v>0</v>
      </c>
      <c r="L9" s="150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1" t="str">
        <f>IF('Données projet'!$B$13="","",'Données projet'!$B$13)</f>
        <v/>
      </c>
      <c r="B10" s="152">
        <f>'Données projet'!D13</f>
        <v>0</v>
      </c>
      <c r="C10" s="145">
        <f>IF(OR('Données projet'!B13="",'Données projet'!C13="",'Données projet'!C13=0%),0,Calculateur!CY3)</f>
        <v>0</v>
      </c>
      <c r="D10" s="145">
        <f>IF(OR('Données projet'!B13="",'Données projet'!C13="",'Données projet'!C13=0%),0,Calculateur!CZ3)</f>
        <v>0</v>
      </c>
      <c r="E10" s="145">
        <f t="shared" si="0"/>
        <v>0</v>
      </c>
      <c r="F10" s="145">
        <f t="shared" si="1"/>
        <v>0</v>
      </c>
      <c r="G10" s="145">
        <f>F10*(100%-'Données projet'!$C$24)*(100%-'Données projet'!$C$25)*(100%-'Données projet'!$C$26)*(100%-'Données projet'!$C$27)</f>
        <v>0</v>
      </c>
      <c r="H10" s="153">
        <f>IF(OR('Données projet'!B13="",'Données projet'!C13="",'Données projet'!C13=0%),0,AVERAGE(Calculateur!$DI$3:$DI$33)*B10)</f>
        <v>0</v>
      </c>
      <c r="I10" s="147">
        <f>H10*(100%-'Données projet'!$C$24)*(100%-'Données projet'!$C$25)*(100%-'Données projet'!$C$26)*(100%-'Données projet'!$C$27)</f>
        <v>0</v>
      </c>
      <c r="J10" s="148">
        <f>IF(OR('Données projet'!B13="",'Données projet'!C13="",'Données projet'!C13=0%),0,SUM(Calculateur!$DB$3:$DB$33)*VLOOKUP('Données projet'!$B$13,Paramètres!$A$1:$I$89,9,0)*B10)</f>
        <v>0</v>
      </c>
      <c r="K10" s="149">
        <f>J10*(100%-'Données projet'!$C$24)*(100%-'Données projet'!$C$25)*(100%-'Données projet'!$C$26)*(100%-'Données projet'!$C$27)</f>
        <v>0</v>
      </c>
      <c r="L10" s="150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1" t="str">
        <f>IF('Données projet'!$B$14="","",'Données projet'!$B$14)</f>
        <v/>
      </c>
      <c r="B11" s="152">
        <f>'Données projet'!D14</f>
        <v>0</v>
      </c>
      <c r="C11" s="145">
        <f>IF(OR('Données projet'!B14="",'Données projet'!C14="",'Données projet'!C14=0%),0,Calculateur!DT3)</f>
        <v>0</v>
      </c>
      <c r="D11" s="145">
        <f>IF(OR('Données projet'!B14="",'Données projet'!C14="",'Données projet'!C14=0%),0,Calculateur!DU3)</f>
        <v>0</v>
      </c>
      <c r="E11" s="145">
        <f t="shared" si="0"/>
        <v>0</v>
      </c>
      <c r="F11" s="145">
        <f t="shared" si="1"/>
        <v>0</v>
      </c>
      <c r="G11" s="145">
        <f>F11*(100%-'Données projet'!$C$24)*(100%-'Données projet'!$C$25)*(100%-'Données projet'!$C$26)*(100%-'Données projet'!$C$27)</f>
        <v>0</v>
      </c>
      <c r="H11" s="153">
        <f>IF(OR('Données projet'!B14="",'Données projet'!C14="",'Données projet'!C14=0%),0,AVERAGE(Calculateur!$ED$3:$ED$33)*B11)</f>
        <v>0</v>
      </c>
      <c r="I11" s="147">
        <f>H11*(100%-'Données projet'!$C$24)*(100%-'Données projet'!$C$25)*(100%-'Données projet'!$C$26)*(100%-'Données projet'!$C$27)</f>
        <v>0</v>
      </c>
      <c r="J11" s="148">
        <f>IF(OR('Données projet'!B14="",'Données projet'!C14="",'Données projet'!C14=0%),0,SUM(Calculateur!$DW$3:$DW$33)*VLOOKUP('Données projet'!$B$14,Paramètres!$A$1:$I$89,9,0)*B11)</f>
        <v>0</v>
      </c>
      <c r="K11" s="149">
        <f>J11*(100%-'Données projet'!$C$24)*(100%-'Données projet'!$C$25)*(100%-'Données projet'!$C$26)*(100%-'Données projet'!$C$27)</f>
        <v>0</v>
      </c>
      <c r="L11" s="150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1" t="str">
        <f>IF('Données projet'!$B$15="","",'Données projet'!$B$15)</f>
        <v/>
      </c>
      <c r="B12" s="152">
        <f>'Données projet'!D15</f>
        <v>0</v>
      </c>
      <c r="C12" s="145">
        <f>IF(OR('Données projet'!B15="",'Données projet'!C15="",'Données projet'!C15=0%),0,Calculateur!EO3)</f>
        <v>0</v>
      </c>
      <c r="D12" s="145">
        <f>IF(OR('Données projet'!B15="",'Données projet'!C15="",'Données projet'!C15=0%),0,Calculateur!EP3)</f>
        <v>0</v>
      </c>
      <c r="E12" s="145">
        <f t="shared" si="0"/>
        <v>0</v>
      </c>
      <c r="F12" s="145">
        <f t="shared" si="1"/>
        <v>0</v>
      </c>
      <c r="G12" s="145">
        <f>F12*(100%-'Données projet'!$C$24)*(100%-'Données projet'!$C$25)*(100%-'Données projet'!$C$26)*(100%-'Données projet'!$C$27)</f>
        <v>0</v>
      </c>
      <c r="H12" s="153">
        <f>IF(OR('Données projet'!B15="",'Données projet'!C15="",'Données projet'!C15=0%),0,AVERAGE(Calculateur!$EY$3:$EY$33)*B12)</f>
        <v>0</v>
      </c>
      <c r="I12" s="147">
        <f>H12*(100%-'Données projet'!$C$24)*(100%-'Données projet'!$C$25)*(100%-'Données projet'!$C$26)*(100%-'Données projet'!$C$27)</f>
        <v>0</v>
      </c>
      <c r="J12" s="148">
        <f>IF(OR('Données projet'!B15="",'Données projet'!C15="",'Données projet'!C15=0%),0,SUM(Calculateur!$ER$3:$ER$33)*VLOOKUP('Données projet'!$B$15,Paramètres!$A$1:$I$89,9,0)*B12)</f>
        <v>0</v>
      </c>
      <c r="K12" s="149">
        <f>J12*(100%-'Données projet'!$C$24)*(100%-'Données projet'!$C$25)*(100%-'Données projet'!$C$26)*(100%-'Données projet'!$C$27)</f>
        <v>0</v>
      </c>
      <c r="L12" s="150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1" t="str">
        <f>IF('Données projet'!$B$16="","",'Données projet'!$B$16)</f>
        <v/>
      </c>
      <c r="B13" s="152">
        <f>'Données projet'!D16</f>
        <v>0</v>
      </c>
      <c r="C13" s="145">
        <f>IF(OR('Données projet'!B16="",'Données projet'!C16="",'Données projet'!C16=0%),0,Calculateur!FJ3)</f>
        <v>0</v>
      </c>
      <c r="D13" s="145">
        <f>IF(OR('Données projet'!B16="",'Données projet'!C16="",'Données projet'!C16=0%),0,Calculateur!FK3)</f>
        <v>0</v>
      </c>
      <c r="E13" s="145">
        <f t="shared" si="0"/>
        <v>0</v>
      </c>
      <c r="F13" s="145">
        <f t="shared" si="1"/>
        <v>0</v>
      </c>
      <c r="G13" s="145">
        <f>F13*(100%-'Données projet'!$C$24)*(100%-'Données projet'!$C$25)*(100%-'Données projet'!$C$26)*(100%-'Données projet'!$C$27)</f>
        <v>0</v>
      </c>
      <c r="H13" s="153">
        <f>IF(OR('Données projet'!B16="",'Données projet'!C16="",'Données projet'!C16=0%),0,AVERAGE(Calculateur!$FT$3:$FT$33)*B13)</f>
        <v>0</v>
      </c>
      <c r="I13" s="147">
        <f>H13*(100%-'Données projet'!$C$24)*(100%-'Données projet'!$C$25)*(100%-'Données projet'!$C$26)*(100%-'Données projet'!$C$27)</f>
        <v>0</v>
      </c>
      <c r="J13" s="148">
        <f>IF(OR('Données projet'!C16="",'Données projet'!C16=0%),0,SUM(Calculateur!$FM$3:$FM$33)*VLOOKUP('Données projet'!$B$16,Paramètres!$A$1:$I$89,9,0)*B13)</f>
        <v>0</v>
      </c>
      <c r="K13" s="149">
        <f>J13*(100%-'Données projet'!$C$24)*(100%-'Données projet'!$C$25)*(100%-'Données projet'!$C$26)*(100%-'Données projet'!$C$27)</f>
        <v>0</v>
      </c>
      <c r="L13" s="150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1" t="str">
        <f>IF('Données projet'!$B$17="","",'Données projet'!$B$17)</f>
        <v/>
      </c>
      <c r="B14" s="152">
        <f>'Données projet'!D17</f>
        <v>0</v>
      </c>
      <c r="C14" s="145">
        <f>IF(OR('Données projet'!B17="",'Données projet'!C17="",'Données projet'!C17=0%),0,Calculateur!GE3)</f>
        <v>0</v>
      </c>
      <c r="D14" s="145">
        <f>IF(OR('Données projet'!B17="",'Données projet'!C17="",'Données projet'!C17=0%),0,Calculateur!GF3)</f>
        <v>0</v>
      </c>
      <c r="E14" s="145">
        <f t="shared" si="0"/>
        <v>0</v>
      </c>
      <c r="F14" s="145">
        <f t="shared" si="1"/>
        <v>0</v>
      </c>
      <c r="G14" s="145">
        <f>F14*(100%-'Données projet'!$C$24)*(100%-'Données projet'!$C$25)*(100%-'Données projet'!$C$26)*(100%-'Données projet'!$C$27)</f>
        <v>0</v>
      </c>
      <c r="H14" s="153">
        <f>IF(OR('Données projet'!B17="",'Données projet'!C17="",'Données projet'!C17=0%),0,AVERAGE(Calculateur!$GO$3:$GO$33)*B14)</f>
        <v>0</v>
      </c>
      <c r="I14" s="147">
        <f>H14*(100%-'Données projet'!$C$24)*(100%-'Données projet'!$C$25)*(100%-'Données projet'!$C$26)*(100%-'Données projet'!$C$27)</f>
        <v>0</v>
      </c>
      <c r="J14" s="148">
        <f>IF(OR('Données projet'!B17="",'Données projet'!C17="",'Données projet'!C17=0%),0,SUM(Calculateur!$GH$3:$GH$33)*VLOOKUP('Données projet'!$B$17,Paramètres!$A$1:$I$89,9,0)*B14)</f>
        <v>0</v>
      </c>
      <c r="K14" s="149">
        <f>J14*(100%-'Données projet'!$C$24)*(100%-'Données projet'!$C$25)*(100%-'Données projet'!$C$26)*(100%-'Données projet'!$C$27)</f>
        <v>0</v>
      </c>
      <c r="L14" s="150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4" t="str">
        <f>IF('Données projet'!B18="","",'Données projet'!B18)</f>
        <v/>
      </c>
      <c r="B15" s="155">
        <f>'Données projet'!D18</f>
        <v>0</v>
      </c>
      <c r="C15" s="156">
        <f>IF(OR('Données projet'!B18="",'Données projet'!C18="",'Données projet'!C18=0%),0,Calculateur!GZ3)</f>
        <v>0</v>
      </c>
      <c r="D15" s="156">
        <f>IF(OR('Données projet'!B18="",'Données projet'!C18="",'Données projet'!C18=0%),0,Calculateur!HA3)</f>
        <v>0</v>
      </c>
      <c r="E15" s="156">
        <f t="shared" si="0"/>
        <v>0</v>
      </c>
      <c r="F15" s="157">
        <f t="shared" si="1"/>
        <v>0</v>
      </c>
      <c r="G15" s="157">
        <f>F15*(100%-'Données projet'!$C$24)*(100%-'Données projet'!$C$25)*(100%-'Données projet'!$C$26)*(100%-'Données projet'!$C$27)</f>
        <v>0</v>
      </c>
      <c r="H15" s="158">
        <f>IF(OR('Données projet'!B18="",'Données projet'!C18="",'Données projet'!C18=0%),0,AVERAGE(Calculateur!$HJ$3:$HJ$33)*B15)</f>
        <v>0</v>
      </c>
      <c r="I15" s="159">
        <f>H15*(100%-'Données projet'!$C$24)*(100%-'Données projet'!$C$25)*(100%-'Données projet'!$C$26)*(100%-'Données projet'!$C$27)</f>
        <v>0</v>
      </c>
      <c r="J15" s="160">
        <f>IF(OR('Données projet'!B18="",'Données projet'!C18="",'Données projet'!C18=0%),0,SUM(Calculateur!$HC$3:$HC$33)*VLOOKUP('Données projet'!$B$18,Paramètres!$A$1:$I$89,9,0)*B15)</f>
        <v>0</v>
      </c>
      <c r="K15" s="161">
        <f>J15*(100%-'Données projet'!$C$24)*(100%-'Données projet'!$C$25)*(100%-'Données projet'!$C$26)*(100%-'Données projet'!$C$27)</f>
        <v>0</v>
      </c>
      <c r="L15" s="162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7"/>
      <c r="B16" s="211"/>
      <c r="C16" s="212"/>
      <c r="D16" s="23"/>
      <c r="E16" s="23"/>
      <c r="F16" s="163">
        <f t="shared" ref="F16:L16" ca="1" si="3">SUM(F6:F15)</f>
        <v>362.34463957218759</v>
      </c>
      <c r="G16" s="164">
        <f t="shared" ca="1" si="3"/>
        <v>221.75491941817884</v>
      </c>
      <c r="H16" s="165">
        <f t="shared" si="3"/>
        <v>41.358164141844583</v>
      </c>
      <c r="I16" s="165">
        <f t="shared" si="3"/>
        <v>25.311196454808886</v>
      </c>
      <c r="J16" s="166">
        <f t="shared" si="3"/>
        <v>624.63365921787715</v>
      </c>
      <c r="K16" s="166">
        <f t="shared" si="3"/>
        <v>382.27579944134084</v>
      </c>
      <c r="L16" s="167">
        <f t="shared" ca="1" si="3"/>
        <v>629.3419153143285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7"/>
      <c r="B17" s="211"/>
      <c r="C17" s="212"/>
      <c r="D17" s="23"/>
      <c r="E17" s="23"/>
      <c r="F17" s="293" t="s">
        <v>246</v>
      </c>
      <c r="G17" s="294"/>
      <c r="H17" s="294"/>
      <c r="I17" s="294"/>
      <c r="J17" s="294"/>
      <c r="K17" s="294"/>
      <c r="L17" s="294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7"/>
      <c r="B18" s="211"/>
      <c r="C18" s="212"/>
      <c r="D18" s="23"/>
      <c r="E18" s="23"/>
      <c r="F18" s="280"/>
      <c r="G18" s="280"/>
      <c r="H18" s="280"/>
      <c r="I18" s="280"/>
      <c r="J18" s="280"/>
      <c r="K18" s="280"/>
      <c r="L18" s="280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68" t="str">
        <f>A6</f>
        <v>Pin maritime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68" t="str">
        <f>A7</f>
        <v>Chêne tauzin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68" t="str">
        <f>A8</f>
        <v/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68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68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68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68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68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68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68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A6" zoomScale="90" zoomScaleNormal="90" workbookViewId="0">
      <selection activeCell="I16" sqref="I16"/>
    </sheetView>
  </sheetViews>
  <sheetFormatPr baseColWidth="10" defaultColWidth="11.44140625" defaultRowHeight="14.4" x14ac:dyDescent="0.3"/>
  <cols>
    <col min="1" max="1" width="11.44140625" style="1"/>
    <col min="2" max="2" width="30.777343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44140625" style="1" customWidth="1"/>
    <col min="8" max="8" width="21.6640625" style="1" customWidth="1"/>
    <col min="9" max="9" width="37" style="1" customWidth="1"/>
    <col min="10" max="10" width="11.44140625" style="1"/>
    <col min="11" max="11" width="8.777343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777343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81" t="s">
        <v>272</v>
      </c>
      <c r="C2" s="282"/>
      <c r="D2" s="282"/>
      <c r="E2" s="282"/>
      <c r="F2" s="282"/>
      <c r="G2" s="282"/>
      <c r="H2" s="282"/>
      <c r="I2" s="282"/>
      <c r="J2" s="282"/>
      <c r="K2" s="282"/>
      <c r="L2" s="282"/>
      <c r="M2" s="282"/>
      <c r="N2" s="282"/>
      <c r="O2" s="282"/>
      <c r="P2" s="283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69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67" t="s">
        <v>315</v>
      </c>
      <c r="I4" s="267"/>
      <c r="K4" s="309" t="s">
        <v>253</v>
      </c>
      <c r="L4" s="310"/>
      <c r="M4" s="235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0"/>
      <c r="I6" s="170"/>
      <c r="J6" s="170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0"/>
      <c r="B7" s="241"/>
      <c r="C7" s="241"/>
      <c r="D7" s="241"/>
      <c r="E7" s="242"/>
      <c r="F7" s="242" t="s">
        <v>192</v>
      </c>
      <c r="G7" s="243"/>
      <c r="H7" s="241"/>
      <c r="I7" s="241"/>
      <c r="J7" s="244"/>
      <c r="K7" s="238"/>
      <c r="L7" s="239"/>
      <c r="M7" s="239"/>
      <c r="N7" s="245" t="s">
        <v>191</v>
      </c>
      <c r="O7" s="245"/>
      <c r="P7" s="246"/>
      <c r="Q7" s="247"/>
      <c r="R7" s="301" t="s">
        <v>310</v>
      </c>
      <c r="S7" s="302"/>
      <c r="T7" s="302"/>
      <c r="U7" s="302"/>
      <c r="V7" s="303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198"/>
      <c r="K8" s="206"/>
      <c r="L8" s="23"/>
      <c r="M8" s="23"/>
      <c r="N8" s="23"/>
      <c r="O8" s="23"/>
      <c r="P8" s="23"/>
      <c r="Q8" s="232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1" t="s">
        <v>311</v>
      </c>
      <c r="C9" s="23"/>
      <c r="D9" s="23"/>
      <c r="E9" s="23"/>
      <c r="F9" s="228"/>
      <c r="G9" s="91" t="s">
        <v>314</v>
      </c>
      <c r="J9" s="198"/>
      <c r="K9" s="206"/>
      <c r="O9" s="23"/>
      <c r="P9" s="23"/>
      <c r="Q9" s="232"/>
      <c r="R9" s="23"/>
      <c r="S9" s="4"/>
      <c r="T9" s="36" t="s">
        <v>262</v>
      </c>
      <c r="U9" s="174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1" t="s">
        <v>317</v>
      </c>
      <c r="C10" s="23"/>
      <c r="D10" s="23"/>
      <c r="E10" s="23"/>
      <c r="F10" s="228"/>
      <c r="G10" s="91" t="s">
        <v>316</v>
      </c>
      <c r="J10" s="198"/>
      <c r="K10" s="206"/>
      <c r="O10" s="23"/>
      <c r="P10" s="23"/>
      <c r="Q10" s="232"/>
      <c r="R10" s="23"/>
      <c r="S10" s="36" t="str">
        <f>B14</f>
        <v>Pin maritime</v>
      </c>
      <c r="T10" s="175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76">
        <f>'Données projet'!D9</f>
        <v>2.3952513966480451</v>
      </c>
      <c r="V10" s="175">
        <f>U10*T10</f>
        <v>0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1" t="s">
        <v>312</v>
      </c>
      <c r="B11" s="23"/>
      <c r="C11" s="23"/>
      <c r="D11" s="23"/>
      <c r="E11" s="23"/>
      <c r="F11" s="228"/>
      <c r="G11" s="91" t="s">
        <v>313</v>
      </c>
      <c r="J11" s="198"/>
      <c r="K11" s="206"/>
      <c r="M11" s="4"/>
      <c r="N11" s="4"/>
      <c r="O11" s="23"/>
      <c r="P11" s="23"/>
      <c r="Q11" s="232"/>
      <c r="R11" s="23"/>
      <c r="S11" s="36" t="str">
        <f>B45</f>
        <v>Chêne tauzin</v>
      </c>
      <c r="T11" s="237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76">
        <f>'Données projet'!D10</f>
        <v>5.4748603351955305E-2</v>
      </c>
      <c r="V11" s="175">
        <f t="shared" ref="V11" si="0">U11*T11</f>
        <v>0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28"/>
      <c r="J12" s="198"/>
      <c r="K12" s="206"/>
      <c r="L12" s="200"/>
      <c r="M12" s="23"/>
      <c r="N12" s="23"/>
      <c r="O12" s="23"/>
      <c r="P12" s="23"/>
      <c r="Q12" s="232"/>
      <c r="R12" s="23"/>
      <c r="S12" s="36" t="str">
        <f>B76</f>
        <v/>
      </c>
      <c r="T12" s="237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6">
        <f>'Données projet'!D11</f>
        <v>0</v>
      </c>
      <c r="V12" s="175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28"/>
      <c r="J13" s="23"/>
      <c r="K13" s="206"/>
      <c r="L13" s="91" t="s">
        <v>257</v>
      </c>
      <c r="M13" s="23"/>
      <c r="N13" s="23"/>
      <c r="O13" s="23"/>
      <c r="P13" s="23"/>
      <c r="Q13" s="232"/>
      <c r="R13" s="23"/>
      <c r="S13" s="36" t="str">
        <f>B107</f>
        <v/>
      </c>
      <c r="T13" s="237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6">
        <f>'Données projet'!D12</f>
        <v>0</v>
      </c>
      <c r="V13" s="175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165</v>
      </c>
      <c r="B14" s="172" t="str">
        <f>IF('Données projet'!$B$9="","",'Données projet'!$B$9)</f>
        <v>Pin maritime</v>
      </c>
      <c r="C14" s="4"/>
      <c r="D14" s="4"/>
      <c r="E14" s="4"/>
      <c r="F14" s="228"/>
      <c r="G14" s="23"/>
      <c r="H14" s="36" t="s">
        <v>178</v>
      </c>
      <c r="I14" s="36" t="s">
        <v>290</v>
      </c>
      <c r="J14" s="199"/>
      <c r="K14" s="171"/>
      <c r="L14" s="200"/>
      <c r="M14" s="23"/>
      <c r="N14" s="23"/>
      <c r="O14" s="4"/>
      <c r="P14" s="4"/>
      <c r="Q14" s="233"/>
      <c r="R14" s="4"/>
      <c r="S14" s="36" t="str">
        <f>B138</f>
        <v/>
      </c>
      <c r="T14" s="237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6">
        <f>'Données projet'!D13</f>
        <v>0</v>
      </c>
      <c r="V14" s="175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28"/>
      <c r="G15" s="312" t="s">
        <v>318</v>
      </c>
      <c r="H15" s="188">
        <v>0</v>
      </c>
      <c r="I15" s="189">
        <v>0</v>
      </c>
      <c r="J15" s="200"/>
      <c r="K15" s="206"/>
      <c r="L15" s="200"/>
      <c r="M15" s="23"/>
      <c r="N15" s="23"/>
      <c r="O15" s="23"/>
      <c r="P15" s="23"/>
      <c r="Q15" s="232"/>
      <c r="R15" s="23"/>
      <c r="S15" s="36" t="str">
        <f>B169</f>
        <v/>
      </c>
      <c r="T15" s="237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6">
        <f>'Données projet'!D14</f>
        <v>0</v>
      </c>
      <c r="V15" s="175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28"/>
      <c r="G16" s="312"/>
      <c r="H16" s="188"/>
      <c r="I16" s="189"/>
      <c r="J16" s="200"/>
      <c r="K16" s="206"/>
      <c r="L16" s="309" t="s">
        <v>254</v>
      </c>
      <c r="M16" s="310"/>
      <c r="N16" s="2"/>
      <c r="O16" s="23"/>
      <c r="P16" s="23"/>
      <c r="Q16" s="232"/>
      <c r="R16" s="23"/>
      <c r="S16" s="36" t="str">
        <f>B200</f>
        <v/>
      </c>
      <c r="T16" s="237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6">
        <f>'Données projet'!D15</f>
        <v>0</v>
      </c>
      <c r="V16" s="175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7" t="s">
        <v>132</v>
      </c>
      <c r="C17" s="196" t="s">
        <v>132</v>
      </c>
      <c r="D17" s="195" t="s">
        <v>132</v>
      </c>
      <c r="E17" s="191"/>
      <c r="F17" s="228"/>
      <c r="G17" s="312"/>
      <c r="J17" s="200"/>
      <c r="K17" s="206"/>
      <c r="L17" s="269" t="s">
        <v>289</v>
      </c>
      <c r="M17" s="271"/>
      <c r="N17" s="173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2"/>
      <c r="R17" s="23"/>
      <c r="S17" s="36" t="str">
        <f>B231</f>
        <v/>
      </c>
      <c r="T17" s="237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6">
        <f>'Données projet'!D16</f>
        <v>0</v>
      </c>
      <c r="V17" s="175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7" t="s">
        <v>132</v>
      </c>
      <c r="C18" s="196" t="s">
        <v>132</v>
      </c>
      <c r="D18" s="195" t="s">
        <v>132</v>
      </c>
      <c r="E18" s="191"/>
      <c r="F18" s="228"/>
      <c r="G18" s="312"/>
      <c r="J18" s="200"/>
      <c r="K18" s="206"/>
      <c r="L18" s="269" t="s">
        <v>255</v>
      </c>
      <c r="M18" s="271"/>
      <c r="N18" s="190"/>
      <c r="O18" s="23"/>
      <c r="P18" s="23"/>
      <c r="Q18" s="232"/>
      <c r="R18" s="23"/>
      <c r="S18" s="36" t="str">
        <f>B262</f>
        <v/>
      </c>
      <c r="T18" s="237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6">
        <f>'Données projet'!D17</f>
        <v>0</v>
      </c>
      <c r="V18" s="175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7" t="s">
        <v>132</v>
      </c>
      <c r="C19" s="196" t="s">
        <v>132</v>
      </c>
      <c r="D19" s="195" t="s">
        <v>132</v>
      </c>
      <c r="E19" s="191"/>
      <c r="F19" s="228"/>
      <c r="G19" s="312"/>
      <c r="H19" s="210" t="s">
        <v>178</v>
      </c>
      <c r="I19" s="210" t="s">
        <v>287</v>
      </c>
      <c r="J19" s="91"/>
      <c r="K19" s="171"/>
      <c r="L19" s="309" t="s">
        <v>288</v>
      </c>
      <c r="M19" s="310"/>
      <c r="N19" s="177">
        <f>N17*N18</f>
        <v>0</v>
      </c>
      <c r="O19" s="23"/>
      <c r="P19" s="4"/>
      <c r="Q19" s="233"/>
      <c r="R19" s="4"/>
      <c r="S19" s="36" t="str">
        <f>B293</f>
        <v/>
      </c>
      <c r="T19" s="237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6">
        <f>'Données projet'!D18</f>
        <v>0</v>
      </c>
      <c r="V19" s="175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7" t="s">
        <v>132</v>
      </c>
      <c r="C20" s="196" t="s">
        <v>132</v>
      </c>
      <c r="D20" s="195" t="s">
        <v>132</v>
      </c>
      <c r="E20" s="191"/>
      <c r="F20" s="228"/>
      <c r="G20" s="312"/>
      <c r="H20" s="188">
        <v>0</v>
      </c>
      <c r="I20" s="189"/>
      <c r="J20" s="4"/>
      <c r="K20" s="171"/>
      <c r="O20" s="23"/>
      <c r="P20" s="4"/>
      <c r="Q20" s="233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7" t="s">
        <v>132</v>
      </c>
      <c r="C21" s="196" t="s">
        <v>132</v>
      </c>
      <c r="D21" s="195" t="s">
        <v>132</v>
      </c>
      <c r="E21" s="191"/>
      <c r="F21" s="228"/>
      <c r="H21" s="188">
        <v>1</v>
      </c>
      <c r="I21" s="189"/>
      <c r="K21" s="171"/>
      <c r="O21" s="23"/>
      <c r="P21" s="4"/>
      <c r="Q21" s="233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7" t="s">
        <v>132</v>
      </c>
      <c r="C22" s="196" t="s">
        <v>132</v>
      </c>
      <c r="D22" s="195" t="s">
        <v>132</v>
      </c>
      <c r="E22" s="191"/>
      <c r="F22" s="228"/>
      <c r="H22" s="188">
        <v>2</v>
      </c>
      <c r="I22" s="189"/>
      <c r="K22" s="171"/>
      <c r="O22" s="23"/>
      <c r="P22" s="4"/>
      <c r="Q22" s="233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78">
        <f>'Données projet'!A36</f>
        <v>11</v>
      </c>
      <c r="B23" s="179">
        <f>'Données projet'!D36</f>
        <v>0</v>
      </c>
      <c r="C23" s="191"/>
      <c r="D23" s="180">
        <f>B23*C23</f>
        <v>0</v>
      </c>
      <c r="E23" s="191"/>
      <c r="F23" s="228"/>
      <c r="H23" s="188">
        <v>3</v>
      </c>
      <c r="I23" s="189"/>
      <c r="K23" s="206"/>
      <c r="L23" s="311" t="s">
        <v>260</v>
      </c>
      <c r="M23" s="311"/>
      <c r="N23" s="311"/>
      <c r="O23" s="23"/>
      <c r="P23" s="23"/>
      <c r="Q23" s="232"/>
      <c r="R23" s="23"/>
      <c r="S23" s="36" t="s">
        <v>264</v>
      </c>
      <c r="T23" s="306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06"/>
      <c r="V23" s="306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78">
        <f>'Données projet'!A37</f>
        <v>12</v>
      </c>
      <c r="B24" s="179">
        <f>'Données projet'!D37</f>
        <v>34</v>
      </c>
      <c r="C24" s="191"/>
      <c r="D24" s="180">
        <f t="shared" ref="D24:D42" si="2">B24*C24</f>
        <v>0</v>
      </c>
      <c r="E24" s="191"/>
      <c r="F24" s="231"/>
      <c r="H24" s="188">
        <v>4</v>
      </c>
      <c r="I24" s="189"/>
      <c r="K24" s="206"/>
      <c r="O24" s="23"/>
      <c r="P24" s="23"/>
      <c r="Q24" s="232"/>
      <c r="R24" s="23"/>
      <c r="S24" s="36" t="s">
        <v>261</v>
      </c>
      <c r="T24" s="307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07"/>
      <c r="V24" s="307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78">
        <f>'Données projet'!A38</f>
        <v>13</v>
      </c>
      <c r="B25" s="179">
        <f>'Données projet'!D38</f>
        <v>0</v>
      </c>
      <c r="C25" s="191"/>
      <c r="D25" s="180">
        <f t="shared" si="2"/>
        <v>0</v>
      </c>
      <c r="E25" s="191"/>
      <c r="F25" s="231"/>
      <c r="H25" s="188">
        <v>5</v>
      </c>
      <c r="I25" s="189"/>
      <c r="K25" s="206"/>
      <c r="L25" s="128" t="s">
        <v>285</v>
      </c>
      <c r="M25" s="128"/>
      <c r="N25" s="128"/>
      <c r="O25" s="128"/>
      <c r="P25" s="190"/>
      <c r="Q25" s="232"/>
      <c r="R25" s="23"/>
      <c r="S25" s="184" t="s">
        <v>266</v>
      </c>
      <c r="T25" s="308">
        <f ca="1">T23-T24</f>
        <v>0</v>
      </c>
      <c r="U25" s="308"/>
      <c r="V25" s="308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78">
        <f>'Données projet'!A39</f>
        <v>14</v>
      </c>
      <c r="B26" s="179">
        <f>'Données projet'!D39</f>
        <v>0</v>
      </c>
      <c r="C26" s="191"/>
      <c r="D26" s="180">
        <f t="shared" si="2"/>
        <v>0</v>
      </c>
      <c r="E26" s="191"/>
      <c r="F26" s="231"/>
      <c r="G26" s="227"/>
      <c r="H26" s="188"/>
      <c r="I26" s="189"/>
      <c r="K26" s="206"/>
      <c r="L26" s="295" t="s">
        <v>258</v>
      </c>
      <c r="M26" s="296"/>
      <c r="N26" s="296"/>
      <c r="O26" s="296"/>
      <c r="P26" s="297"/>
      <c r="Q26" s="232"/>
      <c r="R26" s="23"/>
      <c r="S26" s="184" t="s">
        <v>265</v>
      </c>
      <c r="T26" s="305" t="str">
        <f ca="1">IF(T25&lt;0,"Votre projet est additionnel","Votre projet n'est pas additionnel")</f>
        <v>Votre projet n'est pas additionnel</v>
      </c>
      <c r="U26" s="305"/>
      <c r="V26" s="305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78">
        <f>'Données projet'!A40</f>
        <v>15</v>
      </c>
      <c r="B27" s="179">
        <f>'Données projet'!D40</f>
        <v>0</v>
      </c>
      <c r="C27" s="191"/>
      <c r="D27" s="180">
        <f t="shared" si="2"/>
        <v>0</v>
      </c>
      <c r="E27" s="191"/>
      <c r="F27" s="231"/>
      <c r="G27" s="227"/>
      <c r="H27" s="188"/>
      <c r="I27" s="189"/>
      <c r="K27" s="206"/>
      <c r="L27" s="298"/>
      <c r="M27" s="299"/>
      <c r="N27" s="299"/>
      <c r="O27" s="299"/>
      <c r="P27" s="300"/>
      <c r="Q27" s="232"/>
      <c r="R27" s="23"/>
      <c r="S27" s="304" t="s">
        <v>267</v>
      </c>
      <c r="T27" s="304"/>
      <c r="U27" s="304"/>
      <c r="V27" s="30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78">
        <f>'Données projet'!A41</f>
        <v>16</v>
      </c>
      <c r="B28" s="179">
        <f>'Données projet'!D41</f>
        <v>0</v>
      </c>
      <c r="C28" s="191"/>
      <c r="D28" s="180">
        <f t="shared" si="2"/>
        <v>0</v>
      </c>
      <c r="E28" s="191"/>
      <c r="F28" s="231"/>
      <c r="G28" s="203"/>
      <c r="H28" s="188"/>
      <c r="I28" s="189"/>
      <c r="K28" s="206"/>
      <c r="Q28" s="232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78">
        <f>'Données projet'!A42</f>
        <v>17</v>
      </c>
      <c r="B29" s="179">
        <f>'Données projet'!D42</f>
        <v>43</v>
      </c>
      <c r="C29" s="191"/>
      <c r="D29" s="180">
        <f t="shared" si="2"/>
        <v>0</v>
      </c>
      <c r="E29" s="191"/>
      <c r="F29" s="231"/>
      <c r="G29" s="201"/>
      <c r="H29" s="188"/>
      <c r="I29" s="189"/>
      <c r="K29" s="206"/>
      <c r="O29" s="23"/>
      <c r="P29" s="23"/>
      <c r="Q29" s="232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78">
        <f>'Données projet'!A43</f>
        <v>18</v>
      </c>
      <c r="B30" s="179">
        <f>'Données projet'!D43</f>
        <v>0</v>
      </c>
      <c r="C30" s="191"/>
      <c r="D30" s="180">
        <f t="shared" si="2"/>
        <v>0</v>
      </c>
      <c r="E30" s="191"/>
      <c r="F30" s="231"/>
      <c r="G30" s="201"/>
      <c r="H30" s="188"/>
      <c r="I30" s="189"/>
      <c r="K30" s="181"/>
      <c r="L30" s="36" t="s">
        <v>259</v>
      </c>
      <c r="M30" s="182">
        <f ca="1">SUM(OFFSET($P$33,0,0,MIN('Données projet'!$E$9:$E$18)+1,1))</f>
        <v>0</v>
      </c>
      <c r="O30" s="4"/>
      <c r="P30" s="4"/>
      <c r="Q30" s="233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78">
        <f>'Données projet'!A44</f>
        <v>19</v>
      </c>
      <c r="B31" s="179">
        <f>'Données projet'!D44</f>
        <v>0</v>
      </c>
      <c r="C31" s="191"/>
      <c r="D31" s="180">
        <f t="shared" si="2"/>
        <v>0</v>
      </c>
      <c r="E31" s="191"/>
      <c r="F31" s="231"/>
      <c r="G31" s="201"/>
      <c r="H31" s="188"/>
      <c r="I31" s="189"/>
      <c r="K31" s="171"/>
      <c r="Q31" s="232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78">
        <f>'Données projet'!A45</f>
        <v>20</v>
      </c>
      <c r="B32" s="179">
        <f>'Données projet'!D45</f>
        <v>0</v>
      </c>
      <c r="C32" s="191"/>
      <c r="D32" s="180">
        <f t="shared" si="2"/>
        <v>0</v>
      </c>
      <c r="E32" s="191"/>
      <c r="F32" s="231"/>
      <c r="G32" s="201"/>
      <c r="H32" s="188"/>
      <c r="I32" s="189"/>
      <c r="K32" s="171"/>
      <c r="N32" s="4"/>
      <c r="O32" s="84" t="s">
        <v>178</v>
      </c>
      <c r="P32" s="84" t="s">
        <v>252</v>
      </c>
      <c r="Q32" s="232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78">
        <f>'Données projet'!A46</f>
        <v>21</v>
      </c>
      <c r="B33" s="179">
        <f>'Données projet'!D46</f>
        <v>0</v>
      </c>
      <c r="C33" s="191"/>
      <c r="D33" s="180">
        <f t="shared" si="2"/>
        <v>0</v>
      </c>
      <c r="E33" s="191"/>
      <c r="F33" s="231"/>
      <c r="G33" s="201"/>
      <c r="H33" s="188"/>
      <c r="I33" s="189"/>
      <c r="K33" s="171"/>
      <c r="L33" s="4"/>
      <c r="M33" s="4"/>
      <c r="N33" s="4"/>
      <c r="O33" s="192">
        <v>0</v>
      </c>
      <c r="P33" s="183">
        <f t="shared" ref="P33:P64" si="3">$P$25/(1+$M$4)^O33</f>
        <v>0</v>
      </c>
      <c r="Q33" s="232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78">
        <f>'Données projet'!A47</f>
        <v>22</v>
      </c>
      <c r="B34" s="179">
        <f>'Données projet'!D47</f>
        <v>56</v>
      </c>
      <c r="C34" s="191"/>
      <c r="D34" s="180">
        <f t="shared" si="2"/>
        <v>0</v>
      </c>
      <c r="E34" s="191"/>
      <c r="F34" s="231"/>
      <c r="G34" s="201"/>
      <c r="H34" s="188"/>
      <c r="I34" s="189"/>
      <c r="K34" s="171"/>
      <c r="L34" s="96"/>
      <c r="M34" s="96"/>
      <c r="N34" s="248"/>
      <c r="O34" s="192">
        <f>IF(O33+1&lt;=MIN('Données projet'!$E$9:$E$18),O33+1,"STOP")</f>
        <v>1</v>
      </c>
      <c r="P34" s="183">
        <f t="shared" si="3"/>
        <v>0</v>
      </c>
      <c r="Q34" s="232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78">
        <f>'Données projet'!A48</f>
        <v>23</v>
      </c>
      <c r="B35" s="179">
        <f>'Données projet'!D48</f>
        <v>0</v>
      </c>
      <c r="C35" s="191"/>
      <c r="D35" s="180">
        <f t="shared" si="2"/>
        <v>0</v>
      </c>
      <c r="E35" s="191"/>
      <c r="F35" s="231"/>
      <c r="G35" s="201"/>
      <c r="H35" s="188"/>
      <c r="I35" s="189"/>
      <c r="K35" s="171"/>
      <c r="L35" s="96"/>
      <c r="M35" s="96"/>
      <c r="N35" s="248"/>
      <c r="O35" s="192">
        <f>IF(O34+1&lt;=MIN('Données projet'!$E$9:$E$18),O34+1,"STOP")</f>
        <v>2</v>
      </c>
      <c r="P35" s="183">
        <f t="shared" si="3"/>
        <v>0</v>
      </c>
      <c r="Q35" s="232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78">
        <f>'Données projet'!A49</f>
        <v>24</v>
      </c>
      <c r="B36" s="179">
        <f>'Données projet'!D49</f>
        <v>0</v>
      </c>
      <c r="C36" s="191"/>
      <c r="D36" s="180">
        <f t="shared" si="2"/>
        <v>0</v>
      </c>
      <c r="E36" s="191"/>
      <c r="F36" s="231"/>
      <c r="G36" s="201"/>
      <c r="H36" s="188"/>
      <c r="I36" s="189"/>
      <c r="K36" s="171"/>
      <c r="L36" s="23"/>
      <c r="M36" s="23"/>
      <c r="N36" s="23"/>
      <c r="O36" s="192">
        <f>IF(O35+1&lt;=MIN('Données projet'!$E$9:$E$18),O35+1,"STOP")</f>
        <v>3</v>
      </c>
      <c r="P36" s="183">
        <f t="shared" si="3"/>
        <v>0</v>
      </c>
      <c r="Q36" s="232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78">
        <f>'Données projet'!A50</f>
        <v>25</v>
      </c>
      <c r="B37" s="179">
        <f>'Données projet'!D50</f>
        <v>0</v>
      </c>
      <c r="C37" s="191"/>
      <c r="D37" s="180">
        <f t="shared" si="2"/>
        <v>0</v>
      </c>
      <c r="E37" s="191"/>
      <c r="F37" s="231"/>
      <c r="G37" s="201"/>
      <c r="H37" s="188"/>
      <c r="I37" s="189"/>
      <c r="K37" s="171"/>
      <c r="L37" s="23"/>
      <c r="M37" s="23"/>
      <c r="N37" s="23"/>
      <c r="O37" s="192">
        <f>IF(O36+1&lt;=MIN('Données projet'!$E$9:$E$18),O36+1,"STOP")</f>
        <v>4</v>
      </c>
      <c r="P37" s="183">
        <f t="shared" si="3"/>
        <v>0</v>
      </c>
      <c r="Q37" s="232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78">
        <f>'Données projet'!A51</f>
        <v>26</v>
      </c>
      <c r="B38" s="179">
        <f>'Données projet'!D51</f>
        <v>0</v>
      </c>
      <c r="C38" s="191"/>
      <c r="D38" s="180">
        <f t="shared" si="2"/>
        <v>0</v>
      </c>
      <c r="E38" s="191"/>
      <c r="F38" s="231"/>
      <c r="G38" s="201"/>
      <c r="H38" s="188"/>
      <c r="I38" s="189"/>
      <c r="K38" s="171"/>
      <c r="L38" s="23"/>
      <c r="M38" s="23"/>
      <c r="N38" s="23"/>
      <c r="O38" s="192">
        <f>IF(O37+1&lt;=MIN('Données projet'!$E$9:$E$18),O37+1,"STOP")</f>
        <v>5</v>
      </c>
      <c r="P38" s="183">
        <f t="shared" si="3"/>
        <v>0</v>
      </c>
      <c r="Q38" s="232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78">
        <f>'Données projet'!A52</f>
        <v>27</v>
      </c>
      <c r="B39" s="179">
        <f>'Données projet'!D52</f>
        <v>0</v>
      </c>
      <c r="C39" s="191"/>
      <c r="D39" s="180">
        <f t="shared" si="2"/>
        <v>0</v>
      </c>
      <c r="E39" s="191"/>
      <c r="F39" s="231"/>
      <c r="G39" s="201"/>
      <c r="H39" s="188"/>
      <c r="I39" s="189"/>
      <c r="K39" s="206"/>
      <c r="L39" s="23"/>
      <c r="M39" s="23"/>
      <c r="N39" s="23"/>
      <c r="O39" s="192">
        <f>IF(O38+1&lt;=MIN('Données projet'!$E$9:$E$18),O38+1,"STOP")</f>
        <v>6</v>
      </c>
      <c r="P39" s="183">
        <f t="shared" si="3"/>
        <v>0</v>
      </c>
      <c r="Q39" s="232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78">
        <f>'Données projet'!A53</f>
        <v>28</v>
      </c>
      <c r="B40" s="179">
        <f>'Données projet'!D53</f>
        <v>0</v>
      </c>
      <c r="C40" s="191"/>
      <c r="D40" s="180">
        <f t="shared" si="2"/>
        <v>0</v>
      </c>
      <c r="E40" s="191"/>
      <c r="F40" s="231"/>
      <c r="G40" s="201"/>
      <c r="H40" s="188"/>
      <c r="I40" s="189"/>
      <c r="K40" s="206"/>
      <c r="L40" s="23"/>
      <c r="M40" s="23"/>
      <c r="N40" s="23"/>
      <c r="O40" s="192">
        <f>IF(O39+1&lt;=MIN('Données projet'!$E$9:$E$18),O39+1,"STOP")</f>
        <v>7</v>
      </c>
      <c r="P40" s="183">
        <f t="shared" si="3"/>
        <v>0</v>
      </c>
      <c r="Q40" s="232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78">
        <f>'Données projet'!A54</f>
        <v>29</v>
      </c>
      <c r="B41" s="179">
        <f>'Données projet'!D54</f>
        <v>0</v>
      </c>
      <c r="C41" s="191"/>
      <c r="D41" s="180">
        <f t="shared" si="2"/>
        <v>0</v>
      </c>
      <c r="E41" s="191"/>
      <c r="F41" s="231"/>
      <c r="G41" s="201"/>
      <c r="H41" s="188"/>
      <c r="I41" s="189"/>
      <c r="K41" s="206"/>
      <c r="L41" s="23"/>
      <c r="M41" s="23"/>
      <c r="N41" s="23"/>
      <c r="O41" s="192">
        <f>IF(O40+1&lt;=MIN('Données projet'!$E$9:$E$18),O40+1,"STOP")</f>
        <v>8</v>
      </c>
      <c r="P41" s="183">
        <f t="shared" si="3"/>
        <v>0</v>
      </c>
      <c r="Q41" s="232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78">
        <f>'Données projet'!A55</f>
        <v>30</v>
      </c>
      <c r="B42" s="179">
        <f>'Données projet'!D55</f>
        <v>309</v>
      </c>
      <c r="C42" s="191"/>
      <c r="D42" s="180">
        <f t="shared" si="2"/>
        <v>0</v>
      </c>
      <c r="E42" s="191"/>
      <c r="F42" s="231"/>
      <c r="G42" s="201"/>
      <c r="H42" s="188"/>
      <c r="I42" s="189"/>
      <c r="K42" s="206"/>
      <c r="L42" s="23"/>
      <c r="M42" s="23"/>
      <c r="N42" s="23"/>
      <c r="O42" s="192">
        <f>IF(O41+1&lt;=MIN('Données projet'!$E$9:$E$18),O41+1,"STOP")</f>
        <v>9</v>
      </c>
      <c r="P42" s="183">
        <f t="shared" si="3"/>
        <v>0</v>
      </c>
      <c r="Q42" s="232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5"/>
      <c r="B43" s="185"/>
      <c r="C43" s="185"/>
      <c r="D43" s="225"/>
      <c r="E43" s="225"/>
      <c r="F43" s="236"/>
      <c r="G43" s="201"/>
      <c r="H43" s="188"/>
      <c r="I43" s="189"/>
      <c r="K43" s="206"/>
      <c r="L43" s="23"/>
      <c r="M43" s="23"/>
      <c r="N43" s="23"/>
      <c r="O43" s="192">
        <f>IF(O42+1&lt;=MIN('Données projet'!$E$9:$E$18),O42+1,"STOP")</f>
        <v>10</v>
      </c>
      <c r="P43" s="183">
        <f t="shared" si="3"/>
        <v>0</v>
      </c>
      <c r="Q43" s="233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28"/>
      <c r="G44" s="201"/>
      <c r="H44" s="188"/>
      <c r="I44" s="189"/>
      <c r="K44" s="206"/>
      <c r="L44" s="23"/>
      <c r="M44" s="23"/>
      <c r="N44" s="23"/>
      <c r="O44" s="192">
        <f>IF(O43+1&lt;=MIN('Données projet'!$E$9:$E$18),O43+1,"STOP")</f>
        <v>11</v>
      </c>
      <c r="P44" s="183">
        <f t="shared" si="3"/>
        <v>0</v>
      </c>
      <c r="Q44" s="233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166</v>
      </c>
      <c r="B45" s="172" t="str">
        <f>IF('Données projet'!$B$10="","",'Données projet'!$B$10)</f>
        <v>Chêne tauzin</v>
      </c>
      <c r="C45" s="4"/>
      <c r="D45" s="4"/>
      <c r="E45" s="4"/>
      <c r="F45" s="228"/>
      <c r="G45" s="201"/>
      <c r="H45" s="188"/>
      <c r="I45" s="189"/>
      <c r="J45" s="23"/>
      <c r="K45" s="206"/>
      <c r="L45" s="23"/>
      <c r="M45" s="23"/>
      <c r="N45" s="23"/>
      <c r="O45" s="192">
        <f>IF(O44+1&lt;=MIN('Données projet'!$E$9:$E$18),O44+1,"STOP")</f>
        <v>12</v>
      </c>
      <c r="P45" s="183">
        <f t="shared" si="3"/>
        <v>0</v>
      </c>
      <c r="Q45" s="233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28"/>
      <c r="G46" s="201"/>
      <c r="H46" s="188"/>
      <c r="I46" s="189"/>
      <c r="J46" s="23"/>
      <c r="K46" s="206"/>
      <c r="L46" s="202"/>
      <c r="M46" s="202"/>
      <c r="N46" s="202"/>
      <c r="O46" s="192">
        <f>IF(O45+1&lt;=MIN('Données projet'!$E$9:$E$18),O45+1,"STOP")</f>
        <v>13</v>
      </c>
      <c r="P46" s="186">
        <f t="shared" si="3"/>
        <v>0</v>
      </c>
      <c r="Q46" s="233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29"/>
      <c r="G47" s="201"/>
      <c r="H47" s="188"/>
      <c r="I47" s="189"/>
      <c r="J47" s="23"/>
      <c r="K47" s="206"/>
      <c r="L47" s="4"/>
      <c r="M47" s="4"/>
      <c r="N47" s="4"/>
      <c r="O47" s="192">
        <f>IF(O46+1&lt;=MIN('Données projet'!$E$9:$E$18),O46+1,"STOP")</f>
        <v>14</v>
      </c>
      <c r="P47" s="183">
        <f t="shared" si="3"/>
        <v>0</v>
      </c>
      <c r="Q47" s="233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7" t="s">
        <v>132</v>
      </c>
      <c r="C48" s="196" t="s">
        <v>132</v>
      </c>
      <c r="D48" s="195" t="s">
        <v>132</v>
      </c>
      <c r="E48" s="191"/>
      <c r="F48" s="229"/>
      <c r="G48" s="201"/>
      <c r="H48" s="188"/>
      <c r="I48" s="189"/>
      <c r="J48" s="23"/>
      <c r="K48" s="206"/>
      <c r="L48" s="4"/>
      <c r="M48" s="4"/>
      <c r="N48" s="4"/>
      <c r="O48" s="192">
        <f>IF(O47+1&lt;=MIN('Données projet'!$E$9:$E$18),O47+1,"STOP")</f>
        <v>15</v>
      </c>
      <c r="P48" s="183">
        <f t="shared" si="3"/>
        <v>0</v>
      </c>
      <c r="Q48" s="233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3" customFormat="1" ht="17.25" customHeight="1" x14ac:dyDescent="0.3">
      <c r="A49" s="49">
        <v>1</v>
      </c>
      <c r="B49" s="197" t="s">
        <v>132</v>
      </c>
      <c r="C49" s="196" t="s">
        <v>132</v>
      </c>
      <c r="D49" s="195" t="s">
        <v>132</v>
      </c>
      <c r="E49" s="191"/>
      <c r="F49" s="229"/>
      <c r="G49" s="202"/>
      <c r="H49" s="188"/>
      <c r="I49" s="189"/>
      <c r="J49" s="202"/>
      <c r="K49" s="208"/>
      <c r="L49" s="4"/>
      <c r="M49" s="4"/>
      <c r="N49" s="4"/>
      <c r="O49" s="192">
        <f>IF(O48+1&lt;=MIN('Données projet'!$E$9:$E$18),O48+1,"STOP")</f>
        <v>16</v>
      </c>
      <c r="P49" s="183">
        <f t="shared" si="3"/>
        <v>0</v>
      </c>
      <c r="Q49" s="234"/>
      <c r="R49" s="185"/>
      <c r="S49" s="185"/>
      <c r="T49" s="185"/>
      <c r="U49" s="185"/>
      <c r="V49" s="185"/>
      <c r="W49" s="185"/>
      <c r="X49" s="185"/>
      <c r="Y49" s="185"/>
      <c r="Z49" s="185"/>
      <c r="AA49" s="185"/>
      <c r="AB49" s="185"/>
      <c r="AC49" s="185"/>
      <c r="AD49" s="185"/>
      <c r="AE49" s="185"/>
      <c r="AF49" s="185"/>
      <c r="AG49" s="185"/>
      <c r="AH49" s="185"/>
      <c r="AI49" s="185"/>
      <c r="AJ49" s="185"/>
      <c r="AK49" s="185"/>
      <c r="AL49" s="185"/>
      <c r="AM49" s="185"/>
      <c r="AN49" s="185"/>
      <c r="AO49" s="185"/>
      <c r="AP49" s="185"/>
      <c r="AQ49" s="185"/>
      <c r="AR49" s="185"/>
      <c r="AS49" s="185"/>
      <c r="AT49" s="185"/>
      <c r="AU49" s="185"/>
      <c r="AV49" s="185"/>
      <c r="AW49" s="185"/>
      <c r="AX49" s="185"/>
      <c r="AY49" s="185"/>
      <c r="AZ49" s="185"/>
      <c r="BA49" s="185"/>
      <c r="BB49" s="185"/>
      <c r="BC49" s="185"/>
      <c r="BD49" s="185"/>
    </row>
    <row r="50" spans="1:56" x14ac:dyDescent="0.3">
      <c r="A50" s="49">
        <v>2</v>
      </c>
      <c r="B50" s="197" t="s">
        <v>132</v>
      </c>
      <c r="C50" s="196" t="s">
        <v>132</v>
      </c>
      <c r="D50" s="195" t="s">
        <v>132</v>
      </c>
      <c r="E50" s="191"/>
      <c r="F50" s="229"/>
      <c r="G50" s="23"/>
      <c r="H50" s="188"/>
      <c r="I50" s="189"/>
      <c r="J50" s="23"/>
      <c r="K50" s="171"/>
      <c r="L50" s="4"/>
      <c r="M50" s="4"/>
      <c r="N50" s="4"/>
      <c r="O50" s="192">
        <f>IF(O49+1&lt;=MIN('Données projet'!$E$9:$E$18),O49+1,"STOP")</f>
        <v>17</v>
      </c>
      <c r="P50" s="183">
        <f t="shared" si="3"/>
        <v>0</v>
      </c>
      <c r="Q50" s="233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7" t="s">
        <v>132</v>
      </c>
      <c r="C51" s="196" t="s">
        <v>132</v>
      </c>
      <c r="D51" s="195" t="s">
        <v>132</v>
      </c>
      <c r="E51" s="191"/>
      <c r="F51" s="229"/>
      <c r="G51" s="23"/>
      <c r="H51" s="188"/>
      <c r="I51" s="189"/>
      <c r="J51" s="23"/>
      <c r="K51" s="171"/>
      <c r="L51" s="4"/>
      <c r="M51" s="4"/>
      <c r="N51" s="4"/>
      <c r="O51" s="192">
        <f>IF(O50+1&lt;=MIN('Données projet'!$E$9:$E$18),O50+1,"STOP")</f>
        <v>18</v>
      </c>
      <c r="P51" s="183">
        <f t="shared" si="3"/>
        <v>0</v>
      </c>
      <c r="Q51" s="233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7" t="s">
        <v>132</v>
      </c>
      <c r="C52" s="196" t="s">
        <v>132</v>
      </c>
      <c r="D52" s="195" t="s">
        <v>132</v>
      </c>
      <c r="E52" s="191"/>
      <c r="F52" s="229"/>
      <c r="G52" s="23"/>
      <c r="H52" s="188"/>
      <c r="I52" s="189"/>
      <c r="J52" s="23"/>
      <c r="K52" s="171"/>
      <c r="L52" s="4"/>
      <c r="M52" s="4"/>
      <c r="N52" s="4"/>
      <c r="O52" s="192">
        <f>IF(O51+1&lt;=MIN('Données projet'!$E$9:$E$18),O51+1,"STOP")</f>
        <v>19</v>
      </c>
      <c r="P52" s="183">
        <f t="shared" si="3"/>
        <v>0</v>
      </c>
      <c r="Q52" s="233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7" t="s">
        <v>132</v>
      </c>
      <c r="C53" s="196" t="s">
        <v>132</v>
      </c>
      <c r="D53" s="195" t="s">
        <v>132</v>
      </c>
      <c r="E53" s="191"/>
      <c r="F53" s="229"/>
      <c r="G53" s="203"/>
      <c r="H53" s="188"/>
      <c r="I53" s="189"/>
      <c r="J53" s="23"/>
      <c r="K53" s="171"/>
      <c r="L53" s="4"/>
      <c r="M53" s="4"/>
      <c r="N53" s="4"/>
      <c r="O53" s="192">
        <f>IF(O52+1&lt;=MIN('Données projet'!$E$9:$E$18),O52+1,"STOP")</f>
        <v>20</v>
      </c>
      <c r="P53" s="183">
        <f t="shared" si="3"/>
        <v>0</v>
      </c>
      <c r="Q53" s="233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78">
        <f>'Données projet'!A62</f>
        <v>30</v>
      </c>
      <c r="B54" s="179">
        <f>'Données projet'!D62</f>
        <v>0</v>
      </c>
      <c r="C54" s="189"/>
      <c r="D54" s="177">
        <f>B54*C54</f>
        <v>0</v>
      </c>
      <c r="E54" s="191"/>
      <c r="F54" s="230"/>
      <c r="G54" s="203"/>
      <c r="H54" s="188"/>
      <c r="I54" s="189"/>
      <c r="J54" s="23"/>
      <c r="K54" s="171"/>
      <c r="L54" s="4"/>
      <c r="M54" s="4"/>
      <c r="N54" s="4"/>
      <c r="O54" s="192">
        <f>IF(O53+1&lt;=MIN('Données projet'!$E$9:$E$18),O53+1,"STOP")</f>
        <v>21</v>
      </c>
      <c r="P54" s="183">
        <f t="shared" si="3"/>
        <v>0</v>
      </c>
      <c r="Q54" s="233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78">
        <f>'Données projet'!A63</f>
        <v>42</v>
      </c>
      <c r="B55" s="179">
        <f>'Données projet'!D63</f>
        <v>43.21</v>
      </c>
      <c r="C55" s="189"/>
      <c r="D55" s="177">
        <f t="shared" ref="D55:D73" si="4">B55*C55</f>
        <v>0</v>
      </c>
      <c r="E55" s="191"/>
      <c r="F55" s="230"/>
      <c r="G55" s="203"/>
      <c r="H55" s="188"/>
      <c r="I55" s="189"/>
      <c r="J55" s="23"/>
      <c r="K55" s="171"/>
      <c r="L55" s="4"/>
      <c r="M55" s="4"/>
      <c r="N55" s="4"/>
      <c r="O55" s="192">
        <f>IF(O54+1&lt;=MIN('Données projet'!$E$9:$E$18),O54+1,"STOP")</f>
        <v>22</v>
      </c>
      <c r="P55" s="183">
        <f t="shared" si="3"/>
        <v>0</v>
      </c>
      <c r="Q55" s="233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78">
        <f>'Données projet'!A64</f>
        <v>50</v>
      </c>
      <c r="B56" s="179">
        <f>'Données projet'!D64</f>
        <v>35.58</v>
      </c>
      <c r="C56" s="189"/>
      <c r="D56" s="177">
        <f t="shared" si="4"/>
        <v>0</v>
      </c>
      <c r="E56" s="191"/>
      <c r="F56" s="230"/>
      <c r="G56" s="203"/>
      <c r="H56" s="188"/>
      <c r="I56" s="189"/>
      <c r="J56" s="23"/>
      <c r="K56" s="171"/>
      <c r="L56" s="4"/>
      <c r="M56" s="4"/>
      <c r="N56" s="4"/>
      <c r="O56" s="192">
        <f>IF(O55+1&lt;=MIN('Données projet'!$E$9:$E$18),O55+1,"STOP")</f>
        <v>23</v>
      </c>
      <c r="P56" s="183">
        <f t="shared" si="3"/>
        <v>0</v>
      </c>
      <c r="Q56" s="233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78">
        <f>'Données projet'!A65</f>
        <v>58</v>
      </c>
      <c r="B57" s="179">
        <f>'Données projet'!D65</f>
        <v>44.93</v>
      </c>
      <c r="C57" s="189"/>
      <c r="D57" s="177">
        <f t="shared" si="4"/>
        <v>0</v>
      </c>
      <c r="E57" s="191"/>
      <c r="F57" s="230"/>
      <c r="G57" s="203"/>
      <c r="H57" s="188"/>
      <c r="I57" s="189"/>
      <c r="J57" s="23"/>
      <c r="K57" s="171"/>
      <c r="L57" s="4"/>
      <c r="M57" s="4"/>
      <c r="N57" s="4"/>
      <c r="O57" s="192">
        <f>IF(O56+1&lt;=MIN('Données projet'!$E$9:$E$18),O56+1,"STOP")</f>
        <v>24</v>
      </c>
      <c r="P57" s="183">
        <f t="shared" si="3"/>
        <v>0</v>
      </c>
      <c r="Q57" s="233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78">
        <f>'Données projet'!A66</f>
        <v>66</v>
      </c>
      <c r="B58" s="179">
        <f>'Données projet'!D66</f>
        <v>49.91</v>
      </c>
      <c r="C58" s="189"/>
      <c r="D58" s="177">
        <f t="shared" si="4"/>
        <v>0</v>
      </c>
      <c r="E58" s="191"/>
      <c r="F58" s="230"/>
      <c r="G58" s="203"/>
      <c r="H58" s="188"/>
      <c r="I58" s="189"/>
      <c r="J58" s="23"/>
      <c r="K58" s="171"/>
      <c r="L58" s="4"/>
      <c r="M58" s="4"/>
      <c r="N58" s="4"/>
      <c r="O58" s="192">
        <f>IF(O57+1&lt;=MIN('Données projet'!$E$9:$E$18),O57+1,"STOP")</f>
        <v>25</v>
      </c>
      <c r="P58" s="183">
        <f t="shared" si="3"/>
        <v>0</v>
      </c>
      <c r="Q58" s="233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78">
        <f>'Données projet'!A67</f>
        <v>74</v>
      </c>
      <c r="B59" s="179">
        <f>'Données projet'!D67</f>
        <v>47.4</v>
      </c>
      <c r="C59" s="189"/>
      <c r="D59" s="177">
        <f t="shared" si="4"/>
        <v>0</v>
      </c>
      <c r="E59" s="191"/>
      <c r="F59" s="230"/>
      <c r="G59" s="203"/>
      <c r="H59" s="188"/>
      <c r="I59" s="189"/>
      <c r="J59" s="23"/>
      <c r="K59" s="171"/>
      <c r="L59" s="4"/>
      <c r="M59" s="4"/>
      <c r="N59" s="4"/>
      <c r="O59" s="192">
        <f>IF(O58+1&lt;=MIN('Données projet'!$E$9:$E$18),O58+1,"STOP")</f>
        <v>26</v>
      </c>
      <c r="P59" s="183">
        <f t="shared" si="3"/>
        <v>0</v>
      </c>
      <c r="Q59" s="233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78">
        <f>'Données projet'!A68</f>
        <v>84</v>
      </c>
      <c r="B60" s="179">
        <f>'Données projet'!D68</f>
        <v>61.47</v>
      </c>
      <c r="C60" s="189"/>
      <c r="D60" s="177">
        <f t="shared" si="4"/>
        <v>0</v>
      </c>
      <c r="E60" s="191"/>
      <c r="F60" s="230"/>
      <c r="G60" s="204"/>
      <c r="H60" s="188"/>
      <c r="I60" s="189"/>
      <c r="J60" s="23"/>
      <c r="K60" s="171"/>
      <c r="L60" s="4"/>
      <c r="M60" s="4"/>
      <c r="N60" s="4"/>
      <c r="O60" s="192">
        <f>IF(O59+1&lt;=MIN('Données projet'!$E$9:$E$18),O59+1,"STOP")</f>
        <v>27</v>
      </c>
      <c r="P60" s="183">
        <f t="shared" si="3"/>
        <v>0</v>
      </c>
      <c r="Q60" s="233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78">
        <f>'Données projet'!A69</f>
        <v>94</v>
      </c>
      <c r="B61" s="179">
        <f>'Données projet'!D69</f>
        <v>61.85</v>
      </c>
      <c r="C61" s="189"/>
      <c r="D61" s="177">
        <f t="shared" si="4"/>
        <v>0</v>
      </c>
      <c r="E61" s="191"/>
      <c r="F61" s="230"/>
      <c r="G61" s="204"/>
      <c r="H61" s="188"/>
      <c r="I61" s="189"/>
      <c r="J61" s="23"/>
      <c r="K61" s="171"/>
      <c r="L61" s="4"/>
      <c r="M61" s="4"/>
      <c r="N61" s="4"/>
      <c r="O61" s="192">
        <f>IF(O60+1&lt;=MIN('Données projet'!$E$9:$E$18),O60+1,"STOP")</f>
        <v>28</v>
      </c>
      <c r="P61" s="183">
        <f t="shared" si="3"/>
        <v>0</v>
      </c>
      <c r="Q61" s="233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78">
        <f>'Données projet'!A70</f>
        <v>104</v>
      </c>
      <c r="B62" s="179">
        <f>'Données projet'!D70</f>
        <v>60.19</v>
      </c>
      <c r="C62" s="189"/>
      <c r="D62" s="177">
        <f t="shared" si="4"/>
        <v>0</v>
      </c>
      <c r="E62" s="191"/>
      <c r="F62" s="230"/>
      <c r="G62" s="204"/>
      <c r="H62" s="188"/>
      <c r="I62" s="189"/>
      <c r="J62" s="23"/>
      <c r="K62" s="171"/>
      <c r="L62" s="4"/>
      <c r="M62" s="4"/>
      <c r="N62" s="4"/>
      <c r="O62" s="192">
        <f>IF(O61+1&lt;=MIN('Données projet'!$E$9:$E$18),O61+1,"STOP")</f>
        <v>29</v>
      </c>
      <c r="P62" s="183">
        <f t="shared" si="3"/>
        <v>0</v>
      </c>
      <c r="Q62" s="233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78">
        <f>'Données projet'!A71</f>
        <v>114</v>
      </c>
      <c r="B63" s="179">
        <f>'Données projet'!D71</f>
        <v>56.07</v>
      </c>
      <c r="C63" s="189"/>
      <c r="D63" s="177">
        <f t="shared" si="4"/>
        <v>0</v>
      </c>
      <c r="E63" s="191"/>
      <c r="F63" s="230"/>
      <c r="G63" s="204"/>
      <c r="H63" s="188"/>
      <c r="I63" s="189"/>
      <c r="J63" s="23"/>
      <c r="K63" s="171"/>
      <c r="L63" s="4"/>
      <c r="M63" s="4"/>
      <c r="N63" s="4"/>
      <c r="O63" s="192">
        <f>IF(O62+1&lt;=MIN('Données projet'!$E$9:$E$18),O62+1,"STOP")</f>
        <v>30</v>
      </c>
      <c r="P63" s="183">
        <f t="shared" si="3"/>
        <v>0</v>
      </c>
      <c r="Q63" s="233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78">
        <f>'Données projet'!A72</f>
        <v>124</v>
      </c>
      <c r="B64" s="179">
        <f>'Données projet'!D72</f>
        <v>52.53</v>
      </c>
      <c r="C64" s="189"/>
      <c r="D64" s="177">
        <f t="shared" si="4"/>
        <v>0</v>
      </c>
      <c r="E64" s="191"/>
      <c r="F64" s="230"/>
      <c r="G64" s="204"/>
      <c r="H64" s="188"/>
      <c r="I64" s="189"/>
      <c r="J64" s="205"/>
      <c r="K64" s="171"/>
      <c r="L64" s="4"/>
      <c r="M64" s="4"/>
      <c r="N64" s="4"/>
      <c r="O64" s="192" t="str">
        <f>IF(O63+1&lt;=MIN('Données projet'!$E$9:$E$18),O63+1,"STOP")</f>
        <v>STOP</v>
      </c>
      <c r="P64" s="183" t="e">
        <f t="shared" si="3"/>
        <v>#VALUE!</v>
      </c>
      <c r="Q64" s="233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78">
        <f>'Données projet'!A73</f>
        <v>134</v>
      </c>
      <c r="B65" s="179">
        <f>'Données projet'!D73</f>
        <v>54.95</v>
      </c>
      <c r="C65" s="189"/>
      <c r="D65" s="177">
        <f t="shared" si="4"/>
        <v>0</v>
      </c>
      <c r="E65" s="191"/>
      <c r="F65" s="230"/>
      <c r="G65" s="204"/>
      <c r="H65" s="188"/>
      <c r="I65" s="189"/>
      <c r="J65" s="187"/>
      <c r="K65" s="171"/>
      <c r="L65" s="4"/>
      <c r="M65" s="4"/>
      <c r="N65" s="4"/>
      <c r="O65" s="192" t="e">
        <f>IF(O64+1&lt;=MIN('Données projet'!$E$9:$E$18),O64+1,"STOP")</f>
        <v>#VALUE!</v>
      </c>
      <c r="P65" s="183" t="e">
        <f t="shared" ref="P65:P96" si="5">$P$25/(1+$M$4)^O65</f>
        <v>#VALUE!</v>
      </c>
      <c r="Q65" s="233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78">
        <f>'Données projet'!A74</f>
        <v>144</v>
      </c>
      <c r="B66" s="179">
        <f>'Données projet'!D74</f>
        <v>56.01</v>
      </c>
      <c r="C66" s="189"/>
      <c r="D66" s="177">
        <f t="shared" si="4"/>
        <v>0</v>
      </c>
      <c r="E66" s="191"/>
      <c r="F66" s="230"/>
      <c r="G66" s="204"/>
      <c r="H66" s="188"/>
      <c r="I66" s="189"/>
      <c r="J66" s="187"/>
      <c r="K66" s="171"/>
      <c r="L66" s="4"/>
      <c r="M66" s="4"/>
      <c r="N66" s="4"/>
      <c r="O66" s="192" t="e">
        <f>IF(O65+1&lt;=MIN('Données projet'!$E$9:$E$18),O65+1,"STOP")</f>
        <v>#VALUE!</v>
      </c>
      <c r="P66" s="183" t="e">
        <f t="shared" si="5"/>
        <v>#VALUE!</v>
      </c>
      <c r="Q66" s="233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78">
        <f>'Données projet'!A75</f>
        <v>154</v>
      </c>
      <c r="B67" s="179">
        <f>'Données projet'!D75</f>
        <v>55.13</v>
      </c>
      <c r="C67" s="189"/>
      <c r="D67" s="177">
        <f t="shared" si="4"/>
        <v>0</v>
      </c>
      <c r="E67" s="191"/>
      <c r="F67" s="230"/>
      <c r="G67" s="204"/>
      <c r="H67" s="188"/>
      <c r="I67" s="189"/>
      <c r="J67" s="187"/>
      <c r="K67" s="171"/>
      <c r="L67" s="4"/>
      <c r="M67" s="4"/>
      <c r="N67" s="4"/>
      <c r="O67" s="192" t="e">
        <f>IF(O66+1&lt;=MIN('Données projet'!$E$9:$E$18),O66+1,"STOP")</f>
        <v>#VALUE!</v>
      </c>
      <c r="P67" s="183" t="e">
        <f t="shared" si="5"/>
        <v>#VALUE!</v>
      </c>
      <c r="Q67" s="233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78">
        <f>'Données projet'!A76</f>
        <v>164</v>
      </c>
      <c r="B68" s="179">
        <f>'Données projet'!D76</f>
        <v>59.58</v>
      </c>
      <c r="C68" s="189"/>
      <c r="D68" s="177">
        <f t="shared" si="4"/>
        <v>0</v>
      </c>
      <c r="E68" s="191"/>
      <c r="F68" s="230"/>
      <c r="G68" s="204"/>
      <c r="H68" s="188"/>
      <c r="I68" s="189"/>
      <c r="J68" s="187"/>
      <c r="K68" s="171"/>
      <c r="L68" s="4"/>
      <c r="M68" s="4"/>
      <c r="N68" s="4"/>
      <c r="O68" s="192" t="e">
        <f>IF(O67+1&lt;=MIN('Données projet'!$E$9:$E$18),O67+1,"STOP")</f>
        <v>#VALUE!</v>
      </c>
      <c r="P68" s="183" t="e">
        <f t="shared" si="5"/>
        <v>#VALUE!</v>
      </c>
      <c r="Q68" s="233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78">
        <f>'Données projet'!A77</f>
        <v>174</v>
      </c>
      <c r="B69" s="179">
        <f>'Données projet'!D77</f>
        <v>214.77</v>
      </c>
      <c r="C69" s="189"/>
      <c r="D69" s="177">
        <f t="shared" si="4"/>
        <v>0</v>
      </c>
      <c r="E69" s="191"/>
      <c r="F69" s="230"/>
      <c r="G69" s="204"/>
      <c r="H69" s="188"/>
      <c r="I69" s="189"/>
      <c r="J69" s="187"/>
      <c r="K69" s="171"/>
      <c r="L69" s="4"/>
      <c r="M69" s="4"/>
      <c r="N69" s="4"/>
      <c r="O69" s="192" t="e">
        <f>IF(O68+1&lt;=MIN('Données projet'!$E$9:$E$18),O68+1,"STOP")</f>
        <v>#VALUE!</v>
      </c>
      <c r="P69" s="183" t="e">
        <f t="shared" si="5"/>
        <v>#VALUE!</v>
      </c>
      <c r="Q69" s="233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78">
        <f>'Données projet'!A78</f>
        <v>177</v>
      </c>
      <c r="B70" s="179">
        <f>'Données projet'!D78</f>
        <v>115.19</v>
      </c>
      <c r="C70" s="189"/>
      <c r="D70" s="177">
        <f t="shared" si="4"/>
        <v>0</v>
      </c>
      <c r="E70" s="191"/>
      <c r="F70" s="230"/>
      <c r="G70" s="204"/>
      <c r="H70" s="188"/>
      <c r="I70" s="189"/>
      <c r="J70" s="187"/>
      <c r="K70" s="171"/>
      <c r="L70" s="4"/>
      <c r="M70" s="4"/>
      <c r="N70" s="4"/>
      <c r="O70" s="192" t="e">
        <f>IF(O69+1&lt;=MIN('Données projet'!$E$9:$E$18),O69+1,"STOP")</f>
        <v>#VALUE!</v>
      </c>
      <c r="P70" s="183" t="e">
        <f t="shared" si="5"/>
        <v>#VALUE!</v>
      </c>
      <c r="Q70" s="233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78">
        <f>'Données projet'!A79</f>
        <v>180</v>
      </c>
      <c r="B71" s="179">
        <f>'Données projet'!D79</f>
        <v>77.72</v>
      </c>
      <c r="C71" s="189"/>
      <c r="D71" s="177">
        <f t="shared" si="4"/>
        <v>0</v>
      </c>
      <c r="E71" s="191"/>
      <c r="F71" s="230"/>
      <c r="G71" s="204"/>
      <c r="H71" s="188"/>
      <c r="I71" s="189"/>
      <c r="J71" s="187"/>
      <c r="K71" s="171"/>
      <c r="L71" s="4"/>
      <c r="M71" s="4"/>
      <c r="N71" s="4"/>
      <c r="O71" s="192" t="e">
        <f>IF(O70+1&lt;=MIN('Données projet'!$E$9:$E$18),O70+1,"STOP")</f>
        <v>#VALUE!</v>
      </c>
      <c r="P71" s="183" t="e">
        <f t="shared" si="5"/>
        <v>#VALUE!</v>
      </c>
      <c r="Q71" s="233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78">
        <f>'Données projet'!A80</f>
        <v>183</v>
      </c>
      <c r="B72" s="179">
        <f>'Données projet'!D80</f>
        <v>169.76</v>
      </c>
      <c r="C72" s="189"/>
      <c r="D72" s="177">
        <f t="shared" si="4"/>
        <v>0</v>
      </c>
      <c r="E72" s="191"/>
      <c r="F72" s="230"/>
      <c r="G72" s="204"/>
      <c r="H72" s="188"/>
      <c r="I72" s="189"/>
      <c r="J72" s="4"/>
      <c r="K72" s="171"/>
      <c r="L72" s="4"/>
      <c r="M72" s="4"/>
      <c r="N72" s="4"/>
      <c r="O72" s="192" t="e">
        <f>IF(O71+1&lt;=MIN('Données projet'!$E$9:$E$18),O71+1,"STOP")</f>
        <v>#VALUE!</v>
      </c>
      <c r="P72" s="183" t="e">
        <f t="shared" si="5"/>
        <v>#VALUE!</v>
      </c>
      <c r="Q72" s="233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78">
        <f>'Données projet'!A81</f>
        <v>0</v>
      </c>
      <c r="B73" s="179">
        <f>'Données projet'!D81</f>
        <v>0</v>
      </c>
      <c r="C73" s="189"/>
      <c r="D73" s="177">
        <f t="shared" si="4"/>
        <v>0</v>
      </c>
      <c r="E73" s="191"/>
      <c r="F73" s="230"/>
      <c r="G73" s="204"/>
      <c r="H73" s="188"/>
      <c r="I73" s="189"/>
      <c r="J73" s="4"/>
      <c r="K73" s="171"/>
      <c r="L73" s="4"/>
      <c r="M73" s="4"/>
      <c r="N73" s="4"/>
      <c r="O73" s="192" t="e">
        <f>IF(O72+1&lt;=MIN('Données projet'!$E$9:$E$18),O72+1,"STOP")</f>
        <v>#VALUE!</v>
      </c>
      <c r="P73" s="183" t="e">
        <f t="shared" si="5"/>
        <v>#VALUE!</v>
      </c>
      <c r="Q73" s="233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28"/>
      <c r="G74" s="204"/>
      <c r="H74" s="188"/>
      <c r="I74" s="189"/>
      <c r="J74" s="4"/>
      <c r="K74" s="171"/>
      <c r="L74" s="4"/>
      <c r="M74" s="4"/>
      <c r="N74" s="4"/>
      <c r="O74" s="192" t="e">
        <f>IF(O73+1&lt;=MIN('Données projet'!$E$9:$E$18),O73+1,"STOP")</f>
        <v>#VALUE!</v>
      </c>
      <c r="P74" s="183" t="e">
        <f t="shared" si="5"/>
        <v>#VALUE!</v>
      </c>
      <c r="Q74" s="233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28"/>
      <c r="G75" s="204"/>
      <c r="H75" s="188"/>
      <c r="I75" s="189"/>
      <c r="J75" s="4"/>
      <c r="K75" s="171"/>
      <c r="L75" s="4"/>
      <c r="M75" s="4"/>
      <c r="N75" s="4"/>
      <c r="O75" s="192" t="e">
        <f>IF(O74+1&lt;=MIN('Données projet'!$E$9:$E$18),O74+1,"STOP")</f>
        <v>#VALUE!</v>
      </c>
      <c r="P75" s="183" t="e">
        <f t="shared" si="5"/>
        <v>#VALUE!</v>
      </c>
      <c r="Q75" s="233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167</v>
      </c>
      <c r="B76" s="172" t="str">
        <f>IF('Données projet'!B11="","",'Données projet'!B11)</f>
        <v/>
      </c>
      <c r="C76" s="4"/>
      <c r="D76" s="4"/>
      <c r="E76" s="4"/>
      <c r="F76" s="228"/>
      <c r="G76" s="204"/>
      <c r="H76" s="188"/>
      <c r="I76" s="189"/>
      <c r="J76" s="4"/>
      <c r="K76" s="171"/>
      <c r="L76" s="4"/>
      <c r="M76" s="4"/>
      <c r="N76" s="4"/>
      <c r="O76" s="192" t="e">
        <f>IF(O75+1&lt;=MIN('Données projet'!$E$9:$E$18),O75+1,"STOP")</f>
        <v>#VALUE!</v>
      </c>
      <c r="P76" s="183" t="e">
        <f t="shared" si="5"/>
        <v>#VALUE!</v>
      </c>
      <c r="Q76" s="233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28"/>
      <c r="G77" s="204"/>
      <c r="H77" s="188"/>
      <c r="I77" s="189"/>
      <c r="J77" s="4"/>
      <c r="K77" s="171"/>
      <c r="L77" s="4"/>
      <c r="M77" s="4"/>
      <c r="N77" s="4"/>
      <c r="O77" s="192" t="e">
        <f>IF(O76+1&lt;=MIN('Données projet'!$E$9:$E$18),O76+1,"STOP")</f>
        <v>#VALUE!</v>
      </c>
      <c r="P77" s="183" t="e">
        <f t="shared" si="5"/>
        <v>#VALUE!</v>
      </c>
      <c r="Q77" s="233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29"/>
      <c r="G78" s="204"/>
      <c r="H78" s="188"/>
      <c r="I78" s="189"/>
      <c r="J78" s="4"/>
      <c r="K78" s="171"/>
      <c r="L78" s="4"/>
      <c r="M78" s="4"/>
      <c r="N78" s="4"/>
      <c r="O78" s="192" t="e">
        <f>IF(O77+1&lt;=MIN('Données projet'!$E$9:$E$18),O77+1,"STOP")</f>
        <v>#VALUE!</v>
      </c>
      <c r="P78" s="183" t="e">
        <f t="shared" si="5"/>
        <v>#VALUE!</v>
      </c>
      <c r="Q78" s="233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7" t="s">
        <v>132</v>
      </c>
      <c r="C79" s="196" t="s">
        <v>132</v>
      </c>
      <c r="D79" s="195" t="s">
        <v>132</v>
      </c>
      <c r="E79" s="191"/>
      <c r="F79" s="229"/>
      <c r="G79" s="204"/>
      <c r="H79" s="188"/>
      <c r="I79" s="189"/>
      <c r="J79" s="4"/>
      <c r="K79" s="171"/>
      <c r="L79" s="4"/>
      <c r="M79" s="4"/>
      <c r="N79" s="4"/>
      <c r="O79" s="192" t="e">
        <f>IF(O78+1&lt;=MIN('Données projet'!$E$9:$E$18),O78+1,"STOP")</f>
        <v>#VALUE!</v>
      </c>
      <c r="P79" s="183" t="e">
        <f t="shared" si="5"/>
        <v>#VALUE!</v>
      </c>
      <c r="Q79" s="233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7" t="s">
        <v>132</v>
      </c>
      <c r="C80" s="196" t="s">
        <v>132</v>
      </c>
      <c r="D80" s="195" t="s">
        <v>132</v>
      </c>
      <c r="E80" s="191"/>
      <c r="F80" s="229"/>
      <c r="G80" s="23"/>
      <c r="H80" s="188"/>
      <c r="I80" s="189"/>
      <c r="J80" s="4"/>
      <c r="K80" s="171"/>
      <c r="L80" s="4"/>
      <c r="M80" s="4"/>
      <c r="N80" s="4"/>
      <c r="O80" s="192" t="e">
        <f>IF(O79+1&lt;=MIN('Données projet'!$E$9:$E$18),O79+1,"STOP")</f>
        <v>#VALUE!</v>
      </c>
      <c r="P80" s="183" t="e">
        <f t="shared" si="5"/>
        <v>#VALUE!</v>
      </c>
      <c r="Q80" s="233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7" t="s">
        <v>132</v>
      </c>
      <c r="C81" s="196" t="s">
        <v>132</v>
      </c>
      <c r="D81" s="195" t="s">
        <v>132</v>
      </c>
      <c r="E81" s="191"/>
      <c r="F81" s="229"/>
      <c r="G81" s="23"/>
      <c r="H81" s="188"/>
      <c r="I81" s="189"/>
      <c r="J81" s="4"/>
      <c r="K81" s="171"/>
      <c r="L81" s="4"/>
      <c r="M81" s="4"/>
      <c r="N81" s="4"/>
      <c r="O81" s="192" t="e">
        <f>IF(O80+1&lt;=MIN('Données projet'!$E$9:$E$18),O80+1,"STOP")</f>
        <v>#VALUE!</v>
      </c>
      <c r="P81" s="183" t="e">
        <f t="shared" si="5"/>
        <v>#VALUE!</v>
      </c>
      <c r="Q81" s="233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7" t="s">
        <v>132</v>
      </c>
      <c r="C82" s="196" t="s">
        <v>132</v>
      </c>
      <c r="D82" s="195" t="s">
        <v>132</v>
      </c>
      <c r="E82" s="191"/>
      <c r="F82" s="229"/>
      <c r="G82" s="23"/>
      <c r="H82" s="188"/>
      <c r="I82" s="189"/>
      <c r="J82" s="4"/>
      <c r="K82" s="171"/>
      <c r="L82" s="4"/>
      <c r="M82" s="4"/>
      <c r="N82" s="4"/>
      <c r="O82" s="192" t="e">
        <f>IF(O81+1&lt;=MIN('Données projet'!$E$9:$E$18),O81+1,"STOP")</f>
        <v>#VALUE!</v>
      </c>
      <c r="P82" s="183" t="e">
        <f t="shared" si="5"/>
        <v>#VALUE!</v>
      </c>
      <c r="Q82" s="233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7" t="s">
        <v>132</v>
      </c>
      <c r="C83" s="196" t="s">
        <v>132</v>
      </c>
      <c r="D83" s="195" t="s">
        <v>132</v>
      </c>
      <c r="E83" s="191"/>
      <c r="F83" s="229"/>
      <c r="G83" s="23"/>
      <c r="H83" s="188"/>
      <c r="I83" s="189"/>
      <c r="J83" s="4"/>
      <c r="K83" s="171"/>
      <c r="L83" s="4"/>
      <c r="M83" s="4"/>
      <c r="N83" s="4"/>
      <c r="O83" s="192" t="e">
        <f>IF(O82+1&lt;=MIN('Données projet'!$E$9:$E$18),O82+1,"STOP")</f>
        <v>#VALUE!</v>
      </c>
      <c r="P83" s="183" t="e">
        <f t="shared" si="5"/>
        <v>#VALUE!</v>
      </c>
      <c r="Q83" s="233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7" t="s">
        <v>132</v>
      </c>
      <c r="C84" s="196" t="s">
        <v>132</v>
      </c>
      <c r="D84" s="195" t="s">
        <v>132</v>
      </c>
      <c r="E84" s="191"/>
      <c r="F84" s="229"/>
      <c r="G84" s="203"/>
      <c r="H84" s="188"/>
      <c r="I84" s="189"/>
      <c r="J84" s="4"/>
      <c r="K84" s="171"/>
      <c r="L84" s="4"/>
      <c r="M84" s="4"/>
      <c r="N84" s="4"/>
      <c r="O84" s="192" t="e">
        <f>IF(O83+1&lt;=MIN('Données projet'!$E$9:$E$18),O83+1,"STOP")</f>
        <v>#VALUE!</v>
      </c>
      <c r="P84" s="183" t="e">
        <f t="shared" si="5"/>
        <v>#VALUE!</v>
      </c>
      <c r="Q84" s="233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78">
        <f>'Données projet'!A88</f>
        <v>0</v>
      </c>
      <c r="B85" s="179">
        <f>'Données projet'!D88</f>
        <v>0</v>
      </c>
      <c r="C85" s="189"/>
      <c r="D85" s="177">
        <f>B85*C85</f>
        <v>0</v>
      </c>
      <c r="E85" s="191"/>
      <c r="F85" s="230"/>
      <c r="G85" s="203"/>
      <c r="H85" s="188"/>
      <c r="I85" s="189"/>
      <c r="J85" s="4"/>
      <c r="K85" s="171"/>
      <c r="L85" s="4"/>
      <c r="M85" s="4"/>
      <c r="N85" s="4"/>
      <c r="O85" s="192" t="e">
        <f>IF(O84+1&lt;=MIN('Données projet'!$E$9:$E$18),O84+1,"STOP")</f>
        <v>#VALUE!</v>
      </c>
      <c r="P85" s="183" t="e">
        <f t="shared" si="5"/>
        <v>#VALUE!</v>
      </c>
      <c r="Q85" s="233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78">
        <f>'Données projet'!A89</f>
        <v>0</v>
      </c>
      <c r="B86" s="179">
        <f>'Données projet'!D89</f>
        <v>0</v>
      </c>
      <c r="C86" s="189"/>
      <c r="D86" s="177">
        <f t="shared" ref="D86:D104" si="6">B86*C86</f>
        <v>0</v>
      </c>
      <c r="E86" s="191"/>
      <c r="F86" s="230"/>
      <c r="G86" s="203"/>
      <c r="H86" s="188"/>
      <c r="I86" s="189"/>
      <c r="J86" s="4"/>
      <c r="K86" s="171"/>
      <c r="L86" s="4"/>
      <c r="M86" s="4"/>
      <c r="N86" s="4"/>
      <c r="O86" s="192" t="e">
        <f>IF(O85+1&lt;=MIN('Données projet'!$E$9:$E$18),O85+1,"STOP")</f>
        <v>#VALUE!</v>
      </c>
      <c r="P86" s="183" t="e">
        <f t="shared" si="5"/>
        <v>#VALUE!</v>
      </c>
      <c r="Q86" s="233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78">
        <f>'Données projet'!A90</f>
        <v>0</v>
      </c>
      <c r="B87" s="179">
        <f>'Données projet'!D90</f>
        <v>0</v>
      </c>
      <c r="C87" s="189"/>
      <c r="D87" s="177">
        <f t="shared" si="6"/>
        <v>0</v>
      </c>
      <c r="E87" s="191"/>
      <c r="F87" s="230"/>
      <c r="G87" s="203"/>
      <c r="H87" s="188"/>
      <c r="I87" s="189"/>
      <c r="J87" s="4"/>
      <c r="K87" s="171"/>
      <c r="L87" s="4"/>
      <c r="M87" s="4"/>
      <c r="N87" s="4"/>
      <c r="O87" s="192" t="e">
        <f>IF(O86+1&lt;=MIN('Données projet'!$E$9:$E$18),O86+1,"STOP")</f>
        <v>#VALUE!</v>
      </c>
      <c r="P87" s="183" t="e">
        <f t="shared" si="5"/>
        <v>#VALUE!</v>
      </c>
      <c r="Q87" s="233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78">
        <f>'Données projet'!A91</f>
        <v>0</v>
      </c>
      <c r="B88" s="179">
        <f>'Données projet'!D91</f>
        <v>0</v>
      </c>
      <c r="C88" s="189"/>
      <c r="D88" s="177">
        <f t="shared" si="6"/>
        <v>0</v>
      </c>
      <c r="E88" s="191"/>
      <c r="F88" s="230"/>
      <c r="G88" s="203"/>
      <c r="H88" s="188"/>
      <c r="I88" s="189"/>
      <c r="J88" s="4"/>
      <c r="K88" s="171"/>
      <c r="L88" s="4"/>
      <c r="M88" s="4"/>
      <c r="N88" s="4"/>
      <c r="O88" s="192" t="e">
        <f>IF(O87+1&lt;=MIN('Données projet'!$E$9:$E$18),O87+1,"STOP")</f>
        <v>#VALUE!</v>
      </c>
      <c r="P88" s="183" t="e">
        <f t="shared" si="5"/>
        <v>#VALUE!</v>
      </c>
      <c r="Q88" s="233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78">
        <f>'Données projet'!A92</f>
        <v>0</v>
      </c>
      <c r="B89" s="179">
        <f>'Données projet'!D92</f>
        <v>0</v>
      </c>
      <c r="C89" s="189"/>
      <c r="D89" s="177">
        <f t="shared" si="6"/>
        <v>0</v>
      </c>
      <c r="E89" s="191"/>
      <c r="F89" s="230"/>
      <c r="G89" s="203"/>
      <c r="H89" s="188"/>
      <c r="I89" s="189"/>
      <c r="J89" s="4"/>
      <c r="K89" s="171"/>
      <c r="L89" s="4"/>
      <c r="M89" s="4"/>
      <c r="N89" s="4"/>
      <c r="O89" s="192" t="e">
        <f>IF(O88+1&lt;=MIN('Données projet'!$E$9:$E$18),O88+1,"STOP")</f>
        <v>#VALUE!</v>
      </c>
      <c r="P89" s="183" t="e">
        <f t="shared" si="5"/>
        <v>#VALUE!</v>
      </c>
      <c r="Q89" s="233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78">
        <f>'Données projet'!A93</f>
        <v>0</v>
      </c>
      <c r="B90" s="179">
        <f>'Données projet'!D93</f>
        <v>0</v>
      </c>
      <c r="C90" s="189"/>
      <c r="D90" s="177">
        <f t="shared" si="6"/>
        <v>0</v>
      </c>
      <c r="E90" s="191"/>
      <c r="F90" s="230"/>
      <c r="G90" s="203"/>
      <c r="H90" s="188"/>
      <c r="I90" s="189"/>
      <c r="J90" s="4"/>
      <c r="K90" s="171"/>
      <c r="L90" s="4"/>
      <c r="M90" s="4"/>
      <c r="N90" s="4"/>
      <c r="O90" s="192" t="e">
        <f>IF(O89+1&lt;=MIN('Données projet'!$E$9:$E$18),O89+1,"STOP")</f>
        <v>#VALUE!</v>
      </c>
      <c r="P90" s="183" t="e">
        <f t="shared" si="5"/>
        <v>#VALUE!</v>
      </c>
      <c r="Q90" s="233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78">
        <f>'Données projet'!A94</f>
        <v>0</v>
      </c>
      <c r="B91" s="179">
        <f>'Données projet'!D94</f>
        <v>0</v>
      </c>
      <c r="C91" s="189"/>
      <c r="D91" s="177">
        <f t="shared" si="6"/>
        <v>0</v>
      </c>
      <c r="E91" s="191"/>
      <c r="F91" s="230"/>
      <c r="G91" s="204"/>
      <c r="H91" s="188"/>
      <c r="I91" s="189"/>
      <c r="J91" s="4"/>
      <c r="K91" s="171"/>
      <c r="L91" s="4"/>
      <c r="M91" s="4"/>
      <c r="N91" s="4"/>
      <c r="O91" s="192" t="e">
        <f>IF(O90+1&lt;=MIN('Données projet'!$E$9:$E$18),O90+1,"STOP")</f>
        <v>#VALUE!</v>
      </c>
      <c r="P91" s="183" t="e">
        <f t="shared" si="5"/>
        <v>#VALUE!</v>
      </c>
      <c r="Q91" s="233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78">
        <f>'Données projet'!A95</f>
        <v>0</v>
      </c>
      <c r="B92" s="179">
        <f>'Données projet'!D95</f>
        <v>0</v>
      </c>
      <c r="C92" s="189"/>
      <c r="D92" s="177">
        <f t="shared" si="6"/>
        <v>0</v>
      </c>
      <c r="E92" s="191"/>
      <c r="F92" s="230"/>
      <c r="G92" s="204"/>
      <c r="H92" s="188"/>
      <c r="I92" s="189"/>
      <c r="J92" s="4"/>
      <c r="K92" s="171"/>
      <c r="L92" s="4"/>
      <c r="M92" s="4"/>
      <c r="N92" s="4"/>
      <c r="O92" s="192" t="e">
        <f>IF(O91+1&lt;=MIN('Données projet'!$E$9:$E$18),O91+1,"STOP")</f>
        <v>#VALUE!</v>
      </c>
      <c r="P92" s="183" t="e">
        <f t="shared" si="5"/>
        <v>#VALUE!</v>
      </c>
      <c r="Q92" s="233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78">
        <f>'Données projet'!A96</f>
        <v>0</v>
      </c>
      <c r="B93" s="179">
        <f>'Données projet'!D96</f>
        <v>0</v>
      </c>
      <c r="C93" s="189"/>
      <c r="D93" s="177">
        <f t="shared" si="6"/>
        <v>0</v>
      </c>
      <c r="E93" s="191"/>
      <c r="F93" s="230"/>
      <c r="G93" s="204"/>
      <c r="H93" s="188"/>
      <c r="I93" s="189"/>
      <c r="J93" s="4"/>
      <c r="K93" s="171"/>
      <c r="L93" s="4"/>
      <c r="M93" s="4"/>
      <c r="N93" s="4"/>
      <c r="O93" s="192" t="e">
        <f>IF(O92+1&lt;=MIN('Données projet'!$E$9:$E$18),O92+1,"STOP")</f>
        <v>#VALUE!</v>
      </c>
      <c r="P93" s="183" t="e">
        <f t="shared" si="5"/>
        <v>#VALUE!</v>
      </c>
      <c r="Q93" s="233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78">
        <f>'Données projet'!A97</f>
        <v>0</v>
      </c>
      <c r="B94" s="179">
        <f>'Données projet'!D97</f>
        <v>0</v>
      </c>
      <c r="C94" s="189"/>
      <c r="D94" s="177">
        <f t="shared" si="6"/>
        <v>0</v>
      </c>
      <c r="E94" s="191"/>
      <c r="F94" s="230"/>
      <c r="G94" s="204"/>
      <c r="H94" s="188"/>
      <c r="I94" s="189"/>
      <c r="J94" s="4"/>
      <c r="K94" s="171"/>
      <c r="L94" s="4"/>
      <c r="M94" s="4"/>
      <c r="N94" s="4"/>
      <c r="O94" s="192" t="e">
        <f>IF(O93+1&lt;=MIN('Données projet'!$E$9:$E$18),O93+1,"STOP")</f>
        <v>#VALUE!</v>
      </c>
      <c r="P94" s="183" t="e">
        <f t="shared" si="5"/>
        <v>#VALUE!</v>
      </c>
      <c r="Q94" s="233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78">
        <f>'Données projet'!A98</f>
        <v>0</v>
      </c>
      <c r="B95" s="179">
        <f>'Données projet'!D98</f>
        <v>0</v>
      </c>
      <c r="C95" s="189"/>
      <c r="D95" s="177">
        <f t="shared" si="6"/>
        <v>0</v>
      </c>
      <c r="E95" s="191"/>
      <c r="F95" s="230"/>
      <c r="G95" s="204"/>
      <c r="H95" s="188"/>
      <c r="I95" s="189"/>
      <c r="J95" s="4"/>
      <c r="K95" s="171"/>
      <c r="L95" s="4"/>
      <c r="M95" s="4"/>
      <c r="N95" s="4"/>
      <c r="O95" s="192" t="e">
        <f>IF(O94+1&lt;=MIN('Données projet'!$E$9:$E$18),O94+1,"STOP")</f>
        <v>#VALUE!</v>
      </c>
      <c r="P95" s="183" t="e">
        <f t="shared" si="5"/>
        <v>#VALUE!</v>
      </c>
      <c r="Q95" s="233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78">
        <f>'Données projet'!A99</f>
        <v>0</v>
      </c>
      <c r="B96" s="179">
        <f>'Données projet'!D99</f>
        <v>0</v>
      </c>
      <c r="C96" s="189"/>
      <c r="D96" s="177">
        <f t="shared" si="6"/>
        <v>0</v>
      </c>
      <c r="E96" s="191"/>
      <c r="F96" s="230"/>
      <c r="G96" s="204"/>
      <c r="H96" s="188"/>
      <c r="I96" s="189"/>
      <c r="J96" s="4"/>
      <c r="K96" s="171"/>
      <c r="L96" s="4"/>
      <c r="M96" s="4"/>
      <c r="N96" s="4"/>
      <c r="O96" s="192" t="e">
        <f>IF(O95+1&lt;=MIN('Données projet'!$E$9:$E$18),O95+1,"STOP")</f>
        <v>#VALUE!</v>
      </c>
      <c r="P96" s="183" t="e">
        <f t="shared" si="5"/>
        <v>#VALUE!</v>
      </c>
      <c r="Q96" s="233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78">
        <f>'Données projet'!A100</f>
        <v>0</v>
      </c>
      <c r="B97" s="179">
        <f>'Données projet'!D100</f>
        <v>0</v>
      </c>
      <c r="C97" s="189"/>
      <c r="D97" s="177">
        <f t="shared" si="6"/>
        <v>0</v>
      </c>
      <c r="E97" s="191"/>
      <c r="F97" s="230"/>
      <c r="G97" s="204"/>
      <c r="H97" s="188"/>
      <c r="I97" s="189"/>
      <c r="J97" s="4"/>
      <c r="K97" s="171"/>
      <c r="L97" s="4"/>
      <c r="M97" s="4"/>
      <c r="N97" s="4"/>
      <c r="O97" s="192" t="e">
        <f>IF(O96+1&lt;=MIN('Données projet'!$E$9:$E$18),O96+1,"STOP")</f>
        <v>#VALUE!</v>
      </c>
      <c r="P97" s="183" t="e">
        <f t="shared" ref="P97:P128" si="7">$P$25/(1+$M$4)^O97</f>
        <v>#VALUE!</v>
      </c>
      <c r="Q97" s="233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78">
        <f>'Données projet'!A101</f>
        <v>0</v>
      </c>
      <c r="B98" s="179">
        <f>'Données projet'!D101</f>
        <v>0</v>
      </c>
      <c r="C98" s="189"/>
      <c r="D98" s="177">
        <f t="shared" si="6"/>
        <v>0</v>
      </c>
      <c r="E98" s="191"/>
      <c r="F98" s="230"/>
      <c r="G98" s="204"/>
      <c r="H98" s="188"/>
      <c r="I98" s="189"/>
      <c r="J98" s="4"/>
      <c r="K98" s="171"/>
      <c r="L98" s="4"/>
      <c r="M98" s="4"/>
      <c r="N98" s="4"/>
      <c r="O98" s="192" t="e">
        <f>IF(O97+1&lt;=MIN('Données projet'!$E$9:$E$18),O97+1,"STOP")</f>
        <v>#VALUE!</v>
      </c>
      <c r="P98" s="183" t="e">
        <f t="shared" si="7"/>
        <v>#VALUE!</v>
      </c>
      <c r="Q98" s="233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78">
        <f>'Données projet'!A102</f>
        <v>0</v>
      </c>
      <c r="B99" s="179">
        <f>'Données projet'!D102</f>
        <v>0</v>
      </c>
      <c r="C99" s="189"/>
      <c r="D99" s="177">
        <f t="shared" si="6"/>
        <v>0</v>
      </c>
      <c r="E99" s="191"/>
      <c r="F99" s="230"/>
      <c r="G99" s="204"/>
      <c r="H99" s="188"/>
      <c r="I99" s="189"/>
      <c r="J99" s="4"/>
      <c r="K99" s="171"/>
      <c r="L99" s="4"/>
      <c r="M99" s="4"/>
      <c r="N99" s="4"/>
      <c r="O99" s="192" t="e">
        <f>IF(O98+1&lt;=MIN('Données projet'!$E$9:$E$18),O98+1,"STOP")</f>
        <v>#VALUE!</v>
      </c>
      <c r="P99" s="183" t="e">
        <f t="shared" si="7"/>
        <v>#VALUE!</v>
      </c>
      <c r="Q99" s="233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78">
        <f>'Données projet'!A103</f>
        <v>0</v>
      </c>
      <c r="B100" s="179">
        <f>'Données projet'!D103</f>
        <v>0</v>
      </c>
      <c r="C100" s="189"/>
      <c r="D100" s="177">
        <f t="shared" si="6"/>
        <v>0</v>
      </c>
      <c r="E100" s="191"/>
      <c r="F100" s="230"/>
      <c r="G100" s="204"/>
      <c r="H100" s="188"/>
      <c r="I100" s="189"/>
      <c r="J100" s="4"/>
      <c r="K100" s="171"/>
      <c r="L100" s="4"/>
      <c r="M100" s="4"/>
      <c r="N100" s="4"/>
      <c r="O100" s="192" t="e">
        <f>IF(O99+1&lt;=MIN('Données projet'!$E$9:$E$18),O99+1,"STOP")</f>
        <v>#VALUE!</v>
      </c>
      <c r="P100" s="183" t="e">
        <f t="shared" si="7"/>
        <v>#VALUE!</v>
      </c>
      <c r="Q100" s="233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78">
        <f>'Données projet'!A104</f>
        <v>0</v>
      </c>
      <c r="B101" s="179">
        <f>'Données projet'!D104</f>
        <v>0</v>
      </c>
      <c r="C101" s="189"/>
      <c r="D101" s="177">
        <f t="shared" si="6"/>
        <v>0</v>
      </c>
      <c r="E101" s="191"/>
      <c r="F101" s="230"/>
      <c r="G101" s="204"/>
      <c r="H101" s="188"/>
      <c r="I101" s="189"/>
      <c r="J101" s="4"/>
      <c r="K101" s="171"/>
      <c r="L101" s="4"/>
      <c r="M101" s="4"/>
      <c r="N101" s="4"/>
      <c r="O101" s="192" t="e">
        <f>IF(O100+1&lt;=MIN('Données projet'!$E$9:$E$18),O100+1,"STOP")</f>
        <v>#VALUE!</v>
      </c>
      <c r="P101" s="183" t="e">
        <f t="shared" si="7"/>
        <v>#VALUE!</v>
      </c>
      <c r="Q101" s="233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78">
        <f>'Données projet'!A105</f>
        <v>0</v>
      </c>
      <c r="B102" s="179">
        <f>'Données projet'!D105</f>
        <v>0</v>
      </c>
      <c r="C102" s="189"/>
      <c r="D102" s="177">
        <f t="shared" si="6"/>
        <v>0</v>
      </c>
      <c r="E102" s="191"/>
      <c r="F102" s="230"/>
      <c r="G102" s="204"/>
      <c r="H102" s="188"/>
      <c r="I102" s="189"/>
      <c r="J102" s="4"/>
      <c r="K102" s="171"/>
      <c r="L102" s="4"/>
      <c r="M102" s="4"/>
      <c r="N102" s="4"/>
      <c r="O102" s="192" t="e">
        <f>IF(O101+1&lt;=MIN('Données projet'!$E$9:$E$18),O101+1,"STOP")</f>
        <v>#VALUE!</v>
      </c>
      <c r="P102" s="183" t="e">
        <f t="shared" si="7"/>
        <v>#VALUE!</v>
      </c>
      <c r="Q102" s="233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78">
        <f>'Données projet'!A106</f>
        <v>0</v>
      </c>
      <c r="B103" s="179">
        <f>'Données projet'!D106</f>
        <v>0</v>
      </c>
      <c r="C103" s="189"/>
      <c r="D103" s="177">
        <f t="shared" si="6"/>
        <v>0</v>
      </c>
      <c r="E103" s="191"/>
      <c r="F103" s="230"/>
      <c r="G103" s="204"/>
      <c r="H103" s="188"/>
      <c r="I103" s="189"/>
      <c r="J103" s="4"/>
      <c r="K103" s="171"/>
      <c r="L103" s="4"/>
      <c r="M103" s="4"/>
      <c r="N103" s="4"/>
      <c r="O103" s="192" t="e">
        <f>IF(O102+1&lt;=MIN('Données projet'!$E$9:$E$18),O102+1,"STOP")</f>
        <v>#VALUE!</v>
      </c>
      <c r="P103" s="183" t="e">
        <f t="shared" si="7"/>
        <v>#VALUE!</v>
      </c>
      <c r="Q103" s="233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78">
        <f>'Données projet'!A107</f>
        <v>0</v>
      </c>
      <c r="B104" s="179">
        <f>'Données projet'!D107</f>
        <v>0</v>
      </c>
      <c r="C104" s="189"/>
      <c r="D104" s="177">
        <f t="shared" si="6"/>
        <v>0</v>
      </c>
      <c r="E104" s="191"/>
      <c r="F104" s="230"/>
      <c r="G104" s="204"/>
      <c r="H104" s="188"/>
      <c r="I104" s="189"/>
      <c r="J104" s="4"/>
      <c r="K104" s="171"/>
      <c r="L104" s="4"/>
      <c r="M104" s="4"/>
      <c r="N104" s="4"/>
      <c r="O104" s="192" t="e">
        <f>IF(O103+1&lt;=MIN('Données projet'!$E$9:$E$18),O103+1,"STOP")</f>
        <v>#VALUE!</v>
      </c>
      <c r="P104" s="183" t="e">
        <f t="shared" si="7"/>
        <v>#VALUE!</v>
      </c>
      <c r="Q104" s="233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28"/>
      <c r="G105" s="204"/>
      <c r="H105" s="188"/>
      <c r="I105" s="189"/>
      <c r="J105" s="4"/>
      <c r="K105" s="171"/>
      <c r="L105" s="4"/>
      <c r="M105" s="4"/>
      <c r="N105" s="4"/>
      <c r="O105" s="192" t="e">
        <f>IF(O104+1&lt;=MIN('Données projet'!$E$9:$E$18),O104+1,"STOP")</f>
        <v>#VALUE!</v>
      </c>
      <c r="P105" s="183" t="e">
        <f t="shared" si="7"/>
        <v>#VALUE!</v>
      </c>
      <c r="Q105" s="233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28"/>
      <c r="G106" s="204"/>
      <c r="H106" s="188"/>
      <c r="I106" s="189"/>
      <c r="J106" s="4"/>
      <c r="K106" s="171"/>
      <c r="L106" s="4"/>
      <c r="M106" s="4"/>
      <c r="N106" s="4"/>
      <c r="O106" s="192" t="e">
        <f>IF(O105+1&lt;=MIN('Données projet'!$E$9:$E$18),O105+1,"STOP")</f>
        <v>#VALUE!</v>
      </c>
      <c r="P106" s="183" t="e">
        <f t="shared" si="7"/>
        <v>#VALUE!</v>
      </c>
      <c r="Q106" s="233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168</v>
      </c>
      <c r="B107" s="172" t="str">
        <f>IF('Données projet'!B12="","",'Données projet'!B12)</f>
        <v/>
      </c>
      <c r="C107" s="4"/>
      <c r="D107" s="4"/>
      <c r="E107" s="4"/>
      <c r="F107" s="228"/>
      <c r="G107" s="204"/>
      <c r="H107" s="188"/>
      <c r="I107" s="189"/>
      <c r="J107" s="4"/>
      <c r="K107" s="171"/>
      <c r="L107" s="4"/>
      <c r="M107" s="4"/>
      <c r="N107" s="4"/>
      <c r="O107" s="192" t="e">
        <f>IF(O106+1&lt;=MIN('Données projet'!$E$9:$E$18),O106+1,"STOP")</f>
        <v>#VALUE!</v>
      </c>
      <c r="P107" s="183" t="e">
        <f t="shared" si="7"/>
        <v>#VALUE!</v>
      </c>
      <c r="Q107" s="233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28"/>
      <c r="G108" s="204"/>
      <c r="H108" s="188"/>
      <c r="I108" s="189"/>
      <c r="J108" s="4"/>
      <c r="K108" s="171"/>
      <c r="L108" s="4"/>
      <c r="M108" s="4"/>
      <c r="N108" s="4"/>
      <c r="O108" s="192" t="e">
        <f>IF(O107+1&lt;=MIN('Données projet'!$E$9:$E$18),O107+1,"STOP")</f>
        <v>#VALUE!</v>
      </c>
      <c r="P108" s="183" t="e">
        <f t="shared" si="7"/>
        <v>#VALUE!</v>
      </c>
      <c r="Q108" s="233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29"/>
      <c r="G109" s="204"/>
      <c r="H109" s="188"/>
      <c r="I109" s="189"/>
      <c r="J109" s="4"/>
      <c r="K109" s="171"/>
      <c r="L109" s="4"/>
      <c r="M109" s="4"/>
      <c r="N109" s="4"/>
      <c r="O109" s="192" t="e">
        <f>IF(O108+1&lt;=MIN('Données projet'!$E$9:$E$18),O108+1,"STOP")</f>
        <v>#VALUE!</v>
      </c>
      <c r="P109" s="183" t="e">
        <f t="shared" si="7"/>
        <v>#VALUE!</v>
      </c>
      <c r="Q109" s="233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7" t="s">
        <v>132</v>
      </c>
      <c r="C110" s="196" t="s">
        <v>132</v>
      </c>
      <c r="D110" s="195" t="s">
        <v>132</v>
      </c>
      <c r="E110" s="191"/>
      <c r="F110" s="229"/>
      <c r="G110" s="204"/>
      <c r="H110" s="188"/>
      <c r="I110" s="189"/>
      <c r="J110" s="4"/>
      <c r="K110" s="171"/>
      <c r="L110" s="4"/>
      <c r="M110" s="4"/>
      <c r="N110" s="4"/>
      <c r="O110" s="192" t="e">
        <f>IF(O109+1&lt;=MIN('Données projet'!$E$9:$E$18),O109+1,"STOP")</f>
        <v>#VALUE!</v>
      </c>
      <c r="P110" s="183" t="e">
        <f t="shared" si="7"/>
        <v>#VALUE!</v>
      </c>
      <c r="Q110" s="233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7" t="s">
        <v>132</v>
      </c>
      <c r="C111" s="196" t="s">
        <v>132</v>
      </c>
      <c r="D111" s="195" t="s">
        <v>132</v>
      </c>
      <c r="E111" s="191"/>
      <c r="F111" s="229"/>
      <c r="G111" s="23"/>
      <c r="H111" s="188"/>
      <c r="I111" s="189"/>
      <c r="J111" s="4"/>
      <c r="K111" s="171"/>
      <c r="L111" s="4"/>
      <c r="M111" s="4"/>
      <c r="N111" s="4"/>
      <c r="O111" s="192" t="e">
        <f>IF(O110+1&lt;=MIN('Données projet'!$E$9:$E$18),O110+1,"STOP")</f>
        <v>#VALUE!</v>
      </c>
      <c r="P111" s="183" t="e">
        <f t="shared" si="7"/>
        <v>#VALUE!</v>
      </c>
      <c r="Q111" s="233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7" t="s">
        <v>132</v>
      </c>
      <c r="C112" s="196" t="s">
        <v>132</v>
      </c>
      <c r="D112" s="195" t="s">
        <v>132</v>
      </c>
      <c r="E112" s="191"/>
      <c r="F112" s="229"/>
      <c r="G112" s="23"/>
      <c r="H112" s="188"/>
      <c r="I112" s="189"/>
      <c r="J112" s="4"/>
      <c r="K112" s="171"/>
      <c r="L112" s="4"/>
      <c r="M112" s="4"/>
      <c r="N112" s="4"/>
      <c r="O112" s="192" t="e">
        <f>IF(O111+1&lt;=MIN('Données projet'!$E$9:$E$18),O111+1,"STOP")</f>
        <v>#VALUE!</v>
      </c>
      <c r="P112" s="183" t="e">
        <f t="shared" si="7"/>
        <v>#VALUE!</v>
      </c>
      <c r="Q112" s="233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7" t="s">
        <v>132</v>
      </c>
      <c r="C113" s="196" t="s">
        <v>132</v>
      </c>
      <c r="D113" s="195" t="s">
        <v>132</v>
      </c>
      <c r="E113" s="191"/>
      <c r="F113" s="229"/>
      <c r="G113" s="23"/>
      <c r="H113" s="188"/>
      <c r="I113" s="189"/>
      <c r="J113" s="4"/>
      <c r="K113" s="171"/>
      <c r="L113" s="4"/>
      <c r="M113" s="4"/>
      <c r="N113" s="4"/>
      <c r="O113" s="192" t="e">
        <f>IF(O112+1&lt;=MIN('Données projet'!$E$9:$E$18),O112+1,"STOP")</f>
        <v>#VALUE!</v>
      </c>
      <c r="P113" s="183" t="e">
        <f t="shared" si="7"/>
        <v>#VALUE!</v>
      </c>
      <c r="Q113" s="233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7" t="s">
        <v>132</v>
      </c>
      <c r="C114" s="196" t="s">
        <v>132</v>
      </c>
      <c r="D114" s="195" t="s">
        <v>132</v>
      </c>
      <c r="E114" s="191"/>
      <c r="F114" s="229"/>
      <c r="G114" s="23"/>
      <c r="H114" s="188"/>
      <c r="I114" s="189"/>
      <c r="J114" s="4"/>
      <c r="K114" s="171"/>
      <c r="L114" s="4"/>
      <c r="M114" s="4"/>
      <c r="N114" s="4"/>
      <c r="O114" s="192" t="e">
        <f>IF(O113+1&lt;=MIN('Données projet'!$E$9:$E$18),O113+1,"STOP")</f>
        <v>#VALUE!</v>
      </c>
      <c r="P114" s="183" t="e">
        <f t="shared" si="7"/>
        <v>#VALUE!</v>
      </c>
      <c r="Q114" s="233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7" t="s">
        <v>132</v>
      </c>
      <c r="C115" s="196" t="s">
        <v>132</v>
      </c>
      <c r="D115" s="195" t="s">
        <v>132</v>
      </c>
      <c r="E115" s="191"/>
      <c r="F115" s="229"/>
      <c r="G115" s="203"/>
      <c r="H115" s="188"/>
      <c r="I115" s="189"/>
      <c r="J115" s="4"/>
      <c r="K115" s="171"/>
      <c r="L115" s="4"/>
      <c r="M115" s="4"/>
      <c r="N115" s="4"/>
      <c r="O115" s="192" t="e">
        <f>IF(O114+1&lt;=MIN('Données projet'!$E$9:$E$18),O114+1,"STOP")</f>
        <v>#VALUE!</v>
      </c>
      <c r="P115" s="183" t="e">
        <f t="shared" si="7"/>
        <v>#VALUE!</v>
      </c>
      <c r="Q115" s="233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78">
        <f>'Données projet'!A114</f>
        <v>0</v>
      </c>
      <c r="B116" s="179">
        <f>'Données projet'!D114</f>
        <v>0</v>
      </c>
      <c r="C116" s="189"/>
      <c r="D116" s="177">
        <f>B116*C116</f>
        <v>0</v>
      </c>
      <c r="E116" s="191"/>
      <c r="F116" s="230"/>
      <c r="G116" s="203"/>
      <c r="H116" s="188"/>
      <c r="I116" s="189"/>
      <c r="J116" s="4"/>
      <c r="K116" s="171"/>
      <c r="L116" s="4"/>
      <c r="M116" s="4"/>
      <c r="N116" s="4"/>
      <c r="O116" s="192" t="e">
        <f>IF(O115+1&lt;=MIN('Données projet'!$E$9:$E$18),O115+1,"STOP")</f>
        <v>#VALUE!</v>
      </c>
      <c r="P116" s="183" t="e">
        <f t="shared" si="7"/>
        <v>#VALUE!</v>
      </c>
      <c r="Q116" s="233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78">
        <f>'Données projet'!A115</f>
        <v>0</v>
      </c>
      <c r="B117" s="179">
        <f>'Données projet'!D115</f>
        <v>0</v>
      </c>
      <c r="C117" s="189"/>
      <c r="D117" s="177">
        <f t="shared" ref="D117:D135" si="8">B117*C117</f>
        <v>0</v>
      </c>
      <c r="E117" s="191"/>
      <c r="F117" s="230"/>
      <c r="G117" s="203"/>
      <c r="H117" s="188"/>
      <c r="I117" s="189"/>
      <c r="J117" s="4"/>
      <c r="K117" s="171"/>
      <c r="L117" s="4"/>
      <c r="M117" s="4"/>
      <c r="N117" s="4"/>
      <c r="O117" s="192" t="e">
        <f>IF(O116+1&lt;=MIN('Données projet'!$E$9:$E$18),O116+1,"STOP")</f>
        <v>#VALUE!</v>
      </c>
      <c r="P117" s="183" t="e">
        <f t="shared" si="7"/>
        <v>#VALUE!</v>
      </c>
      <c r="Q117" s="233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78">
        <f>'Données projet'!A116</f>
        <v>0</v>
      </c>
      <c r="B118" s="179">
        <f>'Données projet'!D116</f>
        <v>0</v>
      </c>
      <c r="C118" s="189"/>
      <c r="D118" s="177">
        <f t="shared" si="8"/>
        <v>0</v>
      </c>
      <c r="E118" s="191"/>
      <c r="F118" s="230"/>
      <c r="G118" s="203"/>
      <c r="H118" s="188"/>
      <c r="I118" s="189"/>
      <c r="J118" s="4"/>
      <c r="K118" s="171"/>
      <c r="L118" s="4"/>
      <c r="M118" s="4"/>
      <c r="N118" s="4"/>
      <c r="O118" s="192" t="e">
        <f>IF(O117+1&lt;=MIN('Données projet'!$E$9:$E$18),O117+1,"STOP")</f>
        <v>#VALUE!</v>
      </c>
      <c r="P118" s="183" t="e">
        <f t="shared" si="7"/>
        <v>#VALUE!</v>
      </c>
      <c r="Q118" s="233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78">
        <f>'Données projet'!A117</f>
        <v>0</v>
      </c>
      <c r="B119" s="179">
        <f>'Données projet'!D117</f>
        <v>0</v>
      </c>
      <c r="C119" s="189"/>
      <c r="D119" s="177">
        <f t="shared" si="8"/>
        <v>0</v>
      </c>
      <c r="E119" s="191"/>
      <c r="F119" s="230"/>
      <c r="G119" s="203"/>
      <c r="H119" s="188"/>
      <c r="I119" s="189"/>
      <c r="J119" s="4"/>
      <c r="K119" s="171"/>
      <c r="L119" s="4"/>
      <c r="M119" s="4"/>
      <c r="N119" s="4"/>
      <c r="O119" s="192" t="e">
        <f>IF(O118+1&lt;=MIN('Données projet'!$E$9:$E$18),O118+1,"STOP")</f>
        <v>#VALUE!</v>
      </c>
      <c r="P119" s="183" t="e">
        <f t="shared" si="7"/>
        <v>#VALUE!</v>
      </c>
      <c r="Q119" s="233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78">
        <f>'Données projet'!A118</f>
        <v>0</v>
      </c>
      <c r="B120" s="179">
        <f>'Données projet'!D118</f>
        <v>0</v>
      </c>
      <c r="C120" s="189"/>
      <c r="D120" s="177">
        <f t="shared" si="8"/>
        <v>0</v>
      </c>
      <c r="E120" s="191"/>
      <c r="F120" s="230"/>
      <c r="G120" s="203"/>
      <c r="H120" s="188"/>
      <c r="I120" s="189"/>
      <c r="J120" s="4"/>
      <c r="K120" s="171"/>
      <c r="L120" s="4"/>
      <c r="M120" s="4"/>
      <c r="N120" s="4"/>
      <c r="O120" s="192" t="e">
        <f>IF(O119+1&lt;=MIN('Données projet'!$E$9:$E$18),O119+1,"STOP")</f>
        <v>#VALUE!</v>
      </c>
      <c r="P120" s="183" t="e">
        <f t="shared" si="7"/>
        <v>#VALUE!</v>
      </c>
      <c r="Q120" s="233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78">
        <f>'Données projet'!A119</f>
        <v>0</v>
      </c>
      <c r="B121" s="179">
        <f>'Données projet'!D119</f>
        <v>0</v>
      </c>
      <c r="C121" s="189"/>
      <c r="D121" s="177">
        <f t="shared" si="8"/>
        <v>0</v>
      </c>
      <c r="E121" s="191"/>
      <c r="F121" s="230"/>
      <c r="G121" s="203"/>
      <c r="H121" s="188"/>
      <c r="I121" s="189"/>
      <c r="J121" s="4"/>
      <c r="K121" s="171"/>
      <c r="L121" s="4"/>
      <c r="M121" s="4"/>
      <c r="N121" s="4"/>
      <c r="O121" s="192" t="e">
        <f>IF(O120+1&lt;=MIN('Données projet'!$E$9:$E$18),O120+1,"STOP")</f>
        <v>#VALUE!</v>
      </c>
      <c r="P121" s="183" t="e">
        <f t="shared" si="7"/>
        <v>#VALUE!</v>
      </c>
      <c r="Q121" s="233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78">
        <f>'Données projet'!A120</f>
        <v>0</v>
      </c>
      <c r="B122" s="179">
        <f>'Données projet'!D120</f>
        <v>0</v>
      </c>
      <c r="C122" s="189"/>
      <c r="D122" s="177">
        <f t="shared" si="8"/>
        <v>0</v>
      </c>
      <c r="E122" s="191"/>
      <c r="F122" s="230"/>
      <c r="G122" s="204"/>
      <c r="H122" s="188"/>
      <c r="I122" s="189"/>
      <c r="J122" s="4"/>
      <c r="K122" s="171"/>
      <c r="L122" s="4"/>
      <c r="M122" s="4"/>
      <c r="N122" s="4"/>
      <c r="O122" s="192" t="e">
        <f>IF(O121+1&lt;=MIN('Données projet'!$E$9:$E$18),O121+1,"STOP")</f>
        <v>#VALUE!</v>
      </c>
      <c r="P122" s="183" t="e">
        <f t="shared" si="7"/>
        <v>#VALUE!</v>
      </c>
      <c r="Q122" s="233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78">
        <f>'Données projet'!A121</f>
        <v>0</v>
      </c>
      <c r="B123" s="179">
        <f>'Données projet'!D121</f>
        <v>0</v>
      </c>
      <c r="C123" s="189"/>
      <c r="D123" s="177">
        <f t="shared" si="8"/>
        <v>0</v>
      </c>
      <c r="E123" s="191"/>
      <c r="F123" s="230"/>
      <c r="G123" s="204"/>
      <c r="H123" s="188"/>
      <c r="I123" s="189"/>
      <c r="J123" s="4"/>
      <c r="K123" s="171"/>
      <c r="L123" s="4"/>
      <c r="M123" s="4"/>
      <c r="N123" s="4"/>
      <c r="O123" s="192" t="e">
        <f>IF(O122+1&lt;=MIN('Données projet'!$E$9:$E$18),O122+1,"STOP")</f>
        <v>#VALUE!</v>
      </c>
      <c r="P123" s="183" t="e">
        <f t="shared" si="7"/>
        <v>#VALUE!</v>
      </c>
      <c r="Q123" s="233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78">
        <f>'Données projet'!A122</f>
        <v>0</v>
      </c>
      <c r="B124" s="179">
        <f>'Données projet'!D122</f>
        <v>0</v>
      </c>
      <c r="C124" s="189"/>
      <c r="D124" s="177">
        <f t="shared" si="8"/>
        <v>0</v>
      </c>
      <c r="E124" s="191"/>
      <c r="F124" s="230"/>
      <c r="G124" s="204"/>
      <c r="H124" s="188"/>
      <c r="I124" s="189"/>
      <c r="J124" s="4"/>
      <c r="K124" s="171"/>
      <c r="L124" s="4"/>
      <c r="M124" s="4"/>
      <c r="N124" s="4"/>
      <c r="O124" s="192" t="e">
        <f>IF(O123+1&lt;=MIN('Données projet'!$E$9:$E$18),O123+1,"STOP")</f>
        <v>#VALUE!</v>
      </c>
      <c r="P124" s="183" t="e">
        <f t="shared" si="7"/>
        <v>#VALUE!</v>
      </c>
      <c r="Q124" s="233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78">
        <f>'Données projet'!A123</f>
        <v>0</v>
      </c>
      <c r="B125" s="179">
        <f>'Données projet'!D123</f>
        <v>0</v>
      </c>
      <c r="C125" s="189"/>
      <c r="D125" s="177">
        <f t="shared" si="8"/>
        <v>0</v>
      </c>
      <c r="E125" s="191"/>
      <c r="F125" s="230"/>
      <c r="G125" s="204"/>
      <c r="H125" s="188"/>
      <c r="I125" s="189"/>
      <c r="J125" s="4"/>
      <c r="K125" s="171"/>
      <c r="L125" s="4"/>
      <c r="M125" s="4"/>
      <c r="N125" s="4"/>
      <c r="O125" s="192" t="e">
        <f>IF(O124+1&lt;=MIN('Données projet'!$E$9:$E$18),O124+1,"STOP")</f>
        <v>#VALUE!</v>
      </c>
      <c r="P125" s="183" t="e">
        <f t="shared" si="7"/>
        <v>#VALUE!</v>
      </c>
      <c r="Q125" s="233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78">
        <f>'Données projet'!A124</f>
        <v>0</v>
      </c>
      <c r="B126" s="179">
        <f>'Données projet'!D124</f>
        <v>0</v>
      </c>
      <c r="C126" s="189"/>
      <c r="D126" s="177">
        <f t="shared" si="8"/>
        <v>0</v>
      </c>
      <c r="E126" s="191"/>
      <c r="F126" s="230"/>
      <c r="G126" s="204"/>
      <c r="H126" s="188"/>
      <c r="I126" s="189"/>
      <c r="J126" s="4"/>
      <c r="K126" s="171"/>
      <c r="L126" s="4"/>
      <c r="M126" s="4"/>
      <c r="N126" s="4"/>
      <c r="O126" s="192" t="e">
        <f>IF(O125+1&lt;=MIN('Données projet'!$E$9:$E$18),O125+1,"STOP")</f>
        <v>#VALUE!</v>
      </c>
      <c r="P126" s="183" t="e">
        <f t="shared" si="7"/>
        <v>#VALUE!</v>
      </c>
      <c r="Q126" s="233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78">
        <f>'Données projet'!A125</f>
        <v>0</v>
      </c>
      <c r="B127" s="179">
        <f>'Données projet'!D125</f>
        <v>0</v>
      </c>
      <c r="C127" s="189"/>
      <c r="D127" s="177">
        <f t="shared" si="8"/>
        <v>0</v>
      </c>
      <c r="E127" s="191"/>
      <c r="F127" s="230"/>
      <c r="G127" s="204"/>
      <c r="H127" s="188"/>
      <c r="I127" s="189"/>
      <c r="J127" s="4"/>
      <c r="K127" s="171"/>
      <c r="L127" s="4"/>
      <c r="M127" s="4"/>
      <c r="N127" s="4"/>
      <c r="O127" s="192" t="e">
        <f>IF(O126+1&lt;=MIN('Données projet'!$E$9:$E$18),O126+1,"STOP")</f>
        <v>#VALUE!</v>
      </c>
      <c r="P127" s="183" t="e">
        <f t="shared" si="7"/>
        <v>#VALUE!</v>
      </c>
      <c r="Q127" s="233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78">
        <f>'Données projet'!A126</f>
        <v>0</v>
      </c>
      <c r="B128" s="179">
        <f>'Données projet'!D126</f>
        <v>0</v>
      </c>
      <c r="C128" s="189"/>
      <c r="D128" s="177">
        <f t="shared" si="8"/>
        <v>0</v>
      </c>
      <c r="E128" s="191"/>
      <c r="F128" s="230"/>
      <c r="G128" s="204"/>
      <c r="H128" s="188"/>
      <c r="I128" s="189"/>
      <c r="J128" s="4"/>
      <c r="K128" s="171"/>
      <c r="L128" s="4"/>
      <c r="M128" s="4"/>
      <c r="N128" s="4"/>
      <c r="O128" s="192" t="e">
        <f>IF(O127+1&lt;=MIN('Données projet'!$E$9:$E$18),O127+1,"STOP")</f>
        <v>#VALUE!</v>
      </c>
      <c r="P128" s="183" t="e">
        <f t="shared" si="7"/>
        <v>#VALUE!</v>
      </c>
      <c r="Q128" s="233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78">
        <f>'Données projet'!A127</f>
        <v>0</v>
      </c>
      <c r="B129" s="179">
        <f>'Données projet'!D127</f>
        <v>0</v>
      </c>
      <c r="C129" s="189"/>
      <c r="D129" s="177">
        <f t="shared" si="8"/>
        <v>0</v>
      </c>
      <c r="E129" s="191"/>
      <c r="F129" s="230"/>
      <c r="G129" s="204"/>
      <c r="H129" s="188"/>
      <c r="I129" s="189"/>
      <c r="J129" s="4"/>
      <c r="K129" s="171"/>
      <c r="L129" s="4"/>
      <c r="M129" s="4"/>
      <c r="N129" s="4"/>
      <c r="O129" s="192" t="e">
        <f>IF(O128+1&lt;=MIN('Données projet'!$E$9:$E$18),O128+1,"STOP")</f>
        <v>#VALUE!</v>
      </c>
      <c r="P129" s="183" t="e">
        <f t="shared" ref="P129:P132" si="9">$P$25/(1+$M$4)^O129</f>
        <v>#VALUE!</v>
      </c>
      <c r="Q129" s="233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78">
        <f>'Données projet'!A128</f>
        <v>0</v>
      </c>
      <c r="B130" s="179">
        <f>'Données projet'!D128</f>
        <v>0</v>
      </c>
      <c r="C130" s="189"/>
      <c r="D130" s="177">
        <f t="shared" si="8"/>
        <v>0</v>
      </c>
      <c r="E130" s="191"/>
      <c r="F130" s="230"/>
      <c r="G130" s="204"/>
      <c r="H130" s="188"/>
      <c r="I130" s="189"/>
      <c r="J130" s="4"/>
      <c r="K130" s="171"/>
      <c r="L130" s="4"/>
      <c r="M130" s="4"/>
      <c r="N130" s="4"/>
      <c r="O130" s="192" t="e">
        <f>IF(O129+1&lt;=MIN('Données projet'!$E$9:$E$18),O129+1,"STOP")</f>
        <v>#VALUE!</v>
      </c>
      <c r="P130" s="183" t="e">
        <f t="shared" si="9"/>
        <v>#VALUE!</v>
      </c>
      <c r="Q130" s="233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78">
        <f>'Données projet'!A129</f>
        <v>0</v>
      </c>
      <c r="B131" s="179">
        <f>'Données projet'!D129</f>
        <v>0</v>
      </c>
      <c r="C131" s="189"/>
      <c r="D131" s="177">
        <f t="shared" si="8"/>
        <v>0</v>
      </c>
      <c r="E131" s="191"/>
      <c r="F131" s="230"/>
      <c r="G131" s="204"/>
      <c r="H131" s="188"/>
      <c r="I131" s="189"/>
      <c r="J131" s="4"/>
      <c r="K131" s="171"/>
      <c r="L131" s="4"/>
      <c r="M131" s="4"/>
      <c r="N131" s="4"/>
      <c r="O131" s="192" t="e">
        <f>IF(O130+1&lt;=MIN('Données projet'!$E$9:$E$18),O130+1,"STOP")</f>
        <v>#VALUE!</v>
      </c>
      <c r="P131" s="183" t="e">
        <f t="shared" si="9"/>
        <v>#VALUE!</v>
      </c>
      <c r="Q131" s="233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78">
        <f>'Données projet'!A130</f>
        <v>0</v>
      </c>
      <c r="B132" s="179">
        <f>'Données projet'!D130</f>
        <v>0</v>
      </c>
      <c r="C132" s="189"/>
      <c r="D132" s="177">
        <f t="shared" si="8"/>
        <v>0</v>
      </c>
      <c r="E132" s="191"/>
      <c r="F132" s="230"/>
      <c r="G132" s="204"/>
      <c r="H132" s="188"/>
      <c r="I132" s="189"/>
      <c r="J132" s="4"/>
      <c r="K132" s="171"/>
      <c r="L132" s="4"/>
      <c r="M132" s="4"/>
      <c r="N132" s="4"/>
      <c r="O132" s="192" t="e">
        <f>IF(O131+1&lt;=MIN('Données projet'!$E$9:$E$18),O131+1,"STOP")</f>
        <v>#VALUE!</v>
      </c>
      <c r="P132" s="183" t="e">
        <f t="shared" si="9"/>
        <v>#VALUE!</v>
      </c>
      <c r="Q132" s="233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78">
        <f>'Données projet'!A131</f>
        <v>0</v>
      </c>
      <c r="B133" s="179">
        <f>'Données projet'!D131</f>
        <v>0</v>
      </c>
      <c r="C133" s="189"/>
      <c r="D133" s="177">
        <f t="shared" si="8"/>
        <v>0</v>
      </c>
      <c r="E133" s="191"/>
      <c r="F133" s="230"/>
      <c r="G133" s="204"/>
      <c r="H133" s="188"/>
      <c r="I133" s="189"/>
      <c r="J133" s="4"/>
      <c r="K133" s="171"/>
      <c r="Q133" s="233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78">
        <f>'Données projet'!A132</f>
        <v>0</v>
      </c>
      <c r="B134" s="179">
        <f>'Données projet'!D132</f>
        <v>0</v>
      </c>
      <c r="C134" s="189"/>
      <c r="D134" s="177">
        <f t="shared" si="8"/>
        <v>0</v>
      </c>
      <c r="E134" s="191"/>
      <c r="F134" s="230"/>
      <c r="G134" s="204"/>
      <c r="H134" s="188"/>
      <c r="I134" s="189"/>
      <c r="J134" s="4"/>
      <c r="K134" s="171"/>
      <c r="Q134" s="233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78">
        <f>'Données projet'!A133</f>
        <v>0</v>
      </c>
      <c r="B135" s="179">
        <f>'Données projet'!D133</f>
        <v>0</v>
      </c>
      <c r="C135" s="189"/>
      <c r="D135" s="177">
        <f t="shared" si="8"/>
        <v>0</v>
      </c>
      <c r="E135" s="191"/>
      <c r="F135" s="230"/>
      <c r="G135" s="204"/>
      <c r="H135" s="188"/>
      <c r="I135" s="189"/>
      <c r="J135" s="4"/>
      <c r="K135" s="171"/>
      <c r="Q135" s="233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28"/>
      <c r="G136" s="204"/>
      <c r="H136" s="188"/>
      <c r="I136" s="189"/>
      <c r="J136" s="4"/>
      <c r="K136" s="171"/>
      <c r="L136" s="4"/>
      <c r="M136" s="4"/>
      <c r="N136" s="4"/>
      <c r="Q136" s="233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28"/>
      <c r="G137" s="204"/>
      <c r="H137" s="188"/>
      <c r="I137" s="189"/>
      <c r="J137" s="4"/>
      <c r="K137" s="171"/>
      <c r="L137" s="4"/>
      <c r="M137" s="4"/>
      <c r="N137" s="4"/>
      <c r="Q137" s="233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169</v>
      </c>
      <c r="B138" s="172" t="str">
        <f>IF('Données projet'!B13="","",'Données projet'!B13)</f>
        <v/>
      </c>
      <c r="C138" s="4"/>
      <c r="D138" s="4"/>
      <c r="E138" s="4"/>
      <c r="F138" s="228"/>
      <c r="G138" s="204"/>
      <c r="H138" s="188"/>
      <c r="I138" s="189"/>
      <c r="J138" s="4"/>
      <c r="K138" s="171"/>
      <c r="L138" s="4"/>
      <c r="M138" s="4"/>
      <c r="N138" s="4"/>
      <c r="Q138" s="233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28"/>
      <c r="G139" s="204"/>
      <c r="H139" s="188"/>
      <c r="I139" s="189"/>
      <c r="J139" s="4"/>
      <c r="K139" s="171"/>
      <c r="L139" s="4"/>
      <c r="M139" s="4"/>
      <c r="N139" s="4"/>
      <c r="Q139" s="233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29"/>
      <c r="G140" s="204"/>
      <c r="H140" s="188"/>
      <c r="I140" s="189"/>
      <c r="J140" s="4"/>
      <c r="K140" s="171"/>
      <c r="L140" s="4"/>
      <c r="M140" s="4"/>
      <c r="N140" s="4"/>
      <c r="Q140" s="233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7" t="s">
        <v>132</v>
      </c>
      <c r="C141" s="196" t="s">
        <v>132</v>
      </c>
      <c r="D141" s="195" t="s">
        <v>132</v>
      </c>
      <c r="E141" s="191"/>
      <c r="F141" s="229"/>
      <c r="G141" s="204"/>
      <c r="H141" s="188"/>
      <c r="I141" s="189"/>
      <c r="J141" s="4"/>
      <c r="K141" s="171"/>
      <c r="L141" s="4"/>
      <c r="M141" s="4"/>
      <c r="N141" s="4"/>
      <c r="Q141" s="233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7" t="s">
        <v>132</v>
      </c>
      <c r="C142" s="196" t="s">
        <v>132</v>
      </c>
      <c r="D142" s="195" t="s">
        <v>132</v>
      </c>
      <c r="E142" s="191"/>
      <c r="F142" s="229"/>
      <c r="G142" s="23"/>
      <c r="H142" s="188"/>
      <c r="I142" s="189"/>
      <c r="J142" s="4"/>
      <c r="K142" s="171"/>
      <c r="L142" s="4"/>
      <c r="M142" s="4"/>
      <c r="N142" s="4"/>
      <c r="Q142" s="233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7" t="s">
        <v>132</v>
      </c>
      <c r="C143" s="196" t="s">
        <v>132</v>
      </c>
      <c r="D143" s="195" t="s">
        <v>132</v>
      </c>
      <c r="E143" s="191"/>
      <c r="F143" s="229"/>
      <c r="G143" s="23"/>
      <c r="H143" s="188"/>
      <c r="I143" s="189"/>
      <c r="J143" s="4"/>
      <c r="K143" s="171"/>
      <c r="L143" s="4"/>
      <c r="M143" s="4"/>
      <c r="N143" s="4"/>
      <c r="Q143" s="233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7" t="s">
        <v>132</v>
      </c>
      <c r="C144" s="196" t="s">
        <v>132</v>
      </c>
      <c r="D144" s="195" t="s">
        <v>132</v>
      </c>
      <c r="E144" s="191"/>
      <c r="F144" s="229"/>
      <c r="G144" s="23"/>
      <c r="H144" s="188"/>
      <c r="I144" s="189"/>
      <c r="J144" s="4"/>
      <c r="K144" s="171"/>
      <c r="L144" s="4"/>
      <c r="M144" s="4"/>
      <c r="N144" s="4"/>
      <c r="Q144" s="233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7" t="s">
        <v>132</v>
      </c>
      <c r="C145" s="196" t="s">
        <v>132</v>
      </c>
      <c r="D145" s="195" t="s">
        <v>132</v>
      </c>
      <c r="E145" s="191"/>
      <c r="F145" s="229"/>
      <c r="G145" s="23"/>
      <c r="H145" s="188"/>
      <c r="I145" s="189"/>
      <c r="J145" s="4"/>
      <c r="K145" s="171"/>
      <c r="L145" s="4"/>
      <c r="M145" s="4"/>
      <c r="N145" s="4"/>
      <c r="Q145" s="233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7" t="s">
        <v>132</v>
      </c>
      <c r="C146" s="196" t="s">
        <v>132</v>
      </c>
      <c r="D146" s="195" t="s">
        <v>132</v>
      </c>
      <c r="E146" s="191"/>
      <c r="F146" s="229"/>
      <c r="G146" s="203"/>
      <c r="H146" s="188"/>
      <c r="I146" s="189"/>
      <c r="J146" s="4"/>
      <c r="K146" s="171"/>
      <c r="L146" s="4"/>
      <c r="M146" s="4"/>
      <c r="N146" s="4"/>
      <c r="Q146" s="233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0</v>
      </c>
      <c r="B147" s="173">
        <f>'Données projet'!D140</f>
        <v>0</v>
      </c>
      <c r="C147" s="189"/>
      <c r="D147" s="180">
        <f>B147*C147</f>
        <v>0</v>
      </c>
      <c r="E147" s="191"/>
      <c r="F147" s="231"/>
      <c r="G147" s="203"/>
      <c r="H147" s="188"/>
      <c r="I147" s="189"/>
      <c r="J147" s="4"/>
      <c r="K147" s="171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0</v>
      </c>
      <c r="B148" s="173">
        <f>'Données projet'!D141</f>
        <v>0</v>
      </c>
      <c r="C148" s="189"/>
      <c r="D148" s="180">
        <f t="shared" ref="D148:D166" si="10">B148*C148</f>
        <v>0</v>
      </c>
      <c r="E148" s="191"/>
      <c r="F148" s="231"/>
      <c r="G148" s="203"/>
      <c r="H148" s="188"/>
      <c r="I148" s="189"/>
      <c r="J148" s="4"/>
      <c r="K148" s="171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0</v>
      </c>
      <c r="B149" s="173">
        <f>'Données projet'!D142</f>
        <v>0</v>
      </c>
      <c r="C149" s="189"/>
      <c r="D149" s="180">
        <f t="shared" si="10"/>
        <v>0</v>
      </c>
      <c r="E149" s="191"/>
      <c r="F149" s="231"/>
      <c r="G149" s="203"/>
      <c r="H149" s="188"/>
      <c r="I149" s="189"/>
      <c r="J149" s="4"/>
      <c r="K149" s="171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0</v>
      </c>
      <c r="B150" s="173">
        <f>'Données projet'!D143</f>
        <v>0</v>
      </c>
      <c r="C150" s="189"/>
      <c r="D150" s="180">
        <f t="shared" si="10"/>
        <v>0</v>
      </c>
      <c r="E150" s="191"/>
      <c r="F150" s="231"/>
      <c r="G150" s="203"/>
      <c r="H150" s="188"/>
      <c r="I150" s="189"/>
      <c r="J150" s="4"/>
      <c r="K150" s="171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0</v>
      </c>
      <c r="B151" s="173">
        <f>'Données projet'!D144</f>
        <v>0</v>
      </c>
      <c r="C151" s="189"/>
      <c r="D151" s="180">
        <f t="shared" si="10"/>
        <v>0</v>
      </c>
      <c r="E151" s="191"/>
      <c r="F151" s="231"/>
      <c r="G151" s="203"/>
      <c r="H151" s="188"/>
      <c r="I151" s="189"/>
      <c r="J151" s="4"/>
      <c r="K151" s="171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0</v>
      </c>
      <c r="B152" s="173">
        <f>'Données projet'!D145</f>
        <v>0</v>
      </c>
      <c r="C152" s="189"/>
      <c r="D152" s="180">
        <f t="shared" si="10"/>
        <v>0</v>
      </c>
      <c r="E152" s="191"/>
      <c r="F152" s="231"/>
      <c r="G152" s="203"/>
      <c r="H152" s="188"/>
      <c r="I152" s="189"/>
      <c r="J152" s="4"/>
      <c r="K152" s="171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0</v>
      </c>
      <c r="B153" s="173">
        <f>'Données projet'!D146</f>
        <v>0</v>
      </c>
      <c r="C153" s="189"/>
      <c r="D153" s="180">
        <f t="shared" si="10"/>
        <v>0</v>
      </c>
      <c r="E153" s="191"/>
      <c r="F153" s="231"/>
      <c r="G153" s="201"/>
      <c r="H153" s="188"/>
      <c r="I153" s="189"/>
      <c r="J153" s="4"/>
      <c r="K153" s="171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0</v>
      </c>
      <c r="B154" s="173">
        <f>'Données projet'!D147</f>
        <v>0</v>
      </c>
      <c r="C154" s="189"/>
      <c r="D154" s="180">
        <f t="shared" si="10"/>
        <v>0</v>
      </c>
      <c r="E154" s="191"/>
      <c r="F154" s="231"/>
      <c r="G154" s="201"/>
      <c r="H154" s="188"/>
      <c r="I154" s="189"/>
      <c r="J154" s="4"/>
      <c r="K154" s="171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0</v>
      </c>
      <c r="B155" s="173">
        <f>'Données projet'!D148</f>
        <v>0</v>
      </c>
      <c r="C155" s="189"/>
      <c r="D155" s="180">
        <f t="shared" si="10"/>
        <v>0</v>
      </c>
      <c r="E155" s="191"/>
      <c r="F155" s="231"/>
      <c r="G155" s="201"/>
      <c r="H155" s="188"/>
      <c r="I155" s="189"/>
      <c r="J155" s="4"/>
      <c r="K155" s="171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0</v>
      </c>
      <c r="B156" s="173">
        <f>'Données projet'!D149</f>
        <v>0</v>
      </c>
      <c r="C156" s="189"/>
      <c r="D156" s="180">
        <f t="shared" si="10"/>
        <v>0</v>
      </c>
      <c r="E156" s="191"/>
      <c r="F156" s="231"/>
      <c r="G156" s="201"/>
      <c r="H156" s="188"/>
      <c r="I156" s="189"/>
      <c r="J156" s="4"/>
      <c r="K156" s="171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0</v>
      </c>
      <c r="B157" s="173">
        <f>'Données projet'!D150</f>
        <v>0</v>
      </c>
      <c r="C157" s="189"/>
      <c r="D157" s="180">
        <f t="shared" si="10"/>
        <v>0</v>
      </c>
      <c r="E157" s="191"/>
      <c r="F157" s="231"/>
      <c r="G157" s="201"/>
      <c r="H157" s="188"/>
      <c r="I157" s="189"/>
      <c r="J157" s="4"/>
      <c r="K157" s="171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0</v>
      </c>
      <c r="B158" s="173">
        <f>'Données projet'!D151</f>
        <v>0</v>
      </c>
      <c r="C158" s="189"/>
      <c r="D158" s="180">
        <f t="shared" si="10"/>
        <v>0</v>
      </c>
      <c r="E158" s="191"/>
      <c r="F158" s="231"/>
      <c r="G158" s="201"/>
      <c r="H158" s="188"/>
      <c r="I158" s="189"/>
      <c r="J158" s="4"/>
      <c r="K158" s="171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0</v>
      </c>
      <c r="B159" s="173">
        <f>'Données projet'!D152</f>
        <v>0</v>
      </c>
      <c r="C159" s="189"/>
      <c r="D159" s="180">
        <f t="shared" si="10"/>
        <v>0</v>
      </c>
      <c r="E159" s="191"/>
      <c r="F159" s="231"/>
      <c r="G159" s="201"/>
      <c r="H159" s="188"/>
      <c r="I159" s="189"/>
      <c r="J159" s="4"/>
      <c r="K159" s="171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0</v>
      </c>
      <c r="B160" s="173">
        <f>'Données projet'!D153</f>
        <v>0</v>
      </c>
      <c r="C160" s="189"/>
      <c r="D160" s="180">
        <f t="shared" si="10"/>
        <v>0</v>
      </c>
      <c r="E160" s="191"/>
      <c r="F160" s="231"/>
      <c r="G160" s="201"/>
      <c r="H160" s="188"/>
      <c r="I160" s="189"/>
      <c r="J160" s="4"/>
      <c r="K160" s="171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0</v>
      </c>
      <c r="B161" s="173">
        <f>'Données projet'!D154</f>
        <v>0</v>
      </c>
      <c r="C161" s="189"/>
      <c r="D161" s="180">
        <f t="shared" si="10"/>
        <v>0</v>
      </c>
      <c r="E161" s="191"/>
      <c r="F161" s="231"/>
      <c r="G161" s="201"/>
      <c r="H161" s="188"/>
      <c r="I161" s="189"/>
      <c r="J161" s="4"/>
      <c r="K161" s="171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0</v>
      </c>
      <c r="B162" s="173">
        <f>'Données projet'!D155</f>
        <v>0</v>
      </c>
      <c r="C162" s="189"/>
      <c r="D162" s="180">
        <f t="shared" si="10"/>
        <v>0</v>
      </c>
      <c r="E162" s="191"/>
      <c r="F162" s="231"/>
      <c r="G162" s="201"/>
      <c r="H162" s="188"/>
      <c r="I162" s="189"/>
      <c r="J162" s="4"/>
      <c r="K162" s="171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0</v>
      </c>
      <c r="B163" s="173">
        <f>'Données projet'!D156</f>
        <v>0</v>
      </c>
      <c r="C163" s="189"/>
      <c r="D163" s="180">
        <f t="shared" si="10"/>
        <v>0</v>
      </c>
      <c r="E163" s="191"/>
      <c r="F163" s="231"/>
      <c r="G163" s="201"/>
      <c r="H163" s="188"/>
      <c r="I163" s="189"/>
      <c r="J163" s="4"/>
      <c r="K163" s="171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0</v>
      </c>
      <c r="B164" s="173">
        <f>'Données projet'!D157</f>
        <v>0</v>
      </c>
      <c r="C164" s="189"/>
      <c r="D164" s="180">
        <f t="shared" si="10"/>
        <v>0</v>
      </c>
      <c r="E164" s="191"/>
      <c r="F164" s="231"/>
      <c r="G164" s="201"/>
      <c r="H164" s="188"/>
      <c r="I164" s="189"/>
      <c r="J164" s="4"/>
      <c r="K164" s="171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0</v>
      </c>
      <c r="B165" s="173">
        <f>'Données projet'!D158</f>
        <v>0</v>
      </c>
      <c r="C165" s="189"/>
      <c r="D165" s="180">
        <f t="shared" si="10"/>
        <v>0</v>
      </c>
      <c r="E165" s="191"/>
      <c r="F165" s="231"/>
      <c r="G165" s="201"/>
      <c r="H165" s="188"/>
      <c r="I165" s="189"/>
      <c r="J165" s="4"/>
      <c r="K165" s="171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0</v>
      </c>
      <c r="B166" s="173">
        <f>'Données projet'!D159</f>
        <v>0</v>
      </c>
      <c r="C166" s="189"/>
      <c r="D166" s="180">
        <f t="shared" si="10"/>
        <v>0</v>
      </c>
      <c r="E166" s="191"/>
      <c r="F166" s="231"/>
      <c r="G166" s="201"/>
      <c r="H166" s="188"/>
      <c r="I166" s="189"/>
      <c r="J166" s="4"/>
      <c r="K166" s="171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28"/>
      <c r="G167" s="201"/>
      <c r="H167" s="188"/>
      <c r="I167" s="189"/>
      <c r="J167" s="4"/>
      <c r="K167" s="171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28"/>
      <c r="G168" s="201"/>
      <c r="H168" s="188"/>
      <c r="I168" s="189"/>
      <c r="J168" s="4"/>
      <c r="K168" s="171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170</v>
      </c>
      <c r="B169" s="172" t="str">
        <f>IF('Données projet'!B14="","",'Données projet'!B14)</f>
        <v/>
      </c>
      <c r="C169" s="4"/>
      <c r="D169" s="4"/>
      <c r="E169" s="4"/>
      <c r="F169" s="228"/>
      <c r="G169" s="201"/>
      <c r="H169" s="188"/>
      <c r="I169" s="189"/>
      <c r="J169" s="4"/>
      <c r="K169" s="171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28"/>
      <c r="G170" s="201"/>
      <c r="H170" s="188"/>
      <c r="I170" s="189"/>
      <c r="J170" s="4"/>
      <c r="K170" s="171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29"/>
      <c r="G171" s="201"/>
      <c r="H171" s="188"/>
      <c r="I171" s="189"/>
      <c r="J171" s="4"/>
      <c r="K171" s="171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7" t="s">
        <v>132</v>
      </c>
      <c r="C172" s="196" t="s">
        <v>132</v>
      </c>
      <c r="D172" s="195" t="s">
        <v>132</v>
      </c>
      <c r="E172" s="191"/>
      <c r="F172" s="229"/>
      <c r="G172" s="201"/>
      <c r="H172" s="188"/>
      <c r="I172" s="189"/>
      <c r="J172" s="4"/>
      <c r="K172" s="171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7" t="s">
        <v>132</v>
      </c>
      <c r="C173" s="196" t="s">
        <v>132</v>
      </c>
      <c r="D173" s="195" t="s">
        <v>132</v>
      </c>
      <c r="E173" s="191"/>
      <c r="F173" s="229"/>
      <c r="G173" s="23"/>
      <c r="H173" s="188"/>
      <c r="I173" s="189"/>
      <c r="J173" s="4"/>
      <c r="K173" s="171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7" t="s">
        <v>132</v>
      </c>
      <c r="C174" s="196" t="s">
        <v>132</v>
      </c>
      <c r="D174" s="195" t="s">
        <v>132</v>
      </c>
      <c r="E174" s="191"/>
      <c r="F174" s="229"/>
      <c r="G174" s="23"/>
      <c r="H174" s="188"/>
      <c r="I174" s="189"/>
      <c r="J174" s="4"/>
      <c r="K174" s="171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7" t="s">
        <v>132</v>
      </c>
      <c r="C175" s="196" t="s">
        <v>132</v>
      </c>
      <c r="D175" s="195" t="s">
        <v>132</v>
      </c>
      <c r="E175" s="191"/>
      <c r="F175" s="229"/>
      <c r="G175" s="23"/>
      <c r="H175" s="188"/>
      <c r="I175" s="189"/>
      <c r="J175" s="4"/>
      <c r="K175" s="171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7" t="s">
        <v>132</v>
      </c>
      <c r="C176" s="196" t="s">
        <v>132</v>
      </c>
      <c r="D176" s="195" t="s">
        <v>132</v>
      </c>
      <c r="E176" s="191"/>
      <c r="F176" s="229"/>
      <c r="G176" s="23"/>
      <c r="H176" s="188"/>
      <c r="I176" s="189"/>
      <c r="J176" s="4"/>
      <c r="K176" s="171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7" t="s">
        <v>132</v>
      </c>
      <c r="C177" s="196" t="s">
        <v>132</v>
      </c>
      <c r="D177" s="195" t="s">
        <v>132</v>
      </c>
      <c r="E177" s="191"/>
      <c r="F177" s="229"/>
      <c r="G177" s="203"/>
      <c r="H177" s="188"/>
      <c r="I177" s="189"/>
      <c r="J177" s="4"/>
      <c r="K177" s="171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78">
        <f>'Données projet'!A166</f>
        <v>0</v>
      </c>
      <c r="B178" s="179">
        <f>'Données projet'!D166</f>
        <v>0</v>
      </c>
      <c r="C178" s="191"/>
      <c r="D178" s="177">
        <f>B178*C178</f>
        <v>0</v>
      </c>
      <c r="E178" s="191"/>
      <c r="F178" s="230"/>
      <c r="G178" s="203"/>
      <c r="H178" s="188"/>
      <c r="I178" s="189"/>
      <c r="J178" s="4"/>
      <c r="K178" s="171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78">
        <f>'Données projet'!A167</f>
        <v>0</v>
      </c>
      <c r="B179" s="179">
        <f>'Données projet'!D167</f>
        <v>0</v>
      </c>
      <c r="C179" s="191"/>
      <c r="D179" s="177">
        <f t="shared" ref="D179:D197" si="11">B179*C179</f>
        <v>0</v>
      </c>
      <c r="E179" s="191"/>
      <c r="F179" s="230"/>
      <c r="G179" s="203"/>
      <c r="H179" s="188"/>
      <c r="I179" s="189"/>
      <c r="J179" s="4"/>
      <c r="K179" s="171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78">
        <f>'Données projet'!A168</f>
        <v>0</v>
      </c>
      <c r="B180" s="179">
        <f>'Données projet'!D168</f>
        <v>0</v>
      </c>
      <c r="C180" s="191"/>
      <c r="D180" s="177">
        <f t="shared" si="11"/>
        <v>0</v>
      </c>
      <c r="E180" s="191"/>
      <c r="F180" s="230"/>
      <c r="G180" s="203"/>
      <c r="H180" s="188"/>
      <c r="I180" s="189"/>
      <c r="J180" s="4"/>
      <c r="K180" s="171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78">
        <f>'Données projet'!A169</f>
        <v>0</v>
      </c>
      <c r="B181" s="179">
        <f>'Données projet'!D169</f>
        <v>0</v>
      </c>
      <c r="C181" s="191"/>
      <c r="D181" s="177">
        <f t="shared" si="11"/>
        <v>0</v>
      </c>
      <c r="E181" s="191"/>
      <c r="F181" s="230"/>
      <c r="G181" s="203"/>
      <c r="H181" s="188"/>
      <c r="I181" s="189"/>
      <c r="J181" s="4"/>
      <c r="K181" s="171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78">
        <f>'Données projet'!A170</f>
        <v>0</v>
      </c>
      <c r="B182" s="179">
        <f>'Données projet'!D170</f>
        <v>0</v>
      </c>
      <c r="C182" s="191"/>
      <c r="D182" s="177">
        <f t="shared" si="11"/>
        <v>0</v>
      </c>
      <c r="E182" s="191"/>
      <c r="F182" s="230"/>
      <c r="G182" s="203"/>
      <c r="H182" s="188"/>
      <c r="I182" s="189"/>
      <c r="J182" s="4"/>
      <c r="K182" s="171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78">
        <f>'Données projet'!A171</f>
        <v>0</v>
      </c>
      <c r="B183" s="179">
        <f>'Données projet'!D171</f>
        <v>0</v>
      </c>
      <c r="C183" s="191"/>
      <c r="D183" s="177">
        <f t="shared" si="11"/>
        <v>0</v>
      </c>
      <c r="E183" s="191"/>
      <c r="F183" s="230"/>
      <c r="G183" s="203"/>
      <c r="H183" s="188"/>
      <c r="I183" s="189"/>
      <c r="J183" s="4"/>
      <c r="K183" s="171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78">
        <f>'Données projet'!A172</f>
        <v>0</v>
      </c>
      <c r="B184" s="179">
        <f>'Données projet'!D172</f>
        <v>0</v>
      </c>
      <c r="C184" s="191"/>
      <c r="D184" s="177">
        <f t="shared" si="11"/>
        <v>0</v>
      </c>
      <c r="E184" s="191"/>
      <c r="F184" s="230"/>
      <c r="G184" s="204"/>
      <c r="H184" s="188"/>
      <c r="I184" s="189"/>
      <c r="J184" s="4"/>
      <c r="K184" s="171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78">
        <f>'Données projet'!A173</f>
        <v>0</v>
      </c>
      <c r="B185" s="179">
        <f>'Données projet'!D173</f>
        <v>0</v>
      </c>
      <c r="C185" s="191"/>
      <c r="D185" s="177">
        <f t="shared" si="11"/>
        <v>0</v>
      </c>
      <c r="E185" s="191"/>
      <c r="F185" s="230"/>
      <c r="G185" s="204"/>
      <c r="H185" s="188"/>
      <c r="I185" s="189"/>
      <c r="J185" s="4"/>
      <c r="K185" s="171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78">
        <f>'Données projet'!A174</f>
        <v>0</v>
      </c>
      <c r="B186" s="179">
        <f>'Données projet'!D174</f>
        <v>0</v>
      </c>
      <c r="C186" s="191"/>
      <c r="D186" s="177">
        <f t="shared" si="11"/>
        <v>0</v>
      </c>
      <c r="E186" s="191"/>
      <c r="F186" s="230"/>
      <c r="G186" s="204"/>
      <c r="H186" s="188"/>
      <c r="I186" s="189"/>
      <c r="J186" s="4"/>
      <c r="K186" s="171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78">
        <f>'Données projet'!A175</f>
        <v>0</v>
      </c>
      <c r="B187" s="179">
        <f>'Données projet'!D175</f>
        <v>0</v>
      </c>
      <c r="C187" s="191"/>
      <c r="D187" s="177">
        <f t="shared" si="11"/>
        <v>0</v>
      </c>
      <c r="E187" s="191"/>
      <c r="F187" s="230"/>
      <c r="G187" s="204"/>
      <c r="H187" s="188"/>
      <c r="I187" s="189"/>
      <c r="J187" s="4"/>
      <c r="K187" s="171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78">
        <f>'Données projet'!A176</f>
        <v>0</v>
      </c>
      <c r="B188" s="179">
        <f>'Données projet'!D176</f>
        <v>0</v>
      </c>
      <c r="C188" s="191"/>
      <c r="D188" s="177">
        <f t="shared" si="11"/>
        <v>0</v>
      </c>
      <c r="E188" s="191"/>
      <c r="F188" s="230"/>
      <c r="G188" s="204"/>
      <c r="H188" s="188"/>
      <c r="I188" s="189"/>
      <c r="J188" s="4"/>
      <c r="K188" s="171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78">
        <f>'Données projet'!A177</f>
        <v>0</v>
      </c>
      <c r="B189" s="179">
        <f>'Données projet'!D177</f>
        <v>0</v>
      </c>
      <c r="C189" s="191"/>
      <c r="D189" s="177">
        <f t="shared" si="11"/>
        <v>0</v>
      </c>
      <c r="E189" s="191"/>
      <c r="F189" s="230"/>
      <c r="G189" s="204"/>
      <c r="H189" s="188"/>
      <c r="I189" s="189"/>
      <c r="J189" s="4"/>
      <c r="K189" s="171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78">
        <f>'Données projet'!A178</f>
        <v>0</v>
      </c>
      <c r="B190" s="179">
        <f>'Données projet'!D178</f>
        <v>0</v>
      </c>
      <c r="C190" s="191"/>
      <c r="D190" s="177">
        <f t="shared" si="11"/>
        <v>0</v>
      </c>
      <c r="E190" s="191"/>
      <c r="F190" s="230"/>
      <c r="G190" s="204"/>
      <c r="H190" s="188"/>
      <c r="I190" s="189"/>
      <c r="J190" s="4"/>
      <c r="K190" s="171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78">
        <f>'Données projet'!A179</f>
        <v>0</v>
      </c>
      <c r="B191" s="179">
        <f>'Données projet'!D179</f>
        <v>0</v>
      </c>
      <c r="C191" s="191"/>
      <c r="D191" s="177">
        <f t="shared" si="11"/>
        <v>0</v>
      </c>
      <c r="E191" s="191"/>
      <c r="F191" s="230"/>
      <c r="G191" s="204"/>
      <c r="H191" s="188"/>
      <c r="I191" s="189"/>
      <c r="J191" s="4"/>
      <c r="K191" s="171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78">
        <f>'Données projet'!A180</f>
        <v>0</v>
      </c>
      <c r="B192" s="179">
        <f>'Données projet'!D180</f>
        <v>0</v>
      </c>
      <c r="C192" s="191"/>
      <c r="D192" s="177">
        <f t="shared" si="11"/>
        <v>0</v>
      </c>
      <c r="E192" s="191"/>
      <c r="F192" s="230"/>
      <c r="G192" s="204"/>
      <c r="H192" s="188"/>
      <c r="I192" s="189"/>
      <c r="J192" s="4"/>
      <c r="K192" s="171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78">
        <f>'Données projet'!A181</f>
        <v>0</v>
      </c>
      <c r="B193" s="179">
        <f>'Données projet'!D181</f>
        <v>0</v>
      </c>
      <c r="C193" s="191"/>
      <c r="D193" s="177">
        <f t="shared" si="11"/>
        <v>0</v>
      </c>
      <c r="E193" s="191"/>
      <c r="F193" s="230"/>
      <c r="G193" s="204"/>
      <c r="H193" s="188"/>
      <c r="I193" s="189"/>
      <c r="J193" s="4"/>
      <c r="K193" s="171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78">
        <f>'Données projet'!A182</f>
        <v>0</v>
      </c>
      <c r="B194" s="179">
        <f>'Données projet'!D182</f>
        <v>0</v>
      </c>
      <c r="C194" s="191"/>
      <c r="D194" s="177">
        <f t="shared" si="11"/>
        <v>0</v>
      </c>
      <c r="E194" s="191"/>
      <c r="F194" s="230"/>
      <c r="G194" s="204"/>
      <c r="H194" s="188"/>
      <c r="I194" s="189"/>
      <c r="J194" s="4"/>
      <c r="K194" s="171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78">
        <f>'Données projet'!A183</f>
        <v>0</v>
      </c>
      <c r="B195" s="179">
        <f>'Données projet'!D183</f>
        <v>0</v>
      </c>
      <c r="C195" s="191"/>
      <c r="D195" s="177">
        <f t="shared" si="11"/>
        <v>0</v>
      </c>
      <c r="E195" s="191"/>
      <c r="F195" s="230"/>
      <c r="G195" s="204"/>
      <c r="H195" s="188"/>
      <c r="I195" s="189"/>
      <c r="J195" s="4"/>
      <c r="K195" s="171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78">
        <f>'Données projet'!A184</f>
        <v>0</v>
      </c>
      <c r="B196" s="179">
        <f>'Données projet'!D184</f>
        <v>0</v>
      </c>
      <c r="C196" s="191"/>
      <c r="D196" s="177">
        <f t="shared" si="11"/>
        <v>0</v>
      </c>
      <c r="E196" s="191"/>
      <c r="F196" s="230"/>
      <c r="G196" s="204"/>
      <c r="H196" s="188"/>
      <c r="I196" s="189"/>
      <c r="J196" s="4"/>
      <c r="K196" s="171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78">
        <f>'Données projet'!A185</f>
        <v>0</v>
      </c>
      <c r="B197" s="179">
        <f>'Données projet'!D185</f>
        <v>0</v>
      </c>
      <c r="C197" s="191"/>
      <c r="D197" s="177">
        <f t="shared" si="11"/>
        <v>0</v>
      </c>
      <c r="E197" s="191"/>
      <c r="F197" s="230"/>
      <c r="G197" s="204"/>
      <c r="H197" s="188"/>
      <c r="I197" s="189"/>
      <c r="J197" s="4"/>
      <c r="K197" s="171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28"/>
      <c r="G198" s="204"/>
      <c r="H198" s="188"/>
      <c r="I198" s="189"/>
      <c r="J198" s="4"/>
      <c r="K198" s="171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28"/>
      <c r="G199" s="204"/>
      <c r="H199" s="188"/>
      <c r="I199" s="189"/>
      <c r="J199" s="4"/>
      <c r="K199" s="171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171</v>
      </c>
      <c r="B200" s="172" t="str">
        <f>IF('Données projet'!$B$15="","",'Données projet'!$B$15)</f>
        <v/>
      </c>
      <c r="C200" s="4"/>
      <c r="D200" s="4"/>
      <c r="E200" s="4"/>
      <c r="F200" s="228"/>
      <c r="G200" s="204"/>
      <c r="H200" s="188"/>
      <c r="I200" s="189"/>
      <c r="J200" s="4"/>
      <c r="K200" s="171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28"/>
      <c r="G201" s="204"/>
      <c r="H201" s="188"/>
      <c r="I201" s="189"/>
      <c r="J201" s="4"/>
      <c r="K201" s="171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29"/>
      <c r="G202" s="204"/>
      <c r="H202" s="188"/>
      <c r="I202" s="189"/>
      <c r="J202" s="4"/>
      <c r="K202" s="171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7" t="s">
        <v>132</v>
      </c>
      <c r="C203" s="196" t="s">
        <v>132</v>
      </c>
      <c r="D203" s="195" t="s">
        <v>132</v>
      </c>
      <c r="E203" s="191"/>
      <c r="F203" s="229"/>
      <c r="G203" s="204"/>
      <c r="H203" s="188"/>
      <c r="I203" s="189"/>
      <c r="J203" s="4"/>
      <c r="K203" s="171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7" t="s">
        <v>132</v>
      </c>
      <c r="C204" s="196" t="s">
        <v>132</v>
      </c>
      <c r="D204" s="195" t="s">
        <v>132</v>
      </c>
      <c r="E204" s="191"/>
      <c r="F204" s="229"/>
      <c r="G204" s="23"/>
      <c r="H204" s="188"/>
      <c r="I204" s="189"/>
      <c r="J204" s="4"/>
      <c r="K204" s="171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7" t="s">
        <v>132</v>
      </c>
      <c r="C205" s="196" t="s">
        <v>132</v>
      </c>
      <c r="D205" s="195" t="s">
        <v>132</v>
      </c>
      <c r="E205" s="191"/>
      <c r="F205" s="229"/>
      <c r="G205" s="23"/>
      <c r="H205" s="188"/>
      <c r="I205" s="189"/>
      <c r="J205" s="4"/>
      <c r="K205" s="171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7" t="s">
        <v>132</v>
      </c>
      <c r="C206" s="196" t="s">
        <v>132</v>
      </c>
      <c r="D206" s="195" t="s">
        <v>132</v>
      </c>
      <c r="E206" s="191"/>
      <c r="F206" s="229"/>
      <c r="G206" s="23"/>
      <c r="H206" s="188"/>
      <c r="I206" s="189"/>
      <c r="J206" s="4"/>
      <c r="K206" s="171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7" t="s">
        <v>132</v>
      </c>
      <c r="C207" s="196" t="s">
        <v>132</v>
      </c>
      <c r="D207" s="195" t="s">
        <v>132</v>
      </c>
      <c r="E207" s="191"/>
      <c r="F207" s="229"/>
      <c r="G207" s="23"/>
      <c r="H207" s="188"/>
      <c r="I207" s="189"/>
      <c r="J207" s="4"/>
      <c r="K207" s="171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7" t="s">
        <v>132</v>
      </c>
      <c r="C208" s="196" t="s">
        <v>132</v>
      </c>
      <c r="D208" s="195" t="s">
        <v>132</v>
      </c>
      <c r="E208" s="191"/>
      <c r="F208" s="229"/>
      <c r="G208" s="203"/>
      <c r="H208" s="188"/>
      <c r="I208" s="189"/>
      <c r="J208" s="4"/>
      <c r="K208" s="171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78">
        <f>'Données projet'!A192</f>
        <v>0</v>
      </c>
      <c r="B209" s="179">
        <f>'Données projet'!D192</f>
        <v>0</v>
      </c>
      <c r="C209" s="191"/>
      <c r="D209" s="177">
        <f>B209*C209</f>
        <v>0</v>
      </c>
      <c r="E209" s="191"/>
      <c r="F209" s="230"/>
      <c r="G209" s="203"/>
      <c r="H209" s="188"/>
      <c r="I209" s="189"/>
      <c r="J209" s="4"/>
      <c r="K209" s="171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78">
        <f>'Données projet'!A193</f>
        <v>0</v>
      </c>
      <c r="B210" s="179">
        <f>'Données projet'!D193</f>
        <v>0</v>
      </c>
      <c r="C210" s="191"/>
      <c r="D210" s="177">
        <f t="shared" ref="D210:D228" si="12">B210*C210</f>
        <v>0</v>
      </c>
      <c r="E210" s="191"/>
      <c r="F210" s="230"/>
      <c r="G210" s="203"/>
      <c r="H210" s="188"/>
      <c r="I210" s="189"/>
      <c r="J210" s="4"/>
      <c r="K210" s="171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78">
        <f>'Données projet'!A194</f>
        <v>0</v>
      </c>
      <c r="B211" s="179">
        <f>'Données projet'!D194</f>
        <v>0</v>
      </c>
      <c r="C211" s="191"/>
      <c r="D211" s="177">
        <f t="shared" si="12"/>
        <v>0</v>
      </c>
      <c r="E211" s="191"/>
      <c r="F211" s="230"/>
      <c r="G211" s="203"/>
      <c r="H211" s="188"/>
      <c r="I211" s="189"/>
      <c r="J211" s="4"/>
      <c r="K211" s="171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78">
        <f>'Données projet'!A195</f>
        <v>0</v>
      </c>
      <c r="B212" s="179">
        <f>'Données projet'!D195</f>
        <v>0</v>
      </c>
      <c r="C212" s="191"/>
      <c r="D212" s="177">
        <f t="shared" si="12"/>
        <v>0</v>
      </c>
      <c r="E212" s="191"/>
      <c r="F212" s="230"/>
      <c r="G212" s="203"/>
      <c r="H212" s="188"/>
      <c r="I212" s="189"/>
      <c r="J212" s="4"/>
      <c r="K212" s="171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78">
        <f>'Données projet'!A196</f>
        <v>0</v>
      </c>
      <c r="B213" s="179">
        <f>'Données projet'!D196</f>
        <v>0</v>
      </c>
      <c r="C213" s="191"/>
      <c r="D213" s="177">
        <f t="shared" si="12"/>
        <v>0</v>
      </c>
      <c r="E213" s="191"/>
      <c r="F213" s="230"/>
      <c r="G213" s="203"/>
      <c r="H213" s="188"/>
      <c r="I213" s="189"/>
      <c r="J213" s="4"/>
      <c r="K213" s="171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78">
        <f>'Données projet'!A197</f>
        <v>0</v>
      </c>
      <c r="B214" s="179">
        <f>'Données projet'!D197</f>
        <v>0</v>
      </c>
      <c r="C214" s="191"/>
      <c r="D214" s="177">
        <f t="shared" si="12"/>
        <v>0</v>
      </c>
      <c r="E214" s="191"/>
      <c r="F214" s="230"/>
      <c r="G214" s="203"/>
      <c r="H214" s="188"/>
      <c r="I214" s="189"/>
      <c r="J214" s="4"/>
      <c r="K214" s="171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78">
        <f>'Données projet'!A198</f>
        <v>0</v>
      </c>
      <c r="B215" s="179">
        <f>'Données projet'!D198</f>
        <v>0</v>
      </c>
      <c r="C215" s="191"/>
      <c r="D215" s="177">
        <f t="shared" si="12"/>
        <v>0</v>
      </c>
      <c r="E215" s="191"/>
      <c r="F215" s="230"/>
      <c r="G215" s="204"/>
      <c r="H215" s="188"/>
      <c r="I215" s="189"/>
      <c r="J215" s="4"/>
      <c r="K215" s="171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78">
        <f>'Données projet'!A199</f>
        <v>0</v>
      </c>
      <c r="B216" s="179">
        <f>'Données projet'!D199</f>
        <v>0</v>
      </c>
      <c r="C216" s="191"/>
      <c r="D216" s="177">
        <f t="shared" si="12"/>
        <v>0</v>
      </c>
      <c r="E216" s="191"/>
      <c r="F216" s="230"/>
      <c r="G216" s="204"/>
      <c r="H216" s="188"/>
      <c r="I216" s="189"/>
      <c r="J216" s="4"/>
      <c r="K216" s="171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78">
        <f>'Données projet'!A200</f>
        <v>0</v>
      </c>
      <c r="B217" s="179">
        <f>'Données projet'!D200</f>
        <v>0</v>
      </c>
      <c r="C217" s="191"/>
      <c r="D217" s="177">
        <f t="shared" si="12"/>
        <v>0</v>
      </c>
      <c r="E217" s="191"/>
      <c r="F217" s="230"/>
      <c r="G217" s="204"/>
      <c r="H217" s="188"/>
      <c r="I217" s="189"/>
      <c r="J217" s="4"/>
      <c r="K217" s="171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78">
        <f>'Données projet'!A201</f>
        <v>0</v>
      </c>
      <c r="B218" s="179">
        <f>'Données projet'!D201</f>
        <v>0</v>
      </c>
      <c r="C218" s="191"/>
      <c r="D218" s="177">
        <f t="shared" si="12"/>
        <v>0</v>
      </c>
      <c r="E218" s="191"/>
      <c r="F218" s="230"/>
      <c r="G218" s="204"/>
      <c r="H218" s="188"/>
      <c r="I218" s="189"/>
      <c r="J218" s="4"/>
      <c r="K218" s="171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78">
        <f>'Données projet'!A202</f>
        <v>0</v>
      </c>
      <c r="B219" s="179">
        <f>'Données projet'!D202</f>
        <v>0</v>
      </c>
      <c r="C219" s="191"/>
      <c r="D219" s="177">
        <f t="shared" si="12"/>
        <v>0</v>
      </c>
      <c r="E219" s="191"/>
      <c r="F219" s="230"/>
      <c r="G219" s="204"/>
      <c r="H219" s="188"/>
      <c r="I219" s="189"/>
      <c r="J219" s="4"/>
      <c r="K219" s="171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78">
        <f>'Données projet'!A203</f>
        <v>0</v>
      </c>
      <c r="B220" s="179">
        <f>'Données projet'!D203</f>
        <v>0</v>
      </c>
      <c r="C220" s="191"/>
      <c r="D220" s="177">
        <f t="shared" si="12"/>
        <v>0</v>
      </c>
      <c r="E220" s="191"/>
      <c r="F220" s="230"/>
      <c r="G220" s="204"/>
      <c r="H220" s="4"/>
      <c r="I220" s="4"/>
      <c r="J220" s="4"/>
      <c r="K220" s="171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78">
        <f>'Données projet'!A204</f>
        <v>0</v>
      </c>
      <c r="B221" s="179">
        <f>'Données projet'!D204</f>
        <v>0</v>
      </c>
      <c r="C221" s="191"/>
      <c r="D221" s="177">
        <f t="shared" si="12"/>
        <v>0</v>
      </c>
      <c r="E221" s="191"/>
      <c r="F221" s="230"/>
      <c r="G221" s="204"/>
      <c r="H221" s="4"/>
      <c r="I221" s="4"/>
      <c r="J221" s="4"/>
      <c r="K221" s="171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78">
        <f>'Données projet'!A205</f>
        <v>0</v>
      </c>
      <c r="B222" s="179">
        <f>'Données projet'!D205</f>
        <v>0</v>
      </c>
      <c r="C222" s="191"/>
      <c r="D222" s="177">
        <f t="shared" si="12"/>
        <v>0</v>
      </c>
      <c r="E222" s="191"/>
      <c r="F222" s="230"/>
      <c r="G222" s="204"/>
      <c r="H222" s="4"/>
      <c r="I222" s="4"/>
      <c r="J222" s="4"/>
      <c r="K222" s="171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78">
        <f>'Données projet'!A206</f>
        <v>0</v>
      </c>
      <c r="B223" s="179">
        <f>'Données projet'!D206</f>
        <v>0</v>
      </c>
      <c r="C223" s="191"/>
      <c r="D223" s="177">
        <f t="shared" si="12"/>
        <v>0</v>
      </c>
      <c r="E223" s="191"/>
      <c r="F223" s="230"/>
      <c r="G223" s="204"/>
      <c r="H223" s="4"/>
      <c r="I223" s="4"/>
      <c r="J223" s="4"/>
      <c r="K223" s="171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78">
        <f>'Données projet'!A207</f>
        <v>0</v>
      </c>
      <c r="B224" s="179">
        <f>'Données projet'!D207</f>
        <v>0</v>
      </c>
      <c r="C224" s="191"/>
      <c r="D224" s="177">
        <f t="shared" si="12"/>
        <v>0</v>
      </c>
      <c r="E224" s="191"/>
      <c r="F224" s="230"/>
      <c r="G224" s="204"/>
      <c r="H224" s="4"/>
      <c r="I224" s="4"/>
      <c r="J224" s="4"/>
      <c r="K224" s="171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78">
        <f>'Données projet'!A208</f>
        <v>0</v>
      </c>
      <c r="B225" s="179">
        <f>'Données projet'!D208</f>
        <v>0</v>
      </c>
      <c r="C225" s="191"/>
      <c r="D225" s="177">
        <f t="shared" si="12"/>
        <v>0</v>
      </c>
      <c r="E225" s="191"/>
      <c r="F225" s="230"/>
      <c r="G225" s="204"/>
      <c r="H225" s="4"/>
      <c r="I225" s="4"/>
      <c r="J225" s="4"/>
      <c r="K225" s="171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78">
        <f>'Données projet'!A209</f>
        <v>0</v>
      </c>
      <c r="B226" s="179">
        <f>'Données projet'!D209</f>
        <v>0</v>
      </c>
      <c r="C226" s="191"/>
      <c r="D226" s="177">
        <f t="shared" si="12"/>
        <v>0</v>
      </c>
      <c r="E226" s="191"/>
      <c r="F226" s="230"/>
      <c r="G226" s="204"/>
      <c r="H226" s="4"/>
      <c r="I226" s="4"/>
      <c r="J226" s="4"/>
      <c r="K226" s="171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78">
        <f>'Données projet'!A210</f>
        <v>0</v>
      </c>
      <c r="B227" s="179">
        <f>'Données projet'!D210</f>
        <v>0</v>
      </c>
      <c r="C227" s="191"/>
      <c r="D227" s="177">
        <f t="shared" si="12"/>
        <v>0</v>
      </c>
      <c r="E227" s="191"/>
      <c r="F227" s="230"/>
      <c r="G227" s="204"/>
      <c r="H227" s="4"/>
      <c r="I227" s="4"/>
      <c r="J227" s="4"/>
      <c r="K227" s="171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78">
        <f>'Données projet'!A211</f>
        <v>0</v>
      </c>
      <c r="B228" s="179">
        <f>'Données projet'!D211</f>
        <v>0</v>
      </c>
      <c r="C228" s="191"/>
      <c r="D228" s="177">
        <f t="shared" si="12"/>
        <v>0</v>
      </c>
      <c r="E228" s="191"/>
      <c r="F228" s="230"/>
      <c r="G228" s="204"/>
      <c r="H228" s="4"/>
      <c r="I228" s="4"/>
      <c r="J228" s="4"/>
      <c r="K228" s="171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28"/>
      <c r="G229" s="204"/>
      <c r="H229" s="4"/>
      <c r="I229" s="4"/>
      <c r="J229" s="4"/>
      <c r="K229" s="171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28"/>
      <c r="G230" s="204"/>
      <c r="H230" s="4"/>
      <c r="I230" s="4"/>
      <c r="J230" s="4"/>
      <c r="K230" s="171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172</v>
      </c>
      <c r="B231" s="172" t="str">
        <f>IF('Données projet'!$B$16="","",'Données projet'!$B$16)</f>
        <v/>
      </c>
      <c r="C231" s="4"/>
      <c r="D231" s="4"/>
      <c r="E231" s="4"/>
      <c r="F231" s="228"/>
      <c r="G231" s="204"/>
      <c r="H231" s="4"/>
      <c r="I231" s="4"/>
      <c r="J231" s="4"/>
      <c r="K231" s="171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28"/>
      <c r="G232" s="204"/>
      <c r="H232" s="4"/>
      <c r="I232" s="4"/>
      <c r="J232" s="4"/>
      <c r="K232" s="171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29"/>
      <c r="G233" s="204"/>
      <c r="H233" s="4"/>
      <c r="I233" s="4"/>
      <c r="J233" s="4"/>
      <c r="K233" s="171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7" t="s">
        <v>132</v>
      </c>
      <c r="C234" s="196" t="s">
        <v>132</v>
      </c>
      <c r="D234" s="195" t="s">
        <v>132</v>
      </c>
      <c r="E234" s="191"/>
      <c r="F234" s="229"/>
      <c r="G234" s="204"/>
      <c r="H234" s="4"/>
      <c r="I234" s="4"/>
      <c r="J234" s="4"/>
      <c r="K234" s="171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7" t="s">
        <v>132</v>
      </c>
      <c r="C235" s="196" t="s">
        <v>132</v>
      </c>
      <c r="D235" s="195" t="s">
        <v>132</v>
      </c>
      <c r="E235" s="191"/>
      <c r="F235" s="229"/>
      <c r="G235" s="23"/>
      <c r="H235" s="4"/>
      <c r="I235" s="4"/>
      <c r="J235" s="4"/>
      <c r="K235" s="171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7" t="s">
        <v>132</v>
      </c>
      <c r="C236" s="196" t="s">
        <v>132</v>
      </c>
      <c r="D236" s="195" t="s">
        <v>132</v>
      </c>
      <c r="E236" s="191"/>
      <c r="F236" s="229"/>
      <c r="G236" s="23"/>
      <c r="H236" s="4"/>
      <c r="I236" s="4"/>
      <c r="J236" s="4"/>
      <c r="K236" s="171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7" t="s">
        <v>132</v>
      </c>
      <c r="C237" s="196" t="s">
        <v>132</v>
      </c>
      <c r="D237" s="195" t="s">
        <v>132</v>
      </c>
      <c r="E237" s="191"/>
      <c r="F237" s="229"/>
      <c r="G237" s="23"/>
      <c r="H237" s="4"/>
      <c r="I237" s="4"/>
      <c r="J237" s="4"/>
      <c r="K237" s="171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7" t="s">
        <v>132</v>
      </c>
      <c r="C238" s="196" t="s">
        <v>132</v>
      </c>
      <c r="D238" s="195" t="s">
        <v>132</v>
      </c>
      <c r="E238" s="191"/>
      <c r="F238" s="229"/>
      <c r="G238" s="23"/>
      <c r="H238" s="4"/>
      <c r="I238" s="4"/>
      <c r="J238" s="4"/>
      <c r="K238" s="171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7" t="s">
        <v>132</v>
      </c>
      <c r="C239" s="196" t="s">
        <v>132</v>
      </c>
      <c r="D239" s="195" t="s">
        <v>132</v>
      </c>
      <c r="E239" s="191"/>
      <c r="F239" s="229"/>
      <c r="G239" s="203"/>
      <c r="H239" s="4"/>
      <c r="I239" s="4"/>
      <c r="J239" s="4"/>
      <c r="K239" s="171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78">
        <f>'Données projet'!A218</f>
        <v>0</v>
      </c>
      <c r="B240" s="179">
        <f>'Données projet'!D218</f>
        <v>0</v>
      </c>
      <c r="C240" s="191"/>
      <c r="D240" s="177">
        <f>B240*C240</f>
        <v>0</v>
      </c>
      <c r="E240" s="191"/>
      <c r="F240" s="230"/>
      <c r="G240" s="203"/>
      <c r="H240" s="4"/>
      <c r="I240" s="4"/>
      <c r="J240" s="4"/>
      <c r="K240" s="171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78">
        <f>'Données projet'!A219</f>
        <v>0</v>
      </c>
      <c r="B241" s="179">
        <f>'Données projet'!D219</f>
        <v>0</v>
      </c>
      <c r="C241" s="191"/>
      <c r="D241" s="177">
        <f t="shared" ref="D241:D259" si="13">B241*C241</f>
        <v>0</v>
      </c>
      <c r="E241" s="191"/>
      <c r="F241" s="230"/>
      <c r="G241" s="203"/>
      <c r="H241" s="4"/>
      <c r="I241" s="4"/>
      <c r="J241" s="4"/>
      <c r="K241" s="171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78">
        <f>'Données projet'!A220</f>
        <v>0</v>
      </c>
      <c r="B242" s="179">
        <f>'Données projet'!D220</f>
        <v>0</v>
      </c>
      <c r="C242" s="191"/>
      <c r="D242" s="177">
        <f t="shared" si="13"/>
        <v>0</v>
      </c>
      <c r="E242" s="191"/>
      <c r="F242" s="230"/>
      <c r="G242" s="203"/>
      <c r="H242" s="4"/>
      <c r="I242" s="4"/>
      <c r="J242" s="4"/>
      <c r="K242" s="171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78">
        <f>'Données projet'!A221</f>
        <v>0</v>
      </c>
      <c r="B243" s="179">
        <f>'Données projet'!D221</f>
        <v>0</v>
      </c>
      <c r="C243" s="191"/>
      <c r="D243" s="177">
        <f t="shared" si="13"/>
        <v>0</v>
      </c>
      <c r="E243" s="191"/>
      <c r="F243" s="230"/>
      <c r="G243" s="203"/>
      <c r="H243" s="4"/>
      <c r="I243" s="4"/>
      <c r="J243" s="4"/>
      <c r="K243" s="171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78">
        <f>'Données projet'!A222</f>
        <v>0</v>
      </c>
      <c r="B244" s="179">
        <f>'Données projet'!D222</f>
        <v>0</v>
      </c>
      <c r="C244" s="191"/>
      <c r="D244" s="177">
        <f t="shared" si="13"/>
        <v>0</v>
      </c>
      <c r="E244" s="191"/>
      <c r="F244" s="230"/>
      <c r="G244" s="203"/>
      <c r="H244" s="4"/>
      <c r="I244" s="4"/>
      <c r="J244" s="4"/>
      <c r="K244" s="171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78">
        <f>'Données projet'!A223</f>
        <v>0</v>
      </c>
      <c r="B245" s="179">
        <f>'Données projet'!D223</f>
        <v>0</v>
      </c>
      <c r="C245" s="191"/>
      <c r="D245" s="177">
        <f t="shared" si="13"/>
        <v>0</v>
      </c>
      <c r="E245" s="191"/>
      <c r="F245" s="230"/>
      <c r="G245" s="203"/>
      <c r="H245" s="4"/>
      <c r="I245" s="4"/>
      <c r="J245" s="4"/>
      <c r="K245" s="171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78">
        <f>'Données projet'!A224</f>
        <v>0</v>
      </c>
      <c r="B246" s="179">
        <f>'Données projet'!D224</f>
        <v>0</v>
      </c>
      <c r="C246" s="191"/>
      <c r="D246" s="177">
        <f t="shared" si="13"/>
        <v>0</v>
      </c>
      <c r="E246" s="191"/>
      <c r="F246" s="230"/>
      <c r="G246" s="204"/>
      <c r="H246" s="4"/>
      <c r="I246" s="4"/>
      <c r="J246" s="4"/>
      <c r="K246" s="171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78">
        <f>'Données projet'!A225</f>
        <v>0</v>
      </c>
      <c r="B247" s="179">
        <f>'Données projet'!D225</f>
        <v>0</v>
      </c>
      <c r="C247" s="191"/>
      <c r="D247" s="177">
        <f t="shared" si="13"/>
        <v>0</v>
      </c>
      <c r="E247" s="191"/>
      <c r="F247" s="230"/>
      <c r="G247" s="204"/>
      <c r="H247" s="4"/>
      <c r="I247" s="4"/>
      <c r="J247" s="4"/>
      <c r="K247" s="171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78">
        <f>'Données projet'!A226</f>
        <v>0</v>
      </c>
      <c r="B248" s="179">
        <f>'Données projet'!D226</f>
        <v>0</v>
      </c>
      <c r="C248" s="191"/>
      <c r="D248" s="177">
        <f t="shared" si="13"/>
        <v>0</v>
      </c>
      <c r="E248" s="191"/>
      <c r="F248" s="230"/>
      <c r="G248" s="204"/>
      <c r="H248" s="4"/>
      <c r="I248" s="4"/>
      <c r="J248" s="4"/>
      <c r="K248" s="171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78">
        <f>'Données projet'!A227</f>
        <v>0</v>
      </c>
      <c r="B249" s="179">
        <f>'Données projet'!D227</f>
        <v>0</v>
      </c>
      <c r="C249" s="191"/>
      <c r="D249" s="177">
        <f t="shared" si="13"/>
        <v>0</v>
      </c>
      <c r="E249" s="191"/>
      <c r="F249" s="230"/>
      <c r="G249" s="204"/>
      <c r="H249" s="4"/>
      <c r="I249" s="4"/>
      <c r="J249" s="4"/>
      <c r="K249" s="171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78">
        <f>'Données projet'!A228</f>
        <v>0</v>
      </c>
      <c r="B250" s="179">
        <f>'Données projet'!D228</f>
        <v>0</v>
      </c>
      <c r="C250" s="191"/>
      <c r="D250" s="177">
        <f t="shared" si="13"/>
        <v>0</v>
      </c>
      <c r="E250" s="191"/>
      <c r="F250" s="230"/>
      <c r="G250" s="204"/>
      <c r="H250" s="4"/>
      <c r="I250" s="4"/>
      <c r="J250" s="4"/>
      <c r="K250" s="171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78">
        <f>'Données projet'!A229</f>
        <v>0</v>
      </c>
      <c r="B251" s="179">
        <f>'Données projet'!D229</f>
        <v>0</v>
      </c>
      <c r="C251" s="191"/>
      <c r="D251" s="177">
        <f t="shared" si="13"/>
        <v>0</v>
      </c>
      <c r="E251" s="191"/>
      <c r="F251" s="230"/>
      <c r="G251" s="204"/>
      <c r="H251" s="4"/>
      <c r="I251" s="4"/>
      <c r="J251" s="4"/>
      <c r="K251" s="171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78">
        <f>'Données projet'!A230</f>
        <v>0</v>
      </c>
      <c r="B252" s="179">
        <f>'Données projet'!D230</f>
        <v>0</v>
      </c>
      <c r="C252" s="191"/>
      <c r="D252" s="177">
        <f t="shared" si="13"/>
        <v>0</v>
      </c>
      <c r="E252" s="191"/>
      <c r="F252" s="230"/>
      <c r="G252" s="204"/>
      <c r="H252" s="4"/>
      <c r="I252" s="4"/>
      <c r="J252" s="4"/>
      <c r="K252" s="171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78">
        <f>'Données projet'!A231</f>
        <v>0</v>
      </c>
      <c r="B253" s="179">
        <f>'Données projet'!D231</f>
        <v>0</v>
      </c>
      <c r="C253" s="191"/>
      <c r="D253" s="177">
        <f t="shared" si="13"/>
        <v>0</v>
      </c>
      <c r="E253" s="191"/>
      <c r="F253" s="230"/>
      <c r="G253" s="204"/>
      <c r="H253" s="4"/>
      <c r="I253" s="4"/>
      <c r="J253" s="4"/>
      <c r="K253" s="171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78">
        <f>'Données projet'!A232</f>
        <v>0</v>
      </c>
      <c r="B254" s="179">
        <f>'Données projet'!D232</f>
        <v>0</v>
      </c>
      <c r="C254" s="191"/>
      <c r="D254" s="177">
        <f t="shared" si="13"/>
        <v>0</v>
      </c>
      <c r="E254" s="191"/>
      <c r="F254" s="230"/>
      <c r="G254" s="204"/>
      <c r="H254" s="4"/>
      <c r="I254" s="4"/>
      <c r="J254" s="4"/>
      <c r="K254" s="171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78">
        <f>'Données projet'!A233</f>
        <v>0</v>
      </c>
      <c r="B255" s="179">
        <f>'Données projet'!D233</f>
        <v>0</v>
      </c>
      <c r="C255" s="191"/>
      <c r="D255" s="177">
        <f t="shared" si="13"/>
        <v>0</v>
      </c>
      <c r="E255" s="191"/>
      <c r="F255" s="230"/>
      <c r="G255" s="204"/>
      <c r="H255" s="4"/>
      <c r="I255" s="4"/>
      <c r="J255" s="4"/>
      <c r="K255" s="171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78">
        <f>'Données projet'!A234</f>
        <v>0</v>
      </c>
      <c r="B256" s="179">
        <f>'Données projet'!D234</f>
        <v>0</v>
      </c>
      <c r="C256" s="191"/>
      <c r="D256" s="177">
        <f t="shared" si="13"/>
        <v>0</v>
      </c>
      <c r="E256" s="191"/>
      <c r="F256" s="230"/>
      <c r="G256" s="204"/>
      <c r="H256" s="4"/>
      <c r="I256" s="4"/>
      <c r="J256" s="4"/>
      <c r="K256" s="171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78">
        <f>'Données projet'!A235</f>
        <v>0</v>
      </c>
      <c r="B257" s="179">
        <f>'Données projet'!D235</f>
        <v>0</v>
      </c>
      <c r="C257" s="191"/>
      <c r="D257" s="177">
        <f t="shared" si="13"/>
        <v>0</v>
      </c>
      <c r="E257" s="191"/>
      <c r="F257" s="230"/>
      <c r="G257" s="204"/>
      <c r="H257" s="4"/>
      <c r="I257" s="4"/>
      <c r="J257" s="4"/>
      <c r="K257" s="171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78">
        <f>'Données projet'!A236</f>
        <v>0</v>
      </c>
      <c r="B258" s="179">
        <f>'Données projet'!D236</f>
        <v>0</v>
      </c>
      <c r="C258" s="191"/>
      <c r="D258" s="177">
        <f t="shared" si="13"/>
        <v>0</v>
      </c>
      <c r="E258" s="191"/>
      <c r="F258" s="230"/>
      <c r="G258" s="204"/>
      <c r="H258" s="4"/>
      <c r="I258" s="4"/>
      <c r="J258" s="4"/>
      <c r="K258" s="171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78">
        <f>'Données projet'!A237</f>
        <v>0</v>
      </c>
      <c r="B259" s="179">
        <f>'Données projet'!D237</f>
        <v>0</v>
      </c>
      <c r="C259" s="191"/>
      <c r="D259" s="177">
        <f t="shared" si="13"/>
        <v>0</v>
      </c>
      <c r="E259" s="191"/>
      <c r="F259" s="230"/>
      <c r="G259" s="204"/>
      <c r="H259" s="4"/>
      <c r="I259" s="4"/>
      <c r="J259" s="4"/>
      <c r="K259" s="171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28"/>
      <c r="G260" s="204"/>
      <c r="H260" s="4"/>
      <c r="I260" s="4"/>
      <c r="J260" s="4"/>
      <c r="K260" s="171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28"/>
      <c r="G261" s="204"/>
      <c r="H261" s="4"/>
      <c r="I261" s="4"/>
      <c r="J261" s="4"/>
      <c r="K261" s="171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173</v>
      </c>
      <c r="B262" s="172" t="str">
        <f>IF('Données projet'!$B$17="","",'Données projet'!$B$17)</f>
        <v/>
      </c>
      <c r="C262" s="4"/>
      <c r="D262" s="4"/>
      <c r="E262" s="4"/>
      <c r="F262" s="228"/>
      <c r="G262" s="204"/>
      <c r="H262" s="4"/>
      <c r="I262" s="4"/>
      <c r="J262" s="4"/>
      <c r="K262" s="171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28"/>
      <c r="G263" s="204"/>
      <c r="H263" s="4"/>
      <c r="I263" s="4"/>
      <c r="J263" s="4"/>
      <c r="K263" s="171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29"/>
      <c r="G264" s="204"/>
      <c r="H264" s="4"/>
      <c r="I264" s="4"/>
      <c r="J264" s="4"/>
      <c r="K264" s="171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7" t="s">
        <v>132</v>
      </c>
      <c r="C265" s="196" t="s">
        <v>132</v>
      </c>
      <c r="D265" s="195" t="s">
        <v>132</v>
      </c>
      <c r="E265" s="191"/>
      <c r="F265" s="229"/>
      <c r="G265" s="204"/>
      <c r="H265" s="4"/>
      <c r="I265" s="4"/>
      <c r="J265" s="4"/>
      <c r="K265" s="171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7" t="s">
        <v>132</v>
      </c>
      <c r="C266" s="196" t="s">
        <v>132</v>
      </c>
      <c r="D266" s="195" t="s">
        <v>132</v>
      </c>
      <c r="E266" s="191"/>
      <c r="F266" s="229"/>
      <c r="G266" s="23"/>
      <c r="H266" s="4"/>
      <c r="I266" s="4"/>
      <c r="J266" s="4"/>
      <c r="K266" s="171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7" t="s">
        <v>132</v>
      </c>
      <c r="C267" s="196" t="s">
        <v>132</v>
      </c>
      <c r="D267" s="195" t="s">
        <v>132</v>
      </c>
      <c r="E267" s="191"/>
      <c r="F267" s="229"/>
      <c r="G267" s="23"/>
      <c r="H267" s="4"/>
      <c r="I267" s="4"/>
      <c r="J267" s="4"/>
      <c r="K267" s="171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7" t="s">
        <v>132</v>
      </c>
      <c r="C268" s="196" t="s">
        <v>132</v>
      </c>
      <c r="D268" s="195" t="s">
        <v>132</v>
      </c>
      <c r="E268" s="191"/>
      <c r="F268" s="229"/>
      <c r="G268" s="23"/>
      <c r="H268" s="4"/>
      <c r="I268" s="4"/>
      <c r="J268" s="4"/>
      <c r="K268" s="171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7" t="s">
        <v>132</v>
      </c>
      <c r="C269" s="196" t="s">
        <v>132</v>
      </c>
      <c r="D269" s="195" t="s">
        <v>132</v>
      </c>
      <c r="E269" s="191"/>
      <c r="F269" s="229"/>
      <c r="G269" s="23"/>
      <c r="H269" s="4"/>
      <c r="I269" s="4"/>
      <c r="J269" s="4"/>
      <c r="K269" s="171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7" t="s">
        <v>132</v>
      </c>
      <c r="C270" s="196" t="s">
        <v>132</v>
      </c>
      <c r="D270" s="195" t="s">
        <v>132</v>
      </c>
      <c r="E270" s="191"/>
      <c r="F270" s="229"/>
      <c r="G270" s="203"/>
      <c r="H270" s="4"/>
      <c r="I270" s="4"/>
      <c r="J270" s="4"/>
      <c r="K270" s="171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78">
        <f>'Données projet'!A244</f>
        <v>0</v>
      </c>
      <c r="B271" s="179">
        <f>'Données projet'!D244</f>
        <v>0</v>
      </c>
      <c r="C271" s="191"/>
      <c r="D271" s="177">
        <f>B271*C271</f>
        <v>0</v>
      </c>
      <c r="E271" s="191"/>
      <c r="F271" s="230"/>
      <c r="G271" s="203"/>
      <c r="H271" s="4"/>
      <c r="I271" s="4"/>
      <c r="J271" s="4"/>
      <c r="K271" s="171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78">
        <f>'Données projet'!A245</f>
        <v>0</v>
      </c>
      <c r="B272" s="179">
        <f>'Données projet'!D245</f>
        <v>0</v>
      </c>
      <c r="C272" s="191"/>
      <c r="D272" s="177">
        <f t="shared" ref="D272:D290" si="14">B272*C272</f>
        <v>0</v>
      </c>
      <c r="E272" s="191"/>
      <c r="F272" s="230"/>
      <c r="G272" s="203"/>
      <c r="H272" s="4"/>
      <c r="I272" s="4"/>
      <c r="J272" s="4"/>
      <c r="K272" s="171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78">
        <f>'Données projet'!A246</f>
        <v>0</v>
      </c>
      <c r="B273" s="179">
        <f>'Données projet'!D246</f>
        <v>0</v>
      </c>
      <c r="C273" s="191"/>
      <c r="D273" s="177">
        <f t="shared" si="14"/>
        <v>0</v>
      </c>
      <c r="E273" s="191"/>
      <c r="F273" s="230"/>
      <c r="G273" s="203"/>
      <c r="H273" s="4"/>
      <c r="I273" s="4"/>
      <c r="J273" s="4"/>
      <c r="K273" s="171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78">
        <f>'Données projet'!A247</f>
        <v>0</v>
      </c>
      <c r="B274" s="179">
        <f>'Données projet'!D247</f>
        <v>0</v>
      </c>
      <c r="C274" s="191"/>
      <c r="D274" s="177">
        <f t="shared" si="14"/>
        <v>0</v>
      </c>
      <c r="E274" s="191"/>
      <c r="F274" s="230"/>
      <c r="G274" s="203"/>
      <c r="H274" s="4"/>
      <c r="I274" s="4"/>
      <c r="J274" s="4"/>
      <c r="K274" s="171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78">
        <f>'Données projet'!A248</f>
        <v>0</v>
      </c>
      <c r="B275" s="179">
        <f>'Données projet'!D248</f>
        <v>0</v>
      </c>
      <c r="C275" s="191"/>
      <c r="D275" s="177">
        <f t="shared" si="14"/>
        <v>0</v>
      </c>
      <c r="E275" s="191"/>
      <c r="F275" s="230"/>
      <c r="G275" s="203"/>
      <c r="H275" s="4"/>
      <c r="I275" s="4"/>
      <c r="J275" s="4"/>
      <c r="K275" s="171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78">
        <f>'Données projet'!A249</f>
        <v>0</v>
      </c>
      <c r="B276" s="179">
        <f>'Données projet'!D249</f>
        <v>0</v>
      </c>
      <c r="C276" s="191"/>
      <c r="D276" s="177">
        <f t="shared" si="14"/>
        <v>0</v>
      </c>
      <c r="E276" s="191"/>
      <c r="F276" s="230"/>
      <c r="G276" s="203"/>
      <c r="H276" s="4"/>
      <c r="I276" s="4"/>
      <c r="J276" s="4"/>
      <c r="K276" s="171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78">
        <f>'Données projet'!A250</f>
        <v>0</v>
      </c>
      <c r="B277" s="179">
        <f>'Données projet'!D250</f>
        <v>0</v>
      </c>
      <c r="C277" s="191"/>
      <c r="D277" s="177">
        <f t="shared" si="14"/>
        <v>0</v>
      </c>
      <c r="E277" s="191"/>
      <c r="F277" s="230"/>
      <c r="G277" s="204"/>
      <c r="H277" s="4"/>
      <c r="I277" s="4"/>
      <c r="J277" s="4"/>
      <c r="K277" s="171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78">
        <f>'Données projet'!A251</f>
        <v>0</v>
      </c>
      <c r="B278" s="179">
        <f>'Données projet'!D251</f>
        <v>0</v>
      </c>
      <c r="C278" s="191"/>
      <c r="D278" s="177">
        <f t="shared" si="14"/>
        <v>0</v>
      </c>
      <c r="E278" s="191"/>
      <c r="F278" s="230"/>
      <c r="G278" s="204"/>
      <c r="H278" s="4"/>
      <c r="I278" s="4"/>
      <c r="J278" s="4"/>
      <c r="K278" s="171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78">
        <f>'Données projet'!A252</f>
        <v>0</v>
      </c>
      <c r="B279" s="179">
        <f>'Données projet'!D252</f>
        <v>0</v>
      </c>
      <c r="C279" s="191"/>
      <c r="D279" s="177">
        <f t="shared" si="14"/>
        <v>0</v>
      </c>
      <c r="E279" s="191"/>
      <c r="F279" s="230"/>
      <c r="G279" s="204"/>
      <c r="H279" s="4"/>
      <c r="I279" s="4"/>
      <c r="J279" s="4"/>
      <c r="K279" s="171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78">
        <f>'Données projet'!A253</f>
        <v>0</v>
      </c>
      <c r="B280" s="179">
        <f>'Données projet'!D253</f>
        <v>0</v>
      </c>
      <c r="C280" s="191"/>
      <c r="D280" s="177">
        <f t="shared" si="14"/>
        <v>0</v>
      </c>
      <c r="E280" s="191"/>
      <c r="F280" s="230"/>
      <c r="G280" s="204"/>
      <c r="H280" s="4"/>
      <c r="I280" s="4"/>
      <c r="J280" s="4"/>
      <c r="K280" s="171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78">
        <f>'Données projet'!A254</f>
        <v>0</v>
      </c>
      <c r="B281" s="179">
        <f>'Données projet'!D254</f>
        <v>0</v>
      </c>
      <c r="C281" s="191"/>
      <c r="D281" s="177">
        <f t="shared" si="14"/>
        <v>0</v>
      </c>
      <c r="E281" s="191"/>
      <c r="F281" s="230"/>
      <c r="G281" s="204"/>
      <c r="H281" s="4"/>
      <c r="I281" s="4"/>
      <c r="J281" s="4"/>
      <c r="K281" s="171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78">
        <f>'Données projet'!A255</f>
        <v>0</v>
      </c>
      <c r="B282" s="179">
        <f>'Données projet'!D255</f>
        <v>0</v>
      </c>
      <c r="C282" s="191"/>
      <c r="D282" s="177">
        <f t="shared" si="14"/>
        <v>0</v>
      </c>
      <c r="E282" s="191"/>
      <c r="F282" s="230"/>
      <c r="G282" s="204"/>
      <c r="H282" s="4"/>
      <c r="I282" s="4"/>
      <c r="J282" s="4"/>
      <c r="K282" s="171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78">
        <f>'Données projet'!A256</f>
        <v>0</v>
      </c>
      <c r="B283" s="179">
        <f>'Données projet'!D256</f>
        <v>0</v>
      </c>
      <c r="C283" s="191"/>
      <c r="D283" s="177">
        <f t="shared" si="14"/>
        <v>0</v>
      </c>
      <c r="E283" s="191"/>
      <c r="F283" s="230"/>
      <c r="G283" s="204"/>
      <c r="H283" s="4"/>
      <c r="I283" s="4"/>
      <c r="J283" s="4"/>
      <c r="K283" s="171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78">
        <f>'Données projet'!A257</f>
        <v>0</v>
      </c>
      <c r="B284" s="179">
        <f>'Données projet'!D257</f>
        <v>0</v>
      </c>
      <c r="C284" s="191"/>
      <c r="D284" s="177">
        <f t="shared" si="14"/>
        <v>0</v>
      </c>
      <c r="E284" s="191"/>
      <c r="F284" s="230"/>
      <c r="G284" s="204"/>
      <c r="H284" s="4"/>
      <c r="I284" s="4"/>
      <c r="J284" s="4"/>
      <c r="K284" s="171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78">
        <f>'Données projet'!A258</f>
        <v>0</v>
      </c>
      <c r="B285" s="179">
        <f>'Données projet'!D258</f>
        <v>0</v>
      </c>
      <c r="C285" s="191"/>
      <c r="D285" s="177">
        <f t="shared" si="14"/>
        <v>0</v>
      </c>
      <c r="E285" s="191"/>
      <c r="F285" s="230"/>
      <c r="G285" s="204"/>
      <c r="H285" s="4"/>
      <c r="I285" s="4"/>
      <c r="J285" s="4"/>
      <c r="K285" s="171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78">
        <f>'Données projet'!A259</f>
        <v>0</v>
      </c>
      <c r="B286" s="179">
        <f>'Données projet'!D259</f>
        <v>0</v>
      </c>
      <c r="C286" s="191"/>
      <c r="D286" s="177">
        <f t="shared" si="14"/>
        <v>0</v>
      </c>
      <c r="E286" s="191"/>
      <c r="F286" s="230"/>
      <c r="G286" s="204"/>
      <c r="H286" s="4"/>
      <c r="I286" s="4"/>
      <c r="J286" s="4"/>
      <c r="K286" s="171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78">
        <f>'Données projet'!A260</f>
        <v>0</v>
      </c>
      <c r="B287" s="179">
        <f>'Données projet'!D260</f>
        <v>0</v>
      </c>
      <c r="C287" s="191"/>
      <c r="D287" s="177">
        <f t="shared" si="14"/>
        <v>0</v>
      </c>
      <c r="E287" s="191"/>
      <c r="F287" s="230"/>
      <c r="G287" s="204"/>
      <c r="H287" s="4"/>
      <c r="I287" s="4"/>
      <c r="J287" s="4"/>
      <c r="K287" s="171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78">
        <f>'Données projet'!A261</f>
        <v>0</v>
      </c>
      <c r="B288" s="179">
        <f>'Données projet'!D261</f>
        <v>0</v>
      </c>
      <c r="C288" s="191"/>
      <c r="D288" s="177">
        <f t="shared" si="14"/>
        <v>0</v>
      </c>
      <c r="E288" s="191"/>
      <c r="F288" s="230"/>
      <c r="G288" s="204"/>
      <c r="H288" s="4"/>
      <c r="I288" s="4"/>
      <c r="J288" s="4"/>
      <c r="K288" s="171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78">
        <f>'Données projet'!A262</f>
        <v>0</v>
      </c>
      <c r="B289" s="179">
        <f>'Données projet'!D262</f>
        <v>0</v>
      </c>
      <c r="C289" s="191"/>
      <c r="D289" s="177">
        <f t="shared" si="14"/>
        <v>0</v>
      </c>
      <c r="E289" s="191"/>
      <c r="F289" s="230"/>
      <c r="G289" s="204"/>
      <c r="H289" s="4"/>
      <c r="I289" s="4"/>
      <c r="J289" s="4"/>
      <c r="K289" s="171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78">
        <f>'Données projet'!A263</f>
        <v>0</v>
      </c>
      <c r="B290" s="179">
        <f>'Données projet'!D263</f>
        <v>0</v>
      </c>
      <c r="C290" s="191"/>
      <c r="D290" s="177">
        <f t="shared" si="14"/>
        <v>0</v>
      </c>
      <c r="E290" s="191"/>
      <c r="F290" s="230"/>
      <c r="G290" s="204"/>
      <c r="H290" s="4"/>
      <c r="I290" s="4"/>
      <c r="J290" s="4"/>
      <c r="K290" s="171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28"/>
      <c r="G291" s="204"/>
      <c r="H291" s="4"/>
      <c r="I291" s="4"/>
      <c r="J291" s="4"/>
      <c r="K291" s="171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28"/>
      <c r="G292" s="204"/>
      <c r="H292" s="4"/>
      <c r="I292" s="4"/>
      <c r="J292" s="4"/>
      <c r="K292" s="171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174</v>
      </c>
      <c r="B293" s="172" t="str">
        <f>IF('Données projet'!$B$18="","",'Données projet'!$B$18)</f>
        <v/>
      </c>
      <c r="C293" s="4"/>
      <c r="D293" s="4"/>
      <c r="E293" s="4"/>
      <c r="F293" s="228"/>
      <c r="G293" s="204"/>
      <c r="H293" s="4"/>
      <c r="I293" s="4"/>
      <c r="J293" s="4"/>
      <c r="K293" s="171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28"/>
      <c r="G294" s="204"/>
      <c r="H294" s="4"/>
      <c r="I294" s="4"/>
      <c r="J294" s="4"/>
      <c r="K294" s="171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29"/>
      <c r="G295" s="204"/>
      <c r="H295" s="4"/>
      <c r="I295" s="4"/>
      <c r="J295" s="4"/>
      <c r="K295" s="171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7" t="s">
        <v>132</v>
      </c>
      <c r="C296" s="196" t="s">
        <v>132</v>
      </c>
      <c r="D296" s="195" t="s">
        <v>132</v>
      </c>
      <c r="E296" s="191"/>
      <c r="F296" s="229"/>
      <c r="G296" s="204"/>
      <c r="H296" s="4"/>
      <c r="I296" s="4"/>
      <c r="J296" s="4"/>
      <c r="K296" s="171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7" t="s">
        <v>132</v>
      </c>
      <c r="C297" s="196" t="s">
        <v>132</v>
      </c>
      <c r="D297" s="195" t="s">
        <v>132</v>
      </c>
      <c r="E297" s="191"/>
      <c r="F297" s="229"/>
      <c r="G297" s="23"/>
      <c r="H297" s="4"/>
      <c r="I297" s="4"/>
      <c r="J297" s="4"/>
      <c r="K297" s="171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7" t="s">
        <v>132</v>
      </c>
      <c r="C298" s="196" t="s">
        <v>132</v>
      </c>
      <c r="D298" s="195" t="s">
        <v>132</v>
      </c>
      <c r="E298" s="191"/>
      <c r="F298" s="229"/>
      <c r="G298" s="23"/>
      <c r="H298" s="4"/>
      <c r="I298" s="4"/>
      <c r="J298" s="4"/>
      <c r="K298" s="171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7" t="s">
        <v>132</v>
      </c>
      <c r="C299" s="196" t="s">
        <v>132</v>
      </c>
      <c r="D299" s="195" t="s">
        <v>132</v>
      </c>
      <c r="E299" s="191"/>
      <c r="F299" s="229"/>
      <c r="G299" s="23"/>
      <c r="H299" s="4"/>
      <c r="I299" s="4"/>
      <c r="J299" s="4"/>
      <c r="K299" s="171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7" t="s">
        <v>132</v>
      </c>
      <c r="C300" s="196" t="s">
        <v>132</v>
      </c>
      <c r="D300" s="195" t="s">
        <v>132</v>
      </c>
      <c r="E300" s="191"/>
      <c r="F300" s="229"/>
      <c r="G300" s="23"/>
      <c r="H300" s="4"/>
      <c r="I300" s="4"/>
      <c r="J300" s="4"/>
      <c r="K300" s="171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7" t="s">
        <v>132</v>
      </c>
      <c r="C301" s="196" t="s">
        <v>132</v>
      </c>
      <c r="D301" s="195" t="s">
        <v>132</v>
      </c>
      <c r="E301" s="191"/>
      <c r="F301" s="229"/>
      <c r="G301" s="203"/>
      <c r="H301" s="4"/>
      <c r="I301" s="4"/>
      <c r="J301" s="4"/>
      <c r="K301" s="171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78">
        <f>'Données projet'!A270</f>
        <v>0</v>
      </c>
      <c r="B302" s="179">
        <f>'Données projet'!D270</f>
        <v>0</v>
      </c>
      <c r="C302" s="189"/>
      <c r="D302" s="180">
        <f>B302*C302</f>
        <v>0</v>
      </c>
      <c r="E302" s="191"/>
      <c r="F302" s="231"/>
      <c r="G302" s="203"/>
      <c r="H302" s="4"/>
      <c r="I302" s="4"/>
      <c r="J302" s="4"/>
      <c r="K302" s="171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78">
        <f>'Données projet'!A271</f>
        <v>0</v>
      </c>
      <c r="B303" s="179">
        <f>'Données projet'!D271</f>
        <v>0</v>
      </c>
      <c r="C303" s="189"/>
      <c r="D303" s="180">
        <f t="shared" ref="D303:D321" si="15">B303*C303</f>
        <v>0</v>
      </c>
      <c r="E303" s="191"/>
      <c r="F303" s="231"/>
      <c r="G303" s="203"/>
      <c r="H303" s="4"/>
      <c r="I303" s="4"/>
      <c r="J303" s="4"/>
      <c r="K303" s="171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78">
        <f>'Données projet'!A272</f>
        <v>0</v>
      </c>
      <c r="B304" s="179">
        <f>'Données projet'!D272</f>
        <v>0</v>
      </c>
      <c r="C304" s="189"/>
      <c r="D304" s="180">
        <f t="shared" si="15"/>
        <v>0</v>
      </c>
      <c r="E304" s="191"/>
      <c r="F304" s="231"/>
      <c r="G304" s="203"/>
      <c r="H304" s="4"/>
      <c r="I304" s="4"/>
      <c r="J304" s="4"/>
      <c r="K304" s="171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78">
        <f>'Données projet'!A273</f>
        <v>0</v>
      </c>
      <c r="B305" s="179">
        <f>'Données projet'!D273</f>
        <v>0</v>
      </c>
      <c r="C305" s="189"/>
      <c r="D305" s="180">
        <f t="shared" si="15"/>
        <v>0</v>
      </c>
      <c r="E305" s="191"/>
      <c r="F305" s="231"/>
      <c r="G305" s="203"/>
      <c r="H305" s="4"/>
      <c r="I305" s="4"/>
      <c r="J305" s="4"/>
      <c r="K305" s="171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78">
        <f>'Données projet'!A274</f>
        <v>0</v>
      </c>
      <c r="B306" s="179">
        <f>'Données projet'!D274</f>
        <v>0</v>
      </c>
      <c r="C306" s="189"/>
      <c r="D306" s="180">
        <f t="shared" si="15"/>
        <v>0</v>
      </c>
      <c r="E306" s="191"/>
      <c r="F306" s="231"/>
      <c r="G306" s="203"/>
      <c r="H306" s="4"/>
      <c r="I306" s="4"/>
      <c r="J306" s="4"/>
      <c r="K306" s="171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78">
        <f>'Données projet'!A275</f>
        <v>0</v>
      </c>
      <c r="B307" s="179">
        <f>'Données projet'!D275</f>
        <v>0</v>
      </c>
      <c r="C307" s="189"/>
      <c r="D307" s="180">
        <f t="shared" si="15"/>
        <v>0</v>
      </c>
      <c r="E307" s="191"/>
      <c r="F307" s="231"/>
      <c r="G307" s="203"/>
      <c r="H307" s="4"/>
      <c r="I307" s="4"/>
      <c r="J307" s="4"/>
      <c r="K307" s="171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78">
        <f>'Données projet'!A276</f>
        <v>0</v>
      </c>
      <c r="B308" s="179">
        <f>'Données projet'!D276</f>
        <v>0</v>
      </c>
      <c r="C308" s="189"/>
      <c r="D308" s="180">
        <f t="shared" si="15"/>
        <v>0</v>
      </c>
      <c r="E308" s="191"/>
      <c r="F308" s="231"/>
      <c r="G308" s="201"/>
      <c r="H308" s="4"/>
      <c r="I308" s="4"/>
      <c r="J308" s="4"/>
      <c r="K308" s="171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78">
        <f>'Données projet'!A277</f>
        <v>0</v>
      </c>
      <c r="B309" s="179">
        <f>'Données projet'!D277</f>
        <v>0</v>
      </c>
      <c r="C309" s="189"/>
      <c r="D309" s="180">
        <f t="shared" si="15"/>
        <v>0</v>
      </c>
      <c r="E309" s="191"/>
      <c r="F309" s="231"/>
      <c r="G309" s="201"/>
      <c r="H309" s="4"/>
      <c r="I309" s="4"/>
      <c r="J309" s="4"/>
      <c r="K309" s="171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78">
        <f>'Données projet'!A278</f>
        <v>0</v>
      </c>
      <c r="B310" s="179">
        <f>'Données projet'!D278</f>
        <v>0</v>
      </c>
      <c r="C310" s="189"/>
      <c r="D310" s="180">
        <f t="shared" si="15"/>
        <v>0</v>
      </c>
      <c r="E310" s="191"/>
      <c r="F310" s="231"/>
      <c r="G310" s="201"/>
      <c r="H310" s="4"/>
      <c r="I310" s="4"/>
      <c r="J310" s="4"/>
      <c r="K310" s="171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78">
        <f>'Données projet'!A279</f>
        <v>0</v>
      </c>
      <c r="B311" s="179">
        <f>'Données projet'!D279</f>
        <v>0</v>
      </c>
      <c r="C311" s="189"/>
      <c r="D311" s="180">
        <f t="shared" si="15"/>
        <v>0</v>
      </c>
      <c r="E311" s="191"/>
      <c r="F311" s="231"/>
      <c r="G311" s="201"/>
      <c r="H311" s="4"/>
      <c r="I311" s="4"/>
      <c r="J311" s="4"/>
      <c r="K311" s="171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78">
        <f>'Données projet'!A280</f>
        <v>0</v>
      </c>
      <c r="B312" s="179">
        <f>'Données projet'!D280</f>
        <v>0</v>
      </c>
      <c r="C312" s="189"/>
      <c r="D312" s="180">
        <f t="shared" si="15"/>
        <v>0</v>
      </c>
      <c r="E312" s="191"/>
      <c r="F312" s="231"/>
      <c r="G312" s="201"/>
      <c r="H312" s="4"/>
      <c r="I312" s="4"/>
      <c r="J312" s="4"/>
      <c r="K312" s="171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78">
        <f>'Données projet'!A281</f>
        <v>0</v>
      </c>
      <c r="B313" s="179">
        <f>'Données projet'!D281</f>
        <v>0</v>
      </c>
      <c r="C313" s="189"/>
      <c r="D313" s="180">
        <f t="shared" si="15"/>
        <v>0</v>
      </c>
      <c r="E313" s="191"/>
      <c r="F313" s="231"/>
      <c r="G313" s="201"/>
      <c r="H313" s="4"/>
      <c r="I313" s="4"/>
      <c r="J313" s="4"/>
      <c r="K313" s="171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78">
        <f>'Données projet'!A282</f>
        <v>0</v>
      </c>
      <c r="B314" s="179">
        <f>'Données projet'!D282</f>
        <v>0</v>
      </c>
      <c r="C314" s="189"/>
      <c r="D314" s="180">
        <f t="shared" si="15"/>
        <v>0</v>
      </c>
      <c r="E314" s="191"/>
      <c r="F314" s="231"/>
      <c r="G314" s="201"/>
      <c r="H314" s="4"/>
      <c r="I314" s="4"/>
      <c r="J314" s="4"/>
      <c r="K314" s="171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78">
        <f>'Données projet'!A283</f>
        <v>0</v>
      </c>
      <c r="B315" s="179">
        <f>'Données projet'!D283</f>
        <v>0</v>
      </c>
      <c r="C315" s="189"/>
      <c r="D315" s="180">
        <f t="shared" si="15"/>
        <v>0</v>
      </c>
      <c r="E315" s="191"/>
      <c r="F315" s="231"/>
      <c r="G315" s="201"/>
      <c r="H315" s="4"/>
      <c r="I315" s="4"/>
      <c r="J315" s="4"/>
      <c r="K315" s="171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78">
        <f>'Données projet'!A284</f>
        <v>0</v>
      </c>
      <c r="B316" s="179">
        <f>'Données projet'!D284</f>
        <v>0</v>
      </c>
      <c r="C316" s="189"/>
      <c r="D316" s="180">
        <f t="shared" si="15"/>
        <v>0</v>
      </c>
      <c r="E316" s="191"/>
      <c r="F316" s="231"/>
      <c r="G316" s="201"/>
      <c r="H316" s="4"/>
      <c r="I316" s="4"/>
      <c r="J316" s="4"/>
      <c r="K316" s="171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78">
        <f>'Données projet'!A285</f>
        <v>0</v>
      </c>
      <c r="B317" s="179">
        <f>'Données projet'!D285</f>
        <v>0</v>
      </c>
      <c r="C317" s="189"/>
      <c r="D317" s="180">
        <f t="shared" si="15"/>
        <v>0</v>
      </c>
      <c r="E317" s="191"/>
      <c r="F317" s="231"/>
      <c r="G317" s="201"/>
      <c r="H317" s="4"/>
      <c r="I317" s="4"/>
      <c r="J317" s="4"/>
      <c r="K317" s="171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78">
        <f>'Données projet'!A286</f>
        <v>0</v>
      </c>
      <c r="B318" s="179">
        <f>'Données projet'!D286</f>
        <v>0</v>
      </c>
      <c r="C318" s="189"/>
      <c r="D318" s="180">
        <f t="shared" si="15"/>
        <v>0</v>
      </c>
      <c r="E318" s="191"/>
      <c r="F318" s="231"/>
      <c r="G318" s="201"/>
      <c r="H318" s="4"/>
      <c r="I318" s="4"/>
      <c r="J318" s="4"/>
      <c r="K318" s="171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78">
        <f>'Données projet'!A287</f>
        <v>0</v>
      </c>
      <c r="B319" s="179">
        <f>'Données projet'!D287</f>
        <v>0</v>
      </c>
      <c r="C319" s="189"/>
      <c r="D319" s="180">
        <f t="shared" si="15"/>
        <v>0</v>
      </c>
      <c r="E319" s="191"/>
      <c r="F319" s="231"/>
      <c r="G319" s="201"/>
      <c r="H319" s="4"/>
      <c r="I319" s="4"/>
      <c r="J319" s="4"/>
      <c r="K319" s="171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78">
        <f>'Données projet'!A288</f>
        <v>0</v>
      </c>
      <c r="B320" s="179">
        <f>'Données projet'!D288</f>
        <v>0</v>
      </c>
      <c r="C320" s="189"/>
      <c r="D320" s="180">
        <f t="shared" si="15"/>
        <v>0</v>
      </c>
      <c r="E320" s="191"/>
      <c r="F320" s="231"/>
      <c r="G320" s="201"/>
      <c r="H320" s="4"/>
      <c r="I320" s="4"/>
      <c r="J320" s="4"/>
      <c r="K320" s="171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78">
        <f>'Données projet'!A289</f>
        <v>0</v>
      </c>
      <c r="B321" s="179">
        <f>'Données projet'!D289</f>
        <v>0</v>
      </c>
      <c r="C321" s="194"/>
      <c r="D321" s="180">
        <f t="shared" si="15"/>
        <v>0</v>
      </c>
      <c r="E321" s="191"/>
      <c r="F321" s="231"/>
      <c r="G321" s="201"/>
      <c r="H321" s="4"/>
      <c r="I321" s="4"/>
      <c r="J321" s="4"/>
      <c r="K321" s="171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1"/>
      <c r="H322" s="4"/>
      <c r="I322" s="4"/>
      <c r="J322" s="4"/>
      <c r="K322" s="171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1"/>
      <c r="H323" s="4"/>
      <c r="I323" s="4"/>
      <c r="J323" s="4"/>
      <c r="K323" s="171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1"/>
      <c r="H324" s="4"/>
      <c r="I324" s="4"/>
      <c r="J324" s="4"/>
      <c r="K324" s="171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1"/>
      <c r="H325" s="4"/>
      <c r="I325" s="4"/>
      <c r="J325" s="4"/>
      <c r="K325" s="171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1"/>
      <c r="H326" s="4"/>
      <c r="I326" s="4"/>
      <c r="J326" s="4"/>
      <c r="K326" s="171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1"/>
      <c r="H327" s="4"/>
      <c r="I327" s="4"/>
      <c r="J327" s="4"/>
      <c r="K327" s="171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Clément GARIN</cp:lastModifiedBy>
  <dcterms:created xsi:type="dcterms:W3CDTF">2021-02-01T08:22:39Z</dcterms:created>
  <dcterms:modified xsi:type="dcterms:W3CDTF">2024-08-08T14:56:59Z</dcterms:modified>
</cp:coreProperties>
</file>