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V_Reboisement_Sainte-Hélène (33)\Dossier d_instruction\"/>
    </mc:Choice>
  </mc:AlternateContent>
  <xr:revisionPtr revIDLastSave="0" documentId="13_ncr:1_{F59281A2-C3C3-4551-B4FC-3AD23B680F25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<sst xmlns="http://schemas.openxmlformats.org/spreadsheetml/2006/main" count="1177" uniqueCount="328">
  <si>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</si>
  <si>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</si>
  <si>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</si>
  <si>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</si>
  <si>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</si>
  <si>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</si>
  <si>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</si>
  <si>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</si>
  <si>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</si>
  <si>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</si>
  <si>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</si>
  <si>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</si>
  <si>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</si>
  <si>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</si>
  <si>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</si>
  <si>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</si>
  <si>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</si>
  <si>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</si>
  <si>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</si>
  <si>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</si>
  <si>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</si>
  <si>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</si>
  <si>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</si>
  <si>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</si>
  <si>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</si>
  <si>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</si>
  <si>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</si>
  <si>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</si>
  <si>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</si>
  <si>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</si>
  <si>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</si>
  <si>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</si>
  <si>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</si>
  <si>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</si>
  <si>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</si>
  <si>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</si>
  <si>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</si>
  <si>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</si>
  <si>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</si>
  <si>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</si>
  <si>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</si>
  <si>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</si>
  <si>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</si>
  <si>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</si>
  <si>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</si>
  <si>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</si>
  <si>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</si>
  <si>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</si>
  <si>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</si>
  <si>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</si>
  <si>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</si>
  <si>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</si>
  <si>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</si>
  <si>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</si>
  <si>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</si>
  <si>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</si>
  <si>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</si>
  <si>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</si>
  <si>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</si>
  <si>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</si>
  <si>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</si>
  <si>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</si>
  <si>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</si>
  <si>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</si>
  <si>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</si>
  <si>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</si>
  <si>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</si>
  <si>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</si>
  <si>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</si>
  <si>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</si>
  <si>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</si>
  <si>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</si>
  <si>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</si>
  <si>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</si>
  <si>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</si>
  <si>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</si>
  <si>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</si>
  <si>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</si>
  <si>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</si>
  <si>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</si>
  <si>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</si>
  <si>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</si>
  <si>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</si>
  <si>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</si>
  <si>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</si>
  <si>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</si>
  <si>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</si>
  <si>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</si>
  <si>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</si>
  <si>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</si>
  <si>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</si>
  <si>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</si>
  <si>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</si>
  <si>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</si>
  <si>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</si>
  <si>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</si>
  <si>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</si>
  <si>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</si>
  <si>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</si>
  <si>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</si>
  <si>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</si>
  <si>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</si>
  <si>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</si>
  <si>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</si>
  <si>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</si>
  <si>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</si>
  <si>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</si>
  <si>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</si>
  <si>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</si>
  <si>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</si>
  <si>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</si>
  <si>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</si>
  <si>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</si>
  <si>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</si>
  <si>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</si>
  <si>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</si>
  <si>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</si>
  <si>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</si>
  <si>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</si>
  <si>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</si>
  <si>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</si>
  <si>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</si>
  <si>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</si>
  <si>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</si>
  <si>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</si>
  <si>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</si>
  <si>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</si>
  <si>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</si>
  <si>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</si>
  <si>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</si>
  <si>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</si>
  <si>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</si>
  <si>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</si>
  <si>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</si>
  <si>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</si>
  <si>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</si>
  <si>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</si>
  <si>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</si>
  <si>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</si>
  <si>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</si>
  <si>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</si>
  <si>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</si>
  <si>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</si>
  <si>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</si>
  <si>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</si>
  <si>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</si>
  <si>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</si>
  <si>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</si>
  <si>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</si>
  <si>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</si>
  <si>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</si>
  <si>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</si>
  <si>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</si>
  <si>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</si>
  <si>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</si>
  <si>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</si>
  <si>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</si>
  <si>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</si>
  <si>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</si>
  <si>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</si>
  <si>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</si>
  <si>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</si>
  <si>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</si>
  <si>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</si>
  <si>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</si>
  <si>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</si>
  <si>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</si>
  <si>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</si>
  <si>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</si>
  <si>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</si>
  <si>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</si>
  <si>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</si>
  <si>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</si>
  <si>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</si>
  <si>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</si>
  <si>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</si>
  <si>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</si>
  <si>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</si>
  <si>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</si>
  <si>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</si>
  <si>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</si>
  <si>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</si>
  <si>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</si>
  <si>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</si>
  <si>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</si>
  <si>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</si>
  <si>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</si>
  <si>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</si>
  <si>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</si>
  <si>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</si>
  <si>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</si>
  <si>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</si>
  <si>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</si>
  <si>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</si>
  <si>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</si>
  <si>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</si>
  <si>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</si>
  <si>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</si>
  <si>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</si>
  <si>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</si>
  <si>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</si>
  <si>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</si>
  <si>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</si>
  <si>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</si>
  <si>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</si>
  <si>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</si>
  <si>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</si>
  <si>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</si>
  <si>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</si>
  <si>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</si>
  <si>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</si>
  <si>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</si>
  <si>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</si>
  <si>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</si>
  <si>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</si>
  <si>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</si>
  <si>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</si>
  <si>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</si>
  <si>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</si>
  <si>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</si>
  <si>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</si>
  <si>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</si>
  <si>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</si>
  <si>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</si>
  <si>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</si>
  <si>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</si>
  <si>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</si>
  <si>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</si>
  <si>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</si>
  <si>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</si>
  <si>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</si>
  <si>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</si>
  <si>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</si>
  <si>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</si>
  <si>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</si>
  <si>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</si>
  <si>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</si>
  <si>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</si>
  <si>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</si>
  <si>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</si>
  <si>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</si>
  <si>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</si>
  <si>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</si>
  <si>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</si>
  <si>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</si>
  <si>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</si>
  <si>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</si>
  <si>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</si>
  <si>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</si>
  <si>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</si>
  <si>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</si>
  <si>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</si>
  <si>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</si>
  <si>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</si>
  <si>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</si>
  <si>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</si>
  <si>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</si>
  <si>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</si>
  <si>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</si>
  <si>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</si>
  <si>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</si>
  <si>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</si>
  <si>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</si>
  <si>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</si>
  <si>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</si>
  <si>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</si>
  <si>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</si>
  <si>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</si>
  <si>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</si>
  <si>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</si>
  <si>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</si>
  <si>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</si>
  <si>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</si>
  <si>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</si>
  <si>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</si>
  <si>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</si>
  <si>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</si>
  <si>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</si>
  <si>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</si>
  <si>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</si>
  <si>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</si>
  <si>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</si>
  <si>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</si>
  <si>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</si>
  <si>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</si>
  <si>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</si>
  <si>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</si>
  <si>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</si>
  <si>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</si>
  <si>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</si>
  <si>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</si>
  <si>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</si>
  <si>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</si>
  <si>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</si>
  <si>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</si>
  <si>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</si>
  <si>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</si>
  <si>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</si>
  <si>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</si>
  <si>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</si>
  <si>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</si>
  <si>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</si>
  <si>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</si>
  <si>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</si>
  <si>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</si>
  <si>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</si>
  <si>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</si>
  <si>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</si>
  <si>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</si>
  <si>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</si>
  <si>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</si>
  <si>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</si>
  <si>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</si>
  <si>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</si>
  <si>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</si>
  <si>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</si>
  <si>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</si>
  <si>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</si>
  <si>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</si>
  <si>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</si>
  <si>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</si>
  <si>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</si>
  <si>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</si>
  <si>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</si>
  <si>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</si>
  <si>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</si>
  <si>
    <t>Classe 3/5</t>
  </si>
  <si>
    <t>Classe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</si>
</sst>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143.30754256422117</c:v>
                </c:pt>
                <c:pt idx="27">
                  <c:v>153.90233005028915</c:v>
                </c:pt>
                <c:pt idx="28">
                  <c:v>164.47977321830038</c:v>
                </c:pt>
                <c:pt idx="29">
                  <c:v>175.04114578206176</c:v>
                </c:pt>
                <c:pt idx="30">
                  <c:v>185.58755497750235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206.63925413557965</c:v>
                </c:pt>
                <c:pt idx="37">
                  <c:v>217.14616554866117</c:v>
                </c:pt>
                <c:pt idx="38">
                  <c:v>227.64138943591354</c:v>
                </c:pt>
                <c:pt idx="39">
                  <c:v>238.12554101232834</c:v>
                </c:pt>
                <c:pt idx="40">
                  <c:v>248.59917684690132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263.94253392620141</c:v>
                </c:pt>
                <c:pt idx="47">
                  <c:v>274.04412300873832</c:v>
                </c:pt>
                <c:pt idx="48">
                  <c:v>284.13734601040039</c:v>
                </c:pt>
                <c:pt idx="49">
                  <c:v>294.22254221033842</c:v>
                </c:pt>
                <c:pt idx="50">
                  <c:v>304.30002571338792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311.94004796897667</c:v>
                </c:pt>
                <c:pt idx="57">
                  <c:v>321.3107774053031</c:v>
                </c:pt>
                <c:pt idx="58">
                  <c:v>330.67546236446486</c:v>
                </c:pt>
                <c:pt idx="59">
                  <c:v>340.03429827286561</c:v>
                </c:pt>
                <c:pt idx="60">
                  <c:v>349.38746891454963</c:v>
                </c:pt>
                <c:pt idx="61">
                  <c:v>333.79571492319104</c:v>
                </c:pt>
                <c:pt idx="62">
                  <c:v>342.45973119739205</c:v>
                </c:pt>
                <c:pt idx="63">
                  <c:v>351.11892985232788</c:v>
                </c:pt>
                <c:pt idx="64">
                  <c:v>359.77344653568497</c:v>
                </c:pt>
                <c:pt idx="65">
                  <c:v>368.42340983207083</c:v>
                </c:pt>
                <c:pt idx="66">
                  <c:v>352.50396372745308</c:v>
                </c:pt>
                <c:pt idx="67">
                  <c:v>360.81168008565851</c:v>
                </c:pt>
                <c:pt idx="68">
                  <c:v>369.1152138880347</c:v>
                </c:pt>
                <c:pt idx="69">
                  <c:v>377.41467255842127</c:v>
                </c:pt>
                <c:pt idx="70">
                  <c:v>385.71015840744553</c:v>
                </c:pt>
                <c:pt idx="71">
                  <c:v>369.46110530100697</c:v>
                </c:pt>
                <c:pt idx="72">
                  <c:v>377.41467255842127</c:v>
                </c:pt>
                <c:pt idx="73">
                  <c:v>385.36459119538364</c:v>
                </c:pt>
                <c:pt idx="74">
                  <c:v>393.31094714884665</c:v>
                </c:pt>
                <c:pt idx="75">
                  <c:v>401.25382259763973</c:v>
                </c:pt>
                <c:pt idx="76">
                  <c:v>384.32784912657735</c:v>
                </c:pt>
                <c:pt idx="77">
                  <c:v>391.58377731754808</c:v>
                </c:pt>
                <c:pt idx="78">
                  <c:v>398.83678939579448</c:v>
                </c:pt>
                <c:pt idx="79">
                  <c:v>406.08694591135969</c:v>
                </c:pt>
                <c:pt idx="80">
                  <c:v>413.33430507425345</c:v>
                </c:pt>
                <c:pt idx="81">
                  <c:v>397.80082102983084</c:v>
                </c:pt>
                <c:pt idx="82">
                  <c:v>404.7061811363821</c:v>
                </c:pt>
                <c:pt idx="83">
                  <c:v>411.60899407848501</c:v>
                </c:pt>
                <c:pt idx="84">
                  <c:v>418.50930863032568</c:v>
                </c:pt>
                <c:pt idx="85">
                  <c:v>425.40717182534792</c:v>
                </c:pt>
                <c:pt idx="86">
                  <c:v>409.19329619958626</c:v>
                </c:pt>
                <c:pt idx="87">
                  <c:v>415.40447321133956</c:v>
                </c:pt>
                <c:pt idx="88">
                  <c:v>421.61364767176156</c:v>
                </c:pt>
                <c:pt idx="89">
                  <c:v>427.82085325710801</c:v>
                </c:pt>
                <c:pt idx="90">
                  <c:v>434.02612258593189</c:v>
                </c:pt>
                <c:pt idx="91">
                  <c:v>413.33430507425345</c:v>
                </c:pt>
                <c:pt idx="92">
                  <c:v>413.33430507425345</c:v>
                </c:pt>
                <c:pt idx="93">
                  <c:v>413.33430507425345</c:v>
                </c:pt>
                <c:pt idx="94">
                  <c:v>413.33430507425345</c:v>
                </c:pt>
                <c:pt idx="95">
                  <c:v>413.33430507425345</c:v>
                </c:pt>
                <c:pt idx="96">
                  <c:v>413.33430507425345</c:v>
                </c:pt>
                <c:pt idx="97">
                  <c:v>413.33430507425345</c:v>
                </c:pt>
                <c:pt idx="98">
                  <c:v>413.33430507425345</c:v>
                </c:pt>
                <c:pt idx="99">
                  <c:v>413.33430507425345</c:v>
                </c:pt>
                <c:pt idx="100">
                  <c:v>413.33430507425345</c:v>
                </c:pt>
                <c:pt idx="101">
                  <c:v>413.33430507425345</c:v>
                </c:pt>
                <c:pt idx="102">
                  <c:v>413.33430507425345</c:v>
                </c:pt>
                <c:pt idx="103">
                  <c:v>413.33430507425345</c:v>
                </c:pt>
                <c:pt idx="104">
                  <c:v>413.33430507425345</c:v>
                </c:pt>
                <c:pt idx="105">
                  <c:v>413.33430507425345</c:v>
                </c:pt>
                <c:pt idx="106">
                  <c:v>413.33430507425345</c:v>
                </c:pt>
                <c:pt idx="107">
                  <c:v>413.33430507425345</c:v>
                </c:pt>
                <c:pt idx="108">
                  <c:v>413.33430507425345</c:v>
                </c:pt>
                <c:pt idx="109">
                  <c:v>413.33430507425345</c:v>
                </c:pt>
                <c:pt idx="110">
                  <c:v>413.33430507425345</c:v>
                </c:pt>
                <c:pt idx="111">
                  <c:v>413.33430507425345</c:v>
                </c:pt>
                <c:pt idx="112">
                  <c:v>413.33430507425345</c:v>
                </c:pt>
                <c:pt idx="113">
                  <c:v>413.33430507425345</c:v>
                </c:pt>
                <c:pt idx="114">
                  <c:v>413.33430507425345</c:v>
                </c:pt>
                <c:pt idx="115">
                  <c:v>413.33430507425345</c:v>
                </c:pt>
                <c:pt idx="116">
                  <c:v>413.33430507425345</c:v>
                </c:pt>
                <c:pt idx="117">
                  <c:v>413.33430507425345</c:v>
                </c:pt>
                <c:pt idx="118">
                  <c:v>413.33430507425345</c:v>
                </c:pt>
                <c:pt idx="119">
                  <c:v>413.33430507425345</c:v>
                </c:pt>
                <c:pt idx="120">
                  <c:v>413.33430507425345</c:v>
                </c:pt>
                <c:pt idx="121">
                  <c:v>413.33430507425345</c:v>
                </c:pt>
                <c:pt idx="122">
                  <c:v>413.33430507425345</c:v>
                </c:pt>
                <c:pt idx="123">
                  <c:v>413.33430507425345</c:v>
                </c:pt>
                <c:pt idx="124">
                  <c:v>413.33430507425345</c:v>
                </c:pt>
                <c:pt idx="125">
                  <c:v>413.33430507425345</c:v>
                </c:pt>
                <c:pt idx="126">
                  <c:v>413.33430507425345</c:v>
                </c:pt>
                <c:pt idx="127">
                  <c:v>413.33430507425345</c:v>
                </c:pt>
                <c:pt idx="128">
                  <c:v>413.33430507425345</c:v>
                </c:pt>
                <c:pt idx="129">
                  <c:v>413.33430507425345</c:v>
                </c:pt>
                <c:pt idx="130">
                  <c:v>413.33430507425345</c:v>
                </c:pt>
                <c:pt idx="131">
                  <c:v>413.33430507425345</c:v>
                </c:pt>
                <c:pt idx="132">
                  <c:v>413.33430507425345</c:v>
                </c:pt>
                <c:pt idx="133">
                  <c:v>413.33430507425345</c:v>
                </c:pt>
                <c:pt idx="134">
                  <c:v>413.33430507425345</c:v>
                </c:pt>
                <c:pt idx="135">
                  <c:v>413.33430507425345</c:v>
                </c:pt>
                <c:pt idx="136">
                  <c:v>413.33430507425345</c:v>
                </c:pt>
                <c:pt idx="137">
                  <c:v>413.33430507425345</c:v>
                </c:pt>
                <c:pt idx="138">
                  <c:v>413.33430507425345</c:v>
                </c:pt>
                <c:pt idx="139">
                  <c:v>413.33430507425345</c:v>
                </c:pt>
                <c:pt idx="140">
                  <c:v>413.33430507425345</c:v>
                </c:pt>
                <c:pt idx="141">
                  <c:v>413.33430507425345</c:v>
                </c:pt>
                <c:pt idx="142">
                  <c:v>413.33430507425345</c:v>
                </c:pt>
                <c:pt idx="143">
                  <c:v>413.33430507425345</c:v>
                </c:pt>
                <c:pt idx="144">
                  <c:v>413.33430507425345</c:v>
                </c:pt>
                <c:pt idx="145">
                  <c:v>413.33430507425345</c:v>
                </c:pt>
                <c:pt idx="146">
                  <c:v>413.33430507425345</c:v>
                </c:pt>
                <c:pt idx="147">
                  <c:v>413.33430507425345</c:v>
                </c:pt>
                <c:pt idx="148">
                  <c:v>413.33430507425345</c:v>
                </c:pt>
                <c:pt idx="149">
                  <c:v>413.33430507425345</c:v>
                </c:pt>
                <c:pt idx="150">
                  <c:v>413.33430507425345</c:v>
                </c:pt>
                <c:pt idx="151">
                  <c:v>413.33430507425345</c:v>
                </c:pt>
                <c:pt idx="152">
                  <c:v>413.33430507425345</c:v>
                </c:pt>
                <c:pt idx="153">
                  <c:v>413.33430507425345</c:v>
                </c:pt>
                <c:pt idx="154">
                  <c:v>413.33430507425345</c:v>
                </c:pt>
                <c:pt idx="155">
                  <c:v>413.33430507425345</c:v>
                </c:pt>
                <c:pt idx="156">
                  <c:v>413.33430507425345</c:v>
                </c:pt>
                <c:pt idx="157">
                  <c:v>413.33430507425345</c:v>
                </c:pt>
                <c:pt idx="158">
                  <c:v>413.33430507425345</c:v>
                </c:pt>
                <c:pt idx="159">
                  <c:v>413.33430507425345</c:v>
                </c:pt>
                <c:pt idx="160">
                  <c:v>413.33430507425345</c:v>
                </c:pt>
                <c:pt idx="161">
                  <c:v>413.33430507425345</c:v>
                </c:pt>
                <c:pt idx="162">
                  <c:v>413.33430507425345</c:v>
                </c:pt>
                <c:pt idx="163">
                  <c:v>413.33430507425345</c:v>
                </c:pt>
                <c:pt idx="164">
                  <c:v>413.33430507425345</c:v>
                </c:pt>
                <c:pt idx="165">
                  <c:v>413.33430507425345</c:v>
                </c:pt>
                <c:pt idx="166">
                  <c:v>413.33430507425345</c:v>
                </c:pt>
                <c:pt idx="167">
                  <c:v>413.33430507425345</c:v>
                </c:pt>
                <c:pt idx="168">
                  <c:v>413.33430507425345</c:v>
                </c:pt>
                <c:pt idx="169">
                  <c:v>413.33430507425345</c:v>
                </c:pt>
                <c:pt idx="170">
                  <c:v>413.33430507425345</c:v>
                </c:pt>
                <c:pt idx="171">
                  <c:v>413.33430507425345</c:v>
                </c:pt>
                <c:pt idx="172">
                  <c:v>413.33430507425345</c:v>
                </c:pt>
                <c:pt idx="173">
                  <c:v>413.33430507425345</c:v>
                </c:pt>
                <c:pt idx="174">
                  <c:v>413.33430507425345</c:v>
                </c:pt>
                <c:pt idx="175">
                  <c:v>413.33430507425345</c:v>
                </c:pt>
                <c:pt idx="176">
                  <c:v>413.33430507425345</c:v>
                </c:pt>
                <c:pt idx="177">
                  <c:v>413.33430507425345</c:v>
                </c:pt>
                <c:pt idx="178">
                  <c:v>413.33430507425345</c:v>
                </c:pt>
                <c:pt idx="179">
                  <c:v>413.33430507425345</c:v>
                </c:pt>
                <c:pt idx="180">
                  <c:v>413.33430507425345</c:v>
                </c:pt>
                <c:pt idx="181">
                  <c:v>413.33430507425345</c:v>
                </c:pt>
                <c:pt idx="182">
                  <c:v>413.33430507425345</c:v>
                </c:pt>
                <c:pt idx="183">
                  <c:v>413.33430507425345</c:v>
                </c:pt>
                <c:pt idx="184">
                  <c:v>413.33430507425345</c:v>
                </c:pt>
                <c:pt idx="185">
                  <c:v>413.33430507425345</c:v>
                </c:pt>
                <c:pt idx="186">
                  <c:v>413.33430507425345</c:v>
                </c:pt>
                <c:pt idx="187">
                  <c:v>413.33430507425345</c:v>
                </c:pt>
                <c:pt idx="188">
                  <c:v>413.33430507425345</c:v>
                </c:pt>
                <c:pt idx="189">
                  <c:v>413.33430507425345</c:v>
                </c:pt>
                <c:pt idx="190">
                  <c:v>413.33430507425345</c:v>
                </c:pt>
                <c:pt idx="191">
                  <c:v>413.33430507425345</c:v>
                </c:pt>
                <c:pt idx="192">
                  <c:v>413.33430507425345</c:v>
                </c:pt>
                <c:pt idx="193">
                  <c:v>413.33430507425345</c:v>
                </c:pt>
                <c:pt idx="194">
                  <c:v>413.33430507425345</c:v>
                </c:pt>
                <c:pt idx="195">
                  <c:v>413.33430507425345</c:v>
                </c:pt>
                <c:pt idx="196">
                  <c:v>413.33430507425345</c:v>
                </c:pt>
                <c:pt idx="197">
                  <c:v>413.33430507425345</c:v>
                </c:pt>
                <c:pt idx="198">
                  <c:v>413.33430507425345</c:v>
                </c:pt>
                <c:pt idx="199">
                  <c:v>413.33430507425345</c:v>
                </c:pt>
                <c:pt idx="200">
                  <c:v>413.33430507425345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4.3572084749608502</c:v>
                </c:pt>
                <c:pt idx="2">
                  <c:v>8.5106858520193658</c:v>
                </c:pt>
                <c:pt idx="3">
                  <c:v>16.645493251904156</c:v>
                </c:pt>
                <c:pt idx="4">
                  <c:v>24.65891077966748</c:v>
                </c:pt>
                <c:pt idx="5">
                  <c:v>40.48236678497836</c:v>
                </c:pt>
                <c:pt idx="6">
                  <c:v>60.028460935167708</c:v>
                </c:pt>
                <c:pt idx="7">
                  <c:v>79.406411126373186</c:v>
                </c:pt>
                <c:pt idx="8">
                  <c:v>106.33917221071198</c:v>
                </c:pt>
                <c:pt idx="9">
                  <c:v>136.91451988778243</c:v>
                </c:pt>
                <c:pt idx="10">
                  <c:v>155.93775882820458</c:v>
                </c:pt>
                <c:pt idx="11">
                  <c:v>193.82559249840719</c:v>
                </c:pt>
                <c:pt idx="12">
                  <c:v>231.54060536306486</c:v>
                </c:pt>
                <c:pt idx="13">
                  <c:v>250.34379664975143</c:v>
                </c:pt>
                <c:pt idx="14">
                  <c:v>278.48936400091276</c:v>
                </c:pt>
                <c:pt idx="15">
                  <c:v>306.57110217476514</c:v>
                </c:pt>
                <c:pt idx="16">
                  <c:v>330.86216234726913</c:v>
                </c:pt>
                <c:pt idx="17">
                  <c:v>353.24970174806896</c:v>
                </c:pt>
                <c:pt idx="18">
                  <c:v>371.88214774985954</c:v>
                </c:pt>
                <c:pt idx="19">
                  <c:v>390.49424676672487</c:v>
                </c:pt>
                <c:pt idx="20">
                  <c:v>407.22865549260911</c:v>
                </c:pt>
                <c:pt idx="21">
                  <c:v>407.22865549260911</c:v>
                </c:pt>
                <c:pt idx="22">
                  <c:v>407.22865549260911</c:v>
                </c:pt>
                <c:pt idx="23">
                  <c:v>407.22865549260911</c:v>
                </c:pt>
                <c:pt idx="24">
                  <c:v>407.22865549260911</c:v>
                </c:pt>
                <c:pt idx="25">
                  <c:v>407.22865549260911</c:v>
                </c:pt>
                <c:pt idx="26">
                  <c:v>407.22865549260911</c:v>
                </c:pt>
                <c:pt idx="27">
                  <c:v>407.22865549260911</c:v>
                </c:pt>
                <c:pt idx="28">
                  <c:v>407.22865549260911</c:v>
                </c:pt>
                <c:pt idx="29">
                  <c:v>407.22865549260911</c:v>
                </c:pt>
                <c:pt idx="30">
                  <c:v>407.22865549260911</c:v>
                </c:pt>
                <c:pt idx="31">
                  <c:v>407.22865549260911</c:v>
                </c:pt>
                <c:pt idx="32">
                  <c:v>407.22865549260911</c:v>
                </c:pt>
                <c:pt idx="33">
                  <c:v>407.22865549260911</c:v>
                </c:pt>
                <c:pt idx="34">
                  <c:v>407.22865549260911</c:v>
                </c:pt>
                <c:pt idx="35">
                  <c:v>407.22865549260911</c:v>
                </c:pt>
                <c:pt idx="36">
                  <c:v>407.22865549260911</c:v>
                </c:pt>
                <c:pt idx="37">
                  <c:v>407.22865549260911</c:v>
                </c:pt>
                <c:pt idx="38">
                  <c:v>407.22865549260911</c:v>
                </c:pt>
                <c:pt idx="39">
                  <c:v>407.22865549260911</c:v>
                </c:pt>
                <c:pt idx="40">
                  <c:v>407.22865549260911</c:v>
                </c:pt>
                <c:pt idx="41">
                  <c:v>407.22865549260911</c:v>
                </c:pt>
                <c:pt idx="42">
                  <c:v>407.22865549260911</c:v>
                </c:pt>
                <c:pt idx="43">
                  <c:v>407.22865549260911</c:v>
                </c:pt>
                <c:pt idx="44">
                  <c:v>407.22865549260911</c:v>
                </c:pt>
                <c:pt idx="45">
                  <c:v>407.22865549260911</c:v>
                </c:pt>
                <c:pt idx="46">
                  <c:v>407.22865549260911</c:v>
                </c:pt>
                <c:pt idx="47">
                  <c:v>407.22865549260911</c:v>
                </c:pt>
                <c:pt idx="48">
                  <c:v>407.22865549260911</c:v>
                </c:pt>
                <c:pt idx="49">
                  <c:v>407.22865549260911</c:v>
                </c:pt>
                <c:pt idx="50">
                  <c:v>407.22865549260911</c:v>
                </c:pt>
                <c:pt idx="51">
                  <c:v>407.22865549260911</c:v>
                </c:pt>
                <c:pt idx="52">
                  <c:v>407.22865549260911</c:v>
                </c:pt>
                <c:pt idx="53">
                  <c:v>407.22865549260911</c:v>
                </c:pt>
                <c:pt idx="54">
                  <c:v>407.22865549260911</c:v>
                </c:pt>
                <c:pt idx="55">
                  <c:v>407.22865549260911</c:v>
                </c:pt>
                <c:pt idx="56">
                  <c:v>407.22865549260911</c:v>
                </c:pt>
                <c:pt idx="57">
                  <c:v>407.22865549260911</c:v>
                </c:pt>
                <c:pt idx="58">
                  <c:v>407.22865549260911</c:v>
                </c:pt>
                <c:pt idx="59">
                  <c:v>407.22865549260911</c:v>
                </c:pt>
                <c:pt idx="60">
                  <c:v>407.22865549260911</c:v>
                </c:pt>
                <c:pt idx="61">
                  <c:v>407.22865549260911</c:v>
                </c:pt>
                <c:pt idx="62">
                  <c:v>407.22865549260911</c:v>
                </c:pt>
                <c:pt idx="63">
                  <c:v>407.22865549260911</c:v>
                </c:pt>
                <c:pt idx="64">
                  <c:v>407.22865549260911</c:v>
                </c:pt>
                <c:pt idx="65">
                  <c:v>407.22865549260911</c:v>
                </c:pt>
                <c:pt idx="66">
                  <c:v>407.22865549260911</c:v>
                </c:pt>
                <c:pt idx="67">
                  <c:v>407.22865549260911</c:v>
                </c:pt>
                <c:pt idx="68">
                  <c:v>407.22865549260911</c:v>
                </c:pt>
                <c:pt idx="69">
                  <c:v>407.22865549260911</c:v>
                </c:pt>
                <c:pt idx="70">
                  <c:v>407.22865549260911</c:v>
                </c:pt>
                <c:pt idx="71">
                  <c:v>407.22865549260911</c:v>
                </c:pt>
                <c:pt idx="72">
                  <c:v>407.22865549260911</c:v>
                </c:pt>
                <c:pt idx="73">
                  <c:v>407.22865549260911</c:v>
                </c:pt>
                <c:pt idx="74">
                  <c:v>407.22865549260911</c:v>
                </c:pt>
                <c:pt idx="75">
                  <c:v>407.22865549260911</c:v>
                </c:pt>
                <c:pt idx="76">
                  <c:v>407.22865549260911</c:v>
                </c:pt>
                <c:pt idx="77">
                  <c:v>407.22865549260911</c:v>
                </c:pt>
                <c:pt idx="78">
                  <c:v>407.22865549260911</c:v>
                </c:pt>
                <c:pt idx="79">
                  <c:v>407.22865549260911</c:v>
                </c:pt>
                <c:pt idx="80">
                  <c:v>407.22865549260911</c:v>
                </c:pt>
                <c:pt idx="81">
                  <c:v>407.22865549260911</c:v>
                </c:pt>
                <c:pt idx="82">
                  <c:v>407.22865549260911</c:v>
                </c:pt>
                <c:pt idx="83">
                  <c:v>407.22865549260911</c:v>
                </c:pt>
                <c:pt idx="84">
                  <c:v>407.22865549260911</c:v>
                </c:pt>
                <c:pt idx="85">
                  <c:v>407.22865549260911</c:v>
                </c:pt>
                <c:pt idx="86">
                  <c:v>407.22865549260911</c:v>
                </c:pt>
                <c:pt idx="87">
                  <c:v>407.22865549260911</c:v>
                </c:pt>
                <c:pt idx="88">
                  <c:v>407.22865549260911</c:v>
                </c:pt>
                <c:pt idx="89">
                  <c:v>407.22865549260911</c:v>
                </c:pt>
                <c:pt idx="90">
                  <c:v>407.22865549260911</c:v>
                </c:pt>
                <c:pt idx="91">
                  <c:v>407.22865549260911</c:v>
                </c:pt>
                <c:pt idx="92">
                  <c:v>407.22865549260911</c:v>
                </c:pt>
                <c:pt idx="93">
                  <c:v>407.22865549260911</c:v>
                </c:pt>
                <c:pt idx="94">
                  <c:v>407.22865549260911</c:v>
                </c:pt>
                <c:pt idx="95">
                  <c:v>407.22865549260911</c:v>
                </c:pt>
                <c:pt idx="96">
                  <c:v>407.22865549260911</c:v>
                </c:pt>
                <c:pt idx="97">
                  <c:v>407.22865549260911</c:v>
                </c:pt>
                <c:pt idx="98">
                  <c:v>407.22865549260911</c:v>
                </c:pt>
                <c:pt idx="99">
                  <c:v>407.22865549260911</c:v>
                </c:pt>
                <c:pt idx="100">
                  <c:v>407.22865549260911</c:v>
                </c:pt>
                <c:pt idx="101">
                  <c:v>407.22865549260911</c:v>
                </c:pt>
                <c:pt idx="102">
                  <c:v>407.22865549260911</c:v>
                </c:pt>
                <c:pt idx="103">
                  <c:v>407.22865549260911</c:v>
                </c:pt>
                <c:pt idx="104">
                  <c:v>407.22865549260911</c:v>
                </c:pt>
                <c:pt idx="105">
                  <c:v>407.22865549260911</c:v>
                </c:pt>
                <c:pt idx="106">
                  <c:v>407.22865549260911</c:v>
                </c:pt>
                <c:pt idx="107">
                  <c:v>407.22865549260911</c:v>
                </c:pt>
                <c:pt idx="108">
                  <c:v>407.22865549260911</c:v>
                </c:pt>
                <c:pt idx="109">
                  <c:v>407.22865549260911</c:v>
                </c:pt>
                <c:pt idx="110">
                  <c:v>407.22865549260911</c:v>
                </c:pt>
                <c:pt idx="111">
                  <c:v>407.22865549260911</c:v>
                </c:pt>
                <c:pt idx="112">
                  <c:v>407.22865549260911</c:v>
                </c:pt>
                <c:pt idx="113">
                  <c:v>407.22865549260911</c:v>
                </c:pt>
                <c:pt idx="114">
                  <c:v>407.22865549260911</c:v>
                </c:pt>
                <c:pt idx="115">
                  <c:v>407.22865549260911</c:v>
                </c:pt>
                <c:pt idx="116">
                  <c:v>407.22865549260911</c:v>
                </c:pt>
                <c:pt idx="117">
                  <c:v>407.22865549260911</c:v>
                </c:pt>
                <c:pt idx="118">
                  <c:v>407.22865549260911</c:v>
                </c:pt>
                <c:pt idx="119">
                  <c:v>407.22865549260911</c:v>
                </c:pt>
                <c:pt idx="120">
                  <c:v>407.22865549260911</c:v>
                </c:pt>
                <c:pt idx="121">
                  <c:v>407.22865549260911</c:v>
                </c:pt>
                <c:pt idx="122">
                  <c:v>407.22865549260911</c:v>
                </c:pt>
                <c:pt idx="123">
                  <c:v>407.22865549260911</c:v>
                </c:pt>
                <c:pt idx="124">
                  <c:v>407.22865549260911</c:v>
                </c:pt>
                <c:pt idx="125">
                  <c:v>407.22865549260911</c:v>
                </c:pt>
                <c:pt idx="126">
                  <c:v>407.22865549260911</c:v>
                </c:pt>
                <c:pt idx="127">
                  <c:v>407.22865549260911</c:v>
                </c:pt>
                <c:pt idx="128">
                  <c:v>407.22865549260911</c:v>
                </c:pt>
                <c:pt idx="129">
                  <c:v>407.22865549260911</c:v>
                </c:pt>
                <c:pt idx="130">
                  <c:v>407.22865549260911</c:v>
                </c:pt>
                <c:pt idx="131">
                  <c:v>407.22865549260911</c:v>
                </c:pt>
                <c:pt idx="132">
                  <c:v>407.22865549260911</c:v>
                </c:pt>
                <c:pt idx="133">
                  <c:v>407.22865549260911</c:v>
                </c:pt>
                <c:pt idx="134">
                  <c:v>407.22865549260911</c:v>
                </c:pt>
                <c:pt idx="135">
                  <c:v>407.22865549260911</c:v>
                </c:pt>
                <c:pt idx="136">
                  <c:v>407.22865549260911</c:v>
                </c:pt>
                <c:pt idx="137">
                  <c:v>407.22865549260911</c:v>
                </c:pt>
                <c:pt idx="138">
                  <c:v>407.22865549260911</c:v>
                </c:pt>
                <c:pt idx="139">
                  <c:v>407.22865549260911</c:v>
                </c:pt>
                <c:pt idx="140">
                  <c:v>407.22865549260911</c:v>
                </c:pt>
                <c:pt idx="141">
                  <c:v>407.22865549260911</c:v>
                </c:pt>
                <c:pt idx="142">
                  <c:v>407.22865549260911</c:v>
                </c:pt>
                <c:pt idx="143">
                  <c:v>407.22865549260911</c:v>
                </c:pt>
                <c:pt idx="144">
                  <c:v>407.22865549260911</c:v>
                </c:pt>
                <c:pt idx="145">
                  <c:v>407.22865549260911</c:v>
                </c:pt>
                <c:pt idx="146">
                  <c:v>407.22865549260911</c:v>
                </c:pt>
                <c:pt idx="147">
                  <c:v>407.22865549260911</c:v>
                </c:pt>
                <c:pt idx="148">
                  <c:v>407.22865549260911</c:v>
                </c:pt>
                <c:pt idx="149">
                  <c:v>407.22865549260911</c:v>
                </c:pt>
                <c:pt idx="150">
                  <c:v>407.22865549260911</c:v>
                </c:pt>
                <c:pt idx="151">
                  <c:v>407.22865549260911</c:v>
                </c:pt>
                <c:pt idx="152">
                  <c:v>407.22865549260911</c:v>
                </c:pt>
                <c:pt idx="153">
                  <c:v>407.22865549260911</c:v>
                </c:pt>
                <c:pt idx="154">
                  <c:v>407.22865549260911</c:v>
                </c:pt>
                <c:pt idx="155">
                  <c:v>407.22865549260911</c:v>
                </c:pt>
                <c:pt idx="156">
                  <c:v>407.22865549260911</c:v>
                </c:pt>
                <c:pt idx="157">
                  <c:v>407.22865549260911</c:v>
                </c:pt>
                <c:pt idx="158">
                  <c:v>407.22865549260911</c:v>
                </c:pt>
                <c:pt idx="159">
                  <c:v>407.22865549260911</c:v>
                </c:pt>
                <c:pt idx="160">
                  <c:v>407.22865549260911</c:v>
                </c:pt>
                <c:pt idx="161">
                  <c:v>407.22865549260911</c:v>
                </c:pt>
                <c:pt idx="162">
                  <c:v>407.22865549260911</c:v>
                </c:pt>
                <c:pt idx="163">
                  <c:v>407.22865549260911</c:v>
                </c:pt>
                <c:pt idx="164">
                  <c:v>407.22865549260911</c:v>
                </c:pt>
                <c:pt idx="165">
                  <c:v>407.22865549260911</c:v>
                </c:pt>
                <c:pt idx="166">
                  <c:v>407.22865549260911</c:v>
                </c:pt>
                <c:pt idx="167">
                  <c:v>407.22865549260911</c:v>
                </c:pt>
                <c:pt idx="168">
                  <c:v>407.22865549260911</c:v>
                </c:pt>
                <c:pt idx="169">
                  <c:v>407.22865549260911</c:v>
                </c:pt>
                <c:pt idx="170">
                  <c:v>407.22865549260911</c:v>
                </c:pt>
                <c:pt idx="171">
                  <c:v>407.22865549260911</c:v>
                </c:pt>
                <c:pt idx="172">
                  <c:v>407.22865549260911</c:v>
                </c:pt>
                <c:pt idx="173">
                  <c:v>407.22865549260911</c:v>
                </c:pt>
                <c:pt idx="174">
                  <c:v>407.22865549260911</c:v>
                </c:pt>
                <c:pt idx="175">
                  <c:v>407.22865549260911</c:v>
                </c:pt>
                <c:pt idx="176">
                  <c:v>407.22865549260911</c:v>
                </c:pt>
                <c:pt idx="177">
                  <c:v>407.22865549260911</c:v>
                </c:pt>
                <c:pt idx="178">
                  <c:v>407.22865549260911</c:v>
                </c:pt>
                <c:pt idx="179">
                  <c:v>407.22865549260911</c:v>
                </c:pt>
                <c:pt idx="180">
                  <c:v>407.22865549260911</c:v>
                </c:pt>
                <c:pt idx="181">
                  <c:v>407.22865549260911</c:v>
                </c:pt>
                <c:pt idx="182">
                  <c:v>407.22865549260911</c:v>
                </c:pt>
                <c:pt idx="183">
                  <c:v>407.22865549260911</c:v>
                </c:pt>
                <c:pt idx="184">
                  <c:v>407.22865549260911</c:v>
                </c:pt>
                <c:pt idx="185">
                  <c:v>407.22865549260911</c:v>
                </c:pt>
                <c:pt idx="186">
                  <c:v>407.22865549260911</c:v>
                </c:pt>
                <c:pt idx="187">
                  <c:v>407.22865549260911</c:v>
                </c:pt>
                <c:pt idx="188">
                  <c:v>407.22865549260911</c:v>
                </c:pt>
                <c:pt idx="189">
                  <c:v>407.22865549260911</c:v>
                </c:pt>
                <c:pt idx="190">
                  <c:v>407.22865549260911</c:v>
                </c:pt>
                <c:pt idx="191">
                  <c:v>407.22865549260911</c:v>
                </c:pt>
                <c:pt idx="192">
                  <c:v>407.22865549260911</c:v>
                </c:pt>
                <c:pt idx="193">
                  <c:v>407.22865549260911</c:v>
                </c:pt>
                <c:pt idx="194">
                  <c:v>407.22865549260911</c:v>
                </c:pt>
                <c:pt idx="195">
                  <c:v>407.22865549260911</c:v>
                </c:pt>
                <c:pt idx="196">
                  <c:v>407.22865549260911</c:v>
                </c:pt>
                <c:pt idx="197">
                  <c:v>407.22865549260911</c:v>
                </c:pt>
                <c:pt idx="198">
                  <c:v>407.22865549260911</c:v>
                </c:pt>
                <c:pt idx="199">
                  <c:v>407.22865549260911</c:v>
                </c:pt>
                <c:pt idx="200">
                  <c:v>407.22865549260911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C16" sqref="C1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17.25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0.93196633120000005</v>
      </c>
      <c r="D9" s="33">
        <f t="shared" ref="D9:D18" si="0">C9*$C$5</f>
        <v>16.076419213200001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138</v>
      </c>
      <c r="C10" s="264">
        <v>2.9386325759999998E-2</v>
      </c>
      <c r="D10" s="33">
        <f t="shared" si="0"/>
        <v>0.50691411935999997</v>
      </c>
      <c r="E10" s="265">
        <v>30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5</v>
      </c>
      <c r="C11" s="264">
        <v>2.8985507250000001E-2</v>
      </c>
      <c r="D11" s="33">
        <f t="shared" si="0"/>
        <v>0.50000000006250001</v>
      </c>
      <c r="E11" s="265">
        <v>90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326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24</v>
      </c>
      <c r="C12" s="264">
        <v>9.6618357489999997E-3</v>
      </c>
      <c r="D12" s="33">
        <f t="shared" si="0"/>
        <v>0.16666666667024999</v>
      </c>
      <c r="E12" s="265">
        <v>20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327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0.99999999995900013</v>
      </c>
      <c r="D19" s="38">
        <f>SUM(D9:D18)</f>
        <v>17.249999999292751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11</v>
      </c>
      <c r="B62" s="261">
        <v>83</v>
      </c>
      <c r="C62" s="261"/>
      <c r="D62" s="261"/>
      <c r="E62" s="260"/>
      <c r="F62" s="260"/>
      <c r="G62" s="260"/>
      <c r="H62" s="260"/>
      <c r="I62" s="53">
        <f>IFERROR(B62/A62,"")</f>
        <v>7.5454545454545459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12</v>
      </c>
      <c r="B63" s="261">
        <v>106</v>
      </c>
      <c r="C63" s="261">
        <v>1</v>
      </c>
      <c r="D63" s="261">
        <v>34</v>
      </c>
      <c r="E63" s="260"/>
      <c r="F63" s="260"/>
      <c r="G63" s="260">
        <v>1</v>
      </c>
      <c r="H63" s="260"/>
      <c r="I63" s="49">
        <f>IF(A63&lt;&gt;0,(B63-(B62-D62))/(A63-A62),"")</f>
        <v>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13</v>
      </c>
      <c r="B64" s="261">
        <v>89</v>
      </c>
      <c r="C64" s="261"/>
      <c r="D64" s="261"/>
      <c r="E64" s="260"/>
      <c r="F64" s="260"/>
      <c r="G64" s="260"/>
      <c r="H64" s="260"/>
      <c r="I64" s="49">
        <f>IF(A64&lt;&gt;0,(B64-(B63-D63))/(A64-A63),"")</f>
        <v>17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14</v>
      </c>
      <c r="B65" s="261">
        <v>110</v>
      </c>
      <c r="C65" s="261"/>
      <c r="D65" s="261"/>
      <c r="E65" s="260"/>
      <c r="F65" s="260"/>
      <c r="G65" s="260"/>
      <c r="H65" s="260"/>
      <c r="I65" s="49">
        <f>IF(A65&lt;&gt;0,(B65-(B64-D64))/(A65-A64),"")</f>
        <v>21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15</v>
      </c>
      <c r="B66" s="261">
        <v>131</v>
      </c>
      <c r="C66" s="261"/>
      <c r="D66" s="261"/>
      <c r="E66" s="260"/>
      <c r="F66" s="260"/>
      <c r="G66" s="260"/>
      <c r="H66" s="260"/>
      <c r="I66" s="49">
        <f t="shared" ref="I66:I81" si="2">IF(A66&lt;&gt;0,(B66-(B65-D65))/(A66-A65),"")</f>
        <v>21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16</v>
      </c>
      <c r="B67" s="261">
        <v>153</v>
      </c>
      <c r="C67" s="261"/>
      <c r="D67" s="261"/>
      <c r="E67" s="260"/>
      <c r="F67" s="260"/>
      <c r="G67" s="260"/>
      <c r="H67" s="260"/>
      <c r="I67" s="49">
        <f t="shared" si="2"/>
        <v>22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17</v>
      </c>
      <c r="B68" s="261">
        <v>176</v>
      </c>
      <c r="C68" s="261">
        <v>2</v>
      </c>
      <c r="D68" s="261">
        <v>43</v>
      </c>
      <c r="E68" s="260"/>
      <c r="F68" s="260">
        <v>1</v>
      </c>
      <c r="G68" s="260"/>
      <c r="H68" s="260"/>
      <c r="I68" s="49">
        <f t="shared" si="2"/>
        <v>23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18</v>
      </c>
      <c r="B69" s="261">
        <v>151</v>
      </c>
      <c r="C69" s="261"/>
      <c r="D69" s="261"/>
      <c r="E69" s="260"/>
      <c r="F69" s="260"/>
      <c r="G69" s="260"/>
      <c r="H69" s="260"/>
      <c r="I69" s="49">
        <f t="shared" si="2"/>
        <v>18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19</v>
      </c>
      <c r="B70" s="261">
        <v>171</v>
      </c>
      <c r="C70" s="261"/>
      <c r="D70" s="261"/>
      <c r="E70" s="260"/>
      <c r="F70" s="260"/>
      <c r="G70" s="260"/>
      <c r="H70" s="260"/>
      <c r="I70" s="49">
        <f t="shared" si="2"/>
        <v>20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20</v>
      </c>
      <c r="B71" s="261">
        <v>192</v>
      </c>
      <c r="C71" s="261"/>
      <c r="D71" s="261"/>
      <c r="E71" s="260"/>
      <c r="F71" s="260"/>
      <c r="G71" s="260"/>
      <c r="H71" s="260"/>
      <c r="I71" s="49">
        <f t="shared" si="2"/>
        <v>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21</v>
      </c>
      <c r="B72" s="261">
        <v>212</v>
      </c>
      <c r="C72" s="261"/>
      <c r="D72" s="261"/>
      <c r="E72" s="260"/>
      <c r="F72" s="260"/>
      <c r="G72" s="260"/>
      <c r="H72" s="260"/>
      <c r="I72" s="49">
        <f t="shared" si="2"/>
        <v>20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22</v>
      </c>
      <c r="B73" s="261">
        <v>232</v>
      </c>
      <c r="C73" s="261">
        <v>3</v>
      </c>
      <c r="D73" s="261">
        <v>56</v>
      </c>
      <c r="E73" s="260"/>
      <c r="F73" s="260">
        <v>1</v>
      </c>
      <c r="G73" s="260"/>
      <c r="H73" s="260"/>
      <c r="I73" s="49">
        <f t="shared" si="2"/>
        <v>20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23</v>
      </c>
      <c r="B74" s="261">
        <v>192</v>
      </c>
      <c r="C74" s="261"/>
      <c r="D74" s="261"/>
      <c r="E74" s="260"/>
      <c r="F74" s="260"/>
      <c r="G74" s="260"/>
      <c r="H74" s="260"/>
      <c r="I74" s="49">
        <f t="shared" si="2"/>
        <v>16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24</v>
      </c>
      <c r="B75" s="261">
        <v>209</v>
      </c>
      <c r="C75" s="261"/>
      <c r="D75" s="261"/>
      <c r="E75" s="260"/>
      <c r="F75" s="260"/>
      <c r="G75" s="260"/>
      <c r="H75" s="260"/>
      <c r="I75" s="49">
        <f t="shared" si="2"/>
        <v>17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25</v>
      </c>
      <c r="B76" s="261">
        <v>226</v>
      </c>
      <c r="C76" s="261"/>
      <c r="D76" s="261"/>
      <c r="E76" s="260"/>
      <c r="F76" s="260"/>
      <c r="G76" s="260"/>
      <c r="H76" s="260"/>
      <c r="I76" s="49">
        <f t="shared" si="2"/>
        <v>17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26</v>
      </c>
      <c r="B77" s="257">
        <v>244</v>
      </c>
      <c r="C77" s="256"/>
      <c r="D77" s="256"/>
      <c r="E77" s="255"/>
      <c r="F77" s="255"/>
      <c r="G77" s="255"/>
      <c r="H77" s="255"/>
      <c r="I77" s="49">
        <f t="shared" si="2"/>
        <v>18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27</v>
      </c>
      <c r="B78" s="257">
        <v>261</v>
      </c>
      <c r="C78" s="256"/>
      <c r="D78" s="256"/>
      <c r="E78" s="255"/>
      <c r="F78" s="255"/>
      <c r="G78" s="255"/>
      <c r="H78" s="255"/>
      <c r="I78" s="49">
        <f t="shared" si="2"/>
        <v>17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28</v>
      </c>
      <c r="B79" s="257">
        <v>277</v>
      </c>
      <c r="C79" s="256"/>
      <c r="D79" s="256"/>
      <c r="E79" s="255"/>
      <c r="F79" s="255"/>
      <c r="G79" s="255"/>
      <c r="H79" s="255"/>
      <c r="I79" s="49">
        <f t="shared" si="2"/>
        <v>16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29</v>
      </c>
      <c r="B80" s="257">
        <v>293</v>
      </c>
      <c r="C80" s="256"/>
      <c r="D80" s="256"/>
      <c r="E80" s="255"/>
      <c r="F80" s="255"/>
      <c r="G80" s="255"/>
      <c r="H80" s="255"/>
      <c r="I80" s="49">
        <f t="shared" si="2"/>
        <v>16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30</v>
      </c>
      <c r="B81" s="257">
        <v>309</v>
      </c>
      <c r="C81" s="256">
        <v>4</v>
      </c>
      <c r="D81" s="258">
        <v>309</v>
      </c>
      <c r="E81" s="255"/>
      <c r="F81" s="255">
        <v>1</v>
      </c>
      <c r="G81" s="255"/>
      <c r="H81" s="255"/>
      <c r="I81" s="49">
        <f t="shared" si="2"/>
        <v>16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42</v>
      </c>
      <c r="C88" s="261"/>
      <c r="D88" s="261">
        <v>0</v>
      </c>
      <c r="E88" s="260"/>
      <c r="F88" s="260"/>
      <c r="G88" s="260"/>
      <c r="H88" s="260"/>
      <c r="I88" s="53">
        <f>IFERROR(B88/A88,"")</f>
        <v>2.8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69</v>
      </c>
      <c r="C89" s="261">
        <v>1</v>
      </c>
      <c r="D89" s="261">
        <v>15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5.4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83</v>
      </c>
      <c r="C90" s="261">
        <v>2</v>
      </c>
      <c r="D90" s="261">
        <v>10</v>
      </c>
      <c r="E90" s="260"/>
      <c r="F90" s="260"/>
      <c r="G90" s="260"/>
      <c r="H90" s="260">
        <v>1</v>
      </c>
      <c r="I90" s="53">
        <f t="shared" si="3"/>
        <v>5.8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103</v>
      </c>
      <c r="C91" s="261">
        <v>3</v>
      </c>
      <c r="D91" s="261">
        <v>11</v>
      </c>
      <c r="E91" s="260"/>
      <c r="F91" s="260"/>
      <c r="G91" s="260"/>
      <c r="H91" s="260">
        <v>1</v>
      </c>
      <c r="I91" s="53">
        <f t="shared" si="3"/>
        <v>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121</v>
      </c>
      <c r="C92" s="261">
        <v>4</v>
      </c>
      <c r="D92" s="261">
        <v>12</v>
      </c>
      <c r="E92" s="260">
        <v>1</v>
      </c>
      <c r="F92" s="260"/>
      <c r="G92" s="260"/>
      <c r="H92" s="260"/>
      <c r="I92" s="53">
        <f t="shared" si="3"/>
        <v>5.8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139</v>
      </c>
      <c r="C93" s="261">
        <v>5</v>
      </c>
      <c r="D93" s="261">
        <v>13</v>
      </c>
      <c r="E93" s="260">
        <v>1</v>
      </c>
      <c r="F93" s="260"/>
      <c r="G93" s="260"/>
      <c r="H93" s="260"/>
      <c r="I93" s="53">
        <f t="shared" si="3"/>
        <v>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156</v>
      </c>
      <c r="C94" s="261">
        <v>6</v>
      </c>
      <c r="D94" s="261">
        <v>14</v>
      </c>
      <c r="E94" s="260">
        <v>1</v>
      </c>
      <c r="F94" s="260"/>
      <c r="G94" s="260"/>
      <c r="H94" s="260"/>
      <c r="I94" s="53">
        <f t="shared" si="3"/>
        <v>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171</v>
      </c>
      <c r="C95" s="261">
        <v>7</v>
      </c>
      <c r="D95" s="261">
        <v>14</v>
      </c>
      <c r="E95" s="260">
        <v>1</v>
      </c>
      <c r="F95" s="260"/>
      <c r="G95" s="260"/>
      <c r="H95" s="260"/>
      <c r="I95" s="53">
        <f t="shared" si="3"/>
        <v>5.8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184</v>
      </c>
      <c r="C96" s="261">
        <v>8</v>
      </c>
      <c r="D96" s="261">
        <v>14</v>
      </c>
      <c r="E96" s="260">
        <v>1</v>
      </c>
      <c r="F96" s="260"/>
      <c r="G96" s="260"/>
      <c r="H96" s="260"/>
      <c r="I96" s="53">
        <f t="shared" si="3"/>
        <v>5.4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197</v>
      </c>
      <c r="C97" s="261">
        <v>9</v>
      </c>
      <c r="D97" s="261">
        <v>14</v>
      </c>
      <c r="E97" s="260">
        <v>1</v>
      </c>
      <c r="F97" s="260"/>
      <c r="G97" s="260"/>
      <c r="H97" s="260"/>
      <c r="I97" s="53">
        <f t="shared" si="3"/>
        <v>5.4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208</v>
      </c>
      <c r="C98" s="261">
        <v>10</v>
      </c>
      <c r="D98" s="261">
        <v>14</v>
      </c>
      <c r="E98" s="260">
        <v>1</v>
      </c>
      <c r="F98" s="260"/>
      <c r="G98" s="260"/>
      <c r="H98" s="260"/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218</v>
      </c>
      <c r="C99" s="261">
        <v>11</v>
      </c>
      <c r="D99" s="261">
        <v>14</v>
      </c>
      <c r="E99" s="260">
        <v>1</v>
      </c>
      <c r="F99" s="260"/>
      <c r="G99" s="260"/>
      <c r="H99" s="260"/>
      <c r="I99" s="53">
        <f t="shared" si="3"/>
        <v>4.8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227</v>
      </c>
      <c r="C100" s="261">
        <v>12</v>
      </c>
      <c r="D100" s="261">
        <v>14</v>
      </c>
      <c r="E100" s="260">
        <v>1</v>
      </c>
      <c r="F100" s="260"/>
      <c r="G100" s="260"/>
      <c r="H100" s="260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234</v>
      </c>
      <c r="C101" s="261">
        <v>13</v>
      </c>
      <c r="D101" s="261">
        <v>13</v>
      </c>
      <c r="E101" s="260">
        <v>1</v>
      </c>
      <c r="F101" s="260"/>
      <c r="G101" s="260"/>
      <c r="H101" s="260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85</v>
      </c>
      <c r="B102" s="261">
        <v>241</v>
      </c>
      <c r="C102" s="261">
        <v>14</v>
      </c>
      <c r="D102" s="261">
        <v>13</v>
      </c>
      <c r="E102" s="260">
        <v>1</v>
      </c>
      <c r="F102" s="260"/>
      <c r="G102" s="260"/>
      <c r="H102" s="260"/>
      <c r="I102" s="53">
        <f t="shared" si="3"/>
        <v>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90</v>
      </c>
      <c r="B103" s="257">
        <v>246</v>
      </c>
      <c r="C103" s="256">
        <v>15</v>
      </c>
      <c r="D103" s="256">
        <v>12</v>
      </c>
      <c r="E103" s="255">
        <v>1</v>
      </c>
      <c r="F103" s="255"/>
      <c r="G103" s="255"/>
      <c r="H103" s="255"/>
      <c r="I103" s="53">
        <f t="shared" si="3"/>
        <v>3.6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Eucalyptus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2</v>
      </c>
      <c r="B114" s="261">
        <v>4</v>
      </c>
      <c r="C114" s="261"/>
      <c r="D114" s="261"/>
      <c r="E114" s="260"/>
      <c r="F114" s="260"/>
      <c r="G114" s="260"/>
      <c r="H114" s="260"/>
      <c r="I114" s="53">
        <f>IFERROR(B114/A114,"")</f>
        <v>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3</v>
      </c>
      <c r="B115" s="261">
        <v>8</v>
      </c>
      <c r="C115" s="261"/>
      <c r="D115" s="261"/>
      <c r="E115" s="260"/>
      <c r="F115" s="260"/>
      <c r="G115" s="260"/>
      <c r="H115" s="260"/>
      <c r="I115" s="53">
        <f t="shared" ref="I115:I133" si="4">IF(A115&lt;&gt;0,(B115-(B114-D114))/(A115-A114),"")</f>
        <v>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4</v>
      </c>
      <c r="B116" s="261">
        <v>12</v>
      </c>
      <c r="C116" s="261"/>
      <c r="D116" s="261"/>
      <c r="E116" s="260"/>
      <c r="F116" s="260"/>
      <c r="G116" s="260"/>
      <c r="H116" s="260"/>
      <c r="I116" s="53">
        <f t="shared" si="4"/>
        <v>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5</v>
      </c>
      <c r="B117" s="261">
        <v>20</v>
      </c>
      <c r="C117" s="261"/>
      <c r="D117" s="261"/>
      <c r="E117" s="260"/>
      <c r="F117" s="260"/>
      <c r="G117" s="260"/>
      <c r="H117" s="260"/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6</v>
      </c>
      <c r="B118" s="261">
        <v>30</v>
      </c>
      <c r="C118" s="261"/>
      <c r="D118" s="261"/>
      <c r="E118" s="260"/>
      <c r="F118" s="260"/>
      <c r="G118" s="260"/>
      <c r="H118" s="260"/>
      <c r="I118" s="53">
        <f t="shared" si="4"/>
        <v>10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7</v>
      </c>
      <c r="B119" s="261">
        <v>40</v>
      </c>
      <c r="C119" s="261"/>
      <c r="D119" s="261"/>
      <c r="E119" s="260"/>
      <c r="F119" s="260"/>
      <c r="G119" s="260"/>
      <c r="H119" s="260"/>
      <c r="I119" s="53">
        <f t="shared" si="4"/>
        <v>10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8</v>
      </c>
      <c r="B120" s="261">
        <v>54</v>
      </c>
      <c r="C120" s="261"/>
      <c r="D120" s="261"/>
      <c r="E120" s="260"/>
      <c r="F120" s="260"/>
      <c r="G120" s="260"/>
      <c r="H120" s="260"/>
      <c r="I120" s="53">
        <f t="shared" si="4"/>
        <v>14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9</v>
      </c>
      <c r="B121" s="261">
        <v>70</v>
      </c>
      <c r="C121" s="261"/>
      <c r="D121" s="261"/>
      <c r="E121" s="260"/>
      <c r="F121" s="260"/>
      <c r="G121" s="260"/>
      <c r="H121" s="260"/>
      <c r="I121" s="53">
        <f t="shared" si="4"/>
        <v>16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10</v>
      </c>
      <c r="B122" s="261">
        <v>80</v>
      </c>
      <c r="C122" s="261"/>
      <c r="D122" s="261"/>
      <c r="E122" s="260"/>
      <c r="F122" s="260"/>
      <c r="G122" s="260"/>
      <c r="H122" s="260"/>
      <c r="I122" s="53">
        <f t="shared" si="4"/>
        <v>10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11</v>
      </c>
      <c r="B123" s="261">
        <v>100</v>
      </c>
      <c r="C123" s="261"/>
      <c r="D123" s="261"/>
      <c r="E123" s="260"/>
      <c r="F123" s="260"/>
      <c r="G123" s="260"/>
      <c r="H123" s="260"/>
      <c r="I123" s="53">
        <f t="shared" si="4"/>
        <v>20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12</v>
      </c>
      <c r="B124" s="261">
        <v>120</v>
      </c>
      <c r="C124" s="261"/>
      <c r="D124" s="261"/>
      <c r="E124" s="260"/>
      <c r="F124" s="260"/>
      <c r="G124" s="260"/>
      <c r="H124" s="260"/>
      <c r="I124" s="53">
        <f t="shared" si="4"/>
        <v>20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13</v>
      </c>
      <c r="B125" s="261">
        <v>130</v>
      </c>
      <c r="C125" s="261"/>
      <c r="D125" s="261"/>
      <c r="E125" s="260"/>
      <c r="F125" s="260"/>
      <c r="G125" s="260"/>
      <c r="H125" s="260"/>
      <c r="I125" s="53">
        <f t="shared" si="4"/>
        <v>10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14</v>
      </c>
      <c r="B126" s="261">
        <v>145</v>
      </c>
      <c r="C126" s="261"/>
      <c r="D126" s="261"/>
      <c r="E126" s="260"/>
      <c r="F126" s="260"/>
      <c r="G126" s="260"/>
      <c r="H126" s="260"/>
      <c r="I126" s="53">
        <f t="shared" si="4"/>
        <v>15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15</v>
      </c>
      <c r="B127" s="261">
        <v>160</v>
      </c>
      <c r="C127" s="261"/>
      <c r="D127" s="261"/>
      <c r="E127" s="260"/>
      <c r="F127" s="260"/>
      <c r="G127" s="260"/>
      <c r="H127" s="260"/>
      <c r="I127" s="53">
        <f t="shared" si="4"/>
        <v>15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16</v>
      </c>
      <c r="B128" s="261">
        <v>173</v>
      </c>
      <c r="C128" s="261"/>
      <c r="D128" s="261"/>
      <c r="E128" s="260"/>
      <c r="F128" s="260"/>
      <c r="G128" s="260"/>
      <c r="H128" s="260"/>
      <c r="I128" s="53">
        <f t="shared" si="4"/>
        <v>13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17</v>
      </c>
      <c r="B129" s="261">
        <v>185</v>
      </c>
      <c r="C129" s="261"/>
      <c r="D129" s="261"/>
      <c r="E129" s="260"/>
      <c r="F129" s="260"/>
      <c r="G129" s="260"/>
      <c r="H129" s="260"/>
      <c r="I129" s="53">
        <f t="shared" si="4"/>
        <v>12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18</v>
      </c>
      <c r="B130" s="261">
        <v>195</v>
      </c>
      <c r="C130" s="261"/>
      <c r="D130" s="261"/>
      <c r="E130" s="260"/>
      <c r="F130" s="260"/>
      <c r="G130" s="260"/>
      <c r="H130" s="260"/>
      <c r="I130" s="53">
        <f t="shared" si="4"/>
        <v>10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19</v>
      </c>
      <c r="B131" s="261">
        <v>205</v>
      </c>
      <c r="C131" s="261"/>
      <c r="D131" s="261"/>
      <c r="E131" s="260"/>
      <c r="F131" s="260"/>
      <c r="G131" s="260"/>
      <c r="H131" s="260"/>
      <c r="I131" s="53">
        <f t="shared" si="4"/>
        <v>10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20</v>
      </c>
      <c r="B132" s="261">
        <v>214</v>
      </c>
      <c r="C132" s="261"/>
      <c r="D132" s="261"/>
      <c r="E132" s="260"/>
      <c r="F132" s="260"/>
      <c r="G132" s="260"/>
      <c r="H132" s="260"/>
      <c r="I132" s="53">
        <f t="shared" si="4"/>
        <v>9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F21" sqref="F21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Pin taeda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Bouleau verruqueux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Eucalyptus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148.39628895278571</v>
      </c>
      <c r="AO3" s="59">
        <f>IF('Données projet'!E10&gt;30,$AM$33-$H$33,LOOKUP('Données projet'!$E$10,$A$3:$A$203,AM3:AM203)-LOOKUP('Données projet'!$E$10,$A$3:$A$203,$H$3:$H$203))</f>
        <v>361.07991692964788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181.20458942529478</v>
      </c>
      <c r="BJ3" s="59">
        <f>IF('Données projet'!E11&gt;30,$BH$33-$H$33,LOOKUP('Données projet'!$E$11,$A$3:$A$203,BH3:BH203)-LOOKUP('Données projet'!$E$11,$A$3:$A$203,$H$3:$H$203))</f>
        <v>144.05254691566421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164.24405955980575</v>
      </c>
      <c r="CE3" s="59">
        <f>IF('Données projet'!E12&gt;30,$CC$33-$H$33,LOOKUP('Données projet'!$E$12,$A$3:$A$203,CC3:CC203)-LOOKUP('Données projet'!$E$12,$A$3:$A$203,$H$3:$H$203))</f>
        <v>379.20713858755209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7.5454545454545459</v>
      </c>
      <c r="AI4" s="13">
        <f>IF('Données projet'!$A$62&gt;35,AI3+AH4-AQ3,IF(A4&lt;'Données projet'!$A$62,$AF$205^A4,IF(A4='Données projet'!$A$62,'Données projet'!$B$62,AI3+AH4-AQ3)))</f>
        <v>1.4943820583928935</v>
      </c>
      <c r="AJ4" s="13">
        <f>AI4*VLOOKUP('Données projet'!$B$10,Paramètres!$A$1:$I$89,3,0)*VLOOKUP('Données projet'!$B$10,Paramètres!$A$1:$I$89,5,0)</f>
        <v>0.89364047091895038</v>
      </c>
      <c r="AK4" s="13">
        <f>EXP(-1.0587+0.8836*LN(AJ4)+0.284)</f>
        <v>0.41725306962072783</v>
      </c>
      <c r="AL4" s="20">
        <f t="shared" ref="AL4:AL67" si="4">(AJ4+AK4)*0.475*44/12</f>
        <v>2.2831395831066059</v>
      </c>
      <c r="AM4" s="59">
        <f t="shared" ref="AM4:AM67" si="5">AL4+(AD4+AE4)*44/12</f>
        <v>295.61647291643993</v>
      </c>
      <c r="AN4" s="59">
        <f ca="1">AVERAGE(OFFSET($AM$3,0,0,'Données projet'!$E$10+1,1))-AVERAGE(OFFSET($H$3,0,0,'Données projet'!$E$10+1,1))</f>
        <v>148.39628895278571</v>
      </c>
      <c r="AO4" s="59">
        <f>$AO$3</f>
        <v>361.07991692964788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2.8</v>
      </c>
      <c r="BD4" s="12">
        <f>IF('Données projet'!$A$88&gt;35,BD3+BC4-BL3,IF(A4&lt;'Données projet'!$A$88,$BA$205^A4,IF(A4='Données projet'!$A$88,'Données projet'!$B$88,BD3+BC4-BL3)))</f>
        <v>1.282970348825361</v>
      </c>
      <c r="BE4" s="13">
        <f>BD4*VLOOKUP('Données projet'!$B$11,Paramètres!$A$1:$I$89,3,0)*VLOOKUP('Données projet'!$B$11,Paramètres!$A$1:$I$89,5,0)</f>
        <v>1.040745546967133</v>
      </c>
      <c r="BF4" s="13">
        <f>EXP(-1.0587+0.8836*LN(BE4)+0.284)</f>
        <v>0.47739483859767334</v>
      </c>
      <c r="BG4" s="20">
        <f t="shared" ref="BG4:BG67" si="7">(BE4+BF4)*0.475*44/12</f>
        <v>2.6440945048587046</v>
      </c>
      <c r="BH4" s="59">
        <f t="shared" ref="BH4:BH67" si="8">BG4+(AY4+AZ4)*44/12</f>
        <v>295.977427838192</v>
      </c>
      <c r="BI4" s="59">
        <f ca="1">AVERAGE(OFFSET($BH$3,0,0,'Données projet'!$E$11+1,1))-AVERAGE(OFFSET($H$3,0,0,'Données projet'!$E$11+1,1))</f>
        <v>181.20458942529478</v>
      </c>
      <c r="BJ4" s="59">
        <f>$BJ$3</f>
        <v>144.05254691566421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</v>
      </c>
      <c r="BY4" s="12">
        <f>IF('Données projet'!$A$114&gt;35,BY3+BX4-CG3,IF(A4&lt;'Données projet'!$A$114,$BV$205^A4,IF(A4='Données projet'!$A$114,'Données projet'!$B$114,BY3+BX4-CG3)))</f>
        <v>2</v>
      </c>
      <c r="BZ4" s="13">
        <f>BY4*VLOOKUP('Données projet'!$B$12,Paramètres!$A$1:$I$89,3,0)*VLOOKUP('Données projet'!$B$12,Paramètres!$A$1:$I$89,5,0)</f>
        <v>1.7472000000000003</v>
      </c>
      <c r="CA4" s="13">
        <f>EXP(-1.0587+0.8836*LN(BZ4)+0.284)</f>
        <v>0.75454649280048791</v>
      </c>
      <c r="CB4" s="20">
        <f t="shared" ref="CB4:CB67" si="10">(BZ4+CA4)*0.475*44/12</f>
        <v>4.3572084749608502</v>
      </c>
      <c r="CC4" s="59">
        <f t="shared" ref="CC4:CC67" si="11">CB4+(BT4+BU4)*44/12</f>
        <v>297.69054180829414</v>
      </c>
      <c r="CD4" s="59">
        <f ca="1">AVERAGE(OFFSET($CC$3,0,0,'Données projet'!$E$12+1,1))-AVERAGE(OFFSET($H$3,0,0,'Données projet'!$E$12+1,1))</f>
        <v>164.24405955980575</v>
      </c>
      <c r="CE4" s="59">
        <f>$CE$3</f>
        <v>379.20713858755209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7.5454545454545459</v>
      </c>
      <c r="AI5" s="13">
        <f>IF('Données projet'!$A$62&gt;35,AI4+AH5-AQ4,IF(A5&lt;'Données projet'!$A$62,$AF$205^A5,IF(A5='Données projet'!$A$62,'Données projet'!$B$62,AI4+AH5-AQ4)))</f>
        <v>2.2331777364465815</v>
      </c>
      <c r="AJ5" s="13">
        <f>AI5*VLOOKUP('Données projet'!$B$10,Paramètres!$A$1:$I$89,3,0)*VLOOKUP('Données projet'!$B$10,Paramètres!$A$1:$I$89,5,0)</f>
        <v>1.3354402863950559</v>
      </c>
      <c r="AK5" s="13">
        <f t="shared" ref="AK5:AK68" si="35">EXP(-1.0587+0.8836*LN(AJ5)+0.284)</f>
        <v>0.59505053454406853</v>
      </c>
      <c r="AL5" s="20">
        <f t="shared" si="4"/>
        <v>3.3622715131356418</v>
      </c>
      <c r="AM5" s="59">
        <f t="shared" si="5"/>
        <v>296.69560484646894</v>
      </c>
      <c r="AN5" s="59">
        <f ca="1">AVERAGE(OFFSET($AM$3,0,0,'Données projet'!$E$10+1,1))-AVERAGE(OFFSET($H$3,0,0,'Données projet'!$E$10+1,1))</f>
        <v>148.39628895278571</v>
      </c>
      <c r="AO5" s="59">
        <f t="shared" ref="AO5:AO68" si="36">$AO$3</f>
        <v>361.07991692964788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2.8</v>
      </c>
      <c r="BD5" s="12">
        <f>IF('Données projet'!$A$88&gt;35,BD4+BC5-BL4,IF(A5&lt;'Données projet'!$A$88,$BA$205^A5,IF(A5='Données projet'!$A$88,'Données projet'!$B$88,BD4+BC5-BL4)))</f>
        <v>1.6460129159650685</v>
      </c>
      <c r="BE5" s="13">
        <f>BD5*VLOOKUP('Données projet'!$B$11,Paramètres!$A$1:$I$89,3,0)*VLOOKUP('Données projet'!$B$11,Paramètres!$A$1:$I$89,5,0)</f>
        <v>1.3352456774308636</v>
      </c>
      <c r="BF5" s="13">
        <f t="shared" ref="BF5:BF68" si="37">EXP(-1.0587+0.8836*LN(BE5)+0.284)</f>
        <v>0.59497391287501122</v>
      </c>
      <c r="BG5" s="20">
        <f t="shared" si="7"/>
        <v>3.3617991197827322</v>
      </c>
      <c r="BH5" s="59">
        <f t="shared" si="8"/>
        <v>296.69513245311606</v>
      </c>
      <c r="BI5" s="59">
        <f ca="1">AVERAGE(OFFSET($BH$3,0,0,'Données projet'!$E$11+1,1))-AVERAGE(OFFSET($H$3,0,0,'Données projet'!$E$11+1,1))</f>
        <v>181.20458942529478</v>
      </c>
      <c r="BJ5" s="59">
        <f t="shared" ref="BJ5:BJ68" si="38">$BJ$3</f>
        <v>144.05254691566421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>
        <f>VLOOKUP(A5,'Données projet'!$A$113:$I$133,2,0)</f>
        <v>4</v>
      </c>
      <c r="BW5" s="12">
        <f>VLOOKUP(A5,'Données projet'!$A$113:$I$133,9,0)</f>
        <v>2</v>
      </c>
      <c r="BX5" s="12">
        <f t="array" ref="BX5">INDEX(BW:BW,MIN(IF(ISNUMBER(BW5:BW201),ROW(BW5:BW201),"")))</f>
        <v>2</v>
      </c>
      <c r="BY5" s="12">
        <f>IF('Données projet'!$A$114&gt;35,BY4+BX5-CG4,IF(A5&lt;'Données projet'!$A$114,$BV$205^A5,IF(A5='Données projet'!$A$114,'Données projet'!$B$114,BY4+BX5-CG4)))</f>
        <v>4</v>
      </c>
      <c r="BZ5" s="13">
        <f>BY5*VLOOKUP('Données projet'!$B$12,Paramètres!$A$1:$I$89,3,0)*VLOOKUP('Données projet'!$B$12,Paramètres!$A$1:$I$89,5,0)</f>
        <v>3.4944000000000006</v>
      </c>
      <c r="CA5" s="13">
        <f t="shared" ref="CA5:CA68" si="39">EXP(-1.0587+0.8836*LN(BZ5)+0.284)</f>
        <v>1.392118192547003</v>
      </c>
      <c r="CB5" s="20">
        <f t="shared" si="10"/>
        <v>8.5106858520193658</v>
      </c>
      <c r="CC5" s="59">
        <f t="shared" si="11"/>
        <v>301.84401918535269</v>
      </c>
      <c r="CD5" s="59">
        <f ca="1">AVERAGE(OFFSET($CC$3,0,0,'Données projet'!$E$12+1,1))-AVERAGE(OFFSET($H$3,0,0,'Données projet'!$E$12+1,1))</f>
        <v>164.24405955980575</v>
      </c>
      <c r="CE5" s="59">
        <f t="shared" ref="CE5:CE68" si="40">$CE$3</f>
        <v>379.20713858755209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7.5454545454545459</v>
      </c>
      <c r="AI6" s="13">
        <f>IF('Données projet'!$A$62&gt;35,AI5+AH6-AQ5,IF(A6&lt;'Données projet'!$A$62,$AF$205^A6,IF(A6='Données projet'!$A$62,'Données projet'!$B$62,AI5+AH6-AQ5)))</f>
        <v>3.337220742548225</v>
      </c>
      <c r="AJ6" s="13">
        <f>AI6*VLOOKUP('Données projet'!$B$10,Paramètres!$A$1:$I$89,3,0)*VLOOKUP('Données projet'!$B$10,Paramètres!$A$1:$I$89,5,0)</f>
        <v>1.9956580040438385</v>
      </c>
      <c r="AK6" s="13">
        <f t="shared" si="35"/>
        <v>0.84861002696285914</v>
      </c>
      <c r="AL6" s="20">
        <f t="shared" si="4"/>
        <v>4.9537668206699985</v>
      </c>
      <c r="AM6" s="59">
        <f t="shared" si="5"/>
        <v>298.28710015400333</v>
      </c>
      <c r="AN6" s="59">
        <f ca="1">AVERAGE(OFFSET($AM$3,0,0,'Données projet'!$E$10+1,1))-AVERAGE(OFFSET($H$3,0,0,'Données projet'!$E$10+1,1))</f>
        <v>148.39628895278571</v>
      </c>
      <c r="AO6" s="59">
        <f t="shared" si="36"/>
        <v>361.07991692964788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2.8</v>
      </c>
      <c r="BD6" s="12">
        <f>IF('Données projet'!$A$88&gt;35,BD5+BC6-BL5,IF(A6&lt;'Données projet'!$A$88,$BA$205^A6,IF(A6='Données projet'!$A$88,'Données projet'!$B$88,BD5+BC6-BL5)))</f>
        <v>2.1117857649667533</v>
      </c>
      <c r="BE6" s="13">
        <f>BD6*VLOOKUP('Données projet'!$B$11,Paramètres!$A$1:$I$89,3,0)*VLOOKUP('Données projet'!$B$11,Paramètres!$A$1:$I$89,5,0)</f>
        <v>1.7130806125410305</v>
      </c>
      <c r="BF6" s="13">
        <f t="shared" si="37"/>
        <v>0.74151190666753608</v>
      </c>
      <c r="BG6" s="20">
        <f t="shared" si="7"/>
        <v>4.2750819709549202</v>
      </c>
      <c r="BH6" s="59">
        <f t="shared" si="8"/>
        <v>297.60841530428826</v>
      </c>
      <c r="BI6" s="59">
        <f ca="1">AVERAGE(OFFSET($BH$3,0,0,'Données projet'!$E$11+1,1))-AVERAGE(OFFSET($H$3,0,0,'Données projet'!$E$11+1,1))</f>
        <v>181.20458942529478</v>
      </c>
      <c r="BJ6" s="59">
        <f t="shared" si="38"/>
        <v>144.05254691566421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>
        <f>VLOOKUP(A6,'Données projet'!$A$113:$I$133,2,0)</f>
        <v>8</v>
      </c>
      <c r="BW6" s="12">
        <f>VLOOKUP(A6,'Données projet'!$A$113:$I$133,9,0)</f>
        <v>4</v>
      </c>
      <c r="BX6" s="12">
        <f t="array" ref="BX6">INDEX(BW:BW,MIN(IF(ISNUMBER(BW6:BW202),ROW(BW6:BW202),"")))</f>
        <v>4</v>
      </c>
      <c r="BY6" s="12">
        <f>IF('Données projet'!$A$114&gt;35,BY5+BX6-CG5,IF(A6&lt;'Données projet'!$A$114,$BV$205^A6,IF(A6='Données projet'!$A$114,'Données projet'!$B$114,BY5+BX6-CG5)))</f>
        <v>8</v>
      </c>
      <c r="BZ6" s="13">
        <f>BY6*VLOOKUP('Données projet'!$B$12,Paramètres!$A$1:$I$89,3,0)*VLOOKUP('Données projet'!$B$12,Paramètres!$A$1:$I$89,5,0)</f>
        <v>6.9888000000000012</v>
      </c>
      <c r="CA6" s="13">
        <f t="shared" si="39"/>
        <v>2.5684210058779842</v>
      </c>
      <c r="CB6" s="20">
        <f t="shared" si="10"/>
        <v>16.645493251904156</v>
      </c>
      <c r="CC6" s="59">
        <f t="shared" si="11"/>
        <v>309.97882658523747</v>
      </c>
      <c r="CD6" s="59">
        <f ca="1">AVERAGE(OFFSET($CC$3,0,0,'Données projet'!$E$12+1,1))-AVERAGE(OFFSET($H$3,0,0,'Données projet'!$E$12+1,1))</f>
        <v>164.24405955980575</v>
      </c>
      <c r="CE6" s="59">
        <f t="shared" si="40"/>
        <v>379.20713858755209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7.5454545454545459</v>
      </c>
      <c r="AI7" s="13">
        <f>IF('Données projet'!$A$62&gt;35,AI6+AH7-AQ6,IF(A7&lt;'Données projet'!$A$62,$AF$205^A7,IF(A7='Données projet'!$A$62,'Données projet'!$B$62,AI6+AH7-AQ6)))</f>
        <v>4.9870828025606775</v>
      </c>
      <c r="AJ7" s="13">
        <f>AI7*VLOOKUP('Données projet'!$B$10,Paramètres!$A$1:$I$89,3,0)*VLOOKUP('Données projet'!$B$10,Paramètres!$A$1:$I$89,5,0)</f>
        <v>2.9822755159312857</v>
      </c>
      <c r="AK7" s="13">
        <f t="shared" si="35"/>
        <v>1.2102148238782438</v>
      </c>
      <c r="AL7" s="20">
        <f t="shared" si="4"/>
        <v>7.3019206751682626</v>
      </c>
      <c r="AM7" s="59">
        <f t="shared" si="5"/>
        <v>300.63525400850159</v>
      </c>
      <c r="AN7" s="59">
        <f ca="1">AVERAGE(OFFSET($AM$3,0,0,'Données projet'!$E$10+1,1))-AVERAGE(OFFSET($H$3,0,0,'Données projet'!$E$10+1,1))</f>
        <v>148.39628895278571</v>
      </c>
      <c r="AO7" s="59">
        <f t="shared" si="36"/>
        <v>361.07991692964788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2.8</v>
      </c>
      <c r="BD7" s="12">
        <f>IF('Données projet'!$A$88&gt;35,BD6+BC7-BL6,IF(A7&lt;'Données projet'!$A$88,$BA$205^A7,IF(A7='Données projet'!$A$88,'Données projet'!$B$88,BD6+BC7-BL6)))</f>
        <v>2.7093585195238274</v>
      </c>
      <c r="BE7" s="13">
        <f>BD7*VLOOKUP('Données projet'!$B$11,Paramètres!$A$1:$I$89,3,0)*VLOOKUP('Données projet'!$B$11,Paramètres!$A$1:$I$89,5,0)</f>
        <v>2.197831631037729</v>
      </c>
      <c r="BF7" s="13">
        <f t="shared" si="37"/>
        <v>0.92414120322151361</v>
      </c>
      <c r="BG7" s="20">
        <f t="shared" si="7"/>
        <v>5.4374360196681799</v>
      </c>
      <c r="BH7" s="59">
        <f t="shared" si="8"/>
        <v>298.77076935300147</v>
      </c>
      <c r="BI7" s="59">
        <f ca="1">AVERAGE(OFFSET($BH$3,0,0,'Données projet'!$E$11+1,1))-AVERAGE(OFFSET($H$3,0,0,'Données projet'!$E$11+1,1))</f>
        <v>181.20458942529478</v>
      </c>
      <c r="BJ7" s="59">
        <f t="shared" si="38"/>
        <v>144.05254691566421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>
        <f>VLOOKUP(A7,'Données projet'!$A$113:$I$133,2,0)</f>
        <v>12</v>
      </c>
      <c r="BW7" s="12">
        <f>VLOOKUP(A7,'Données projet'!$A$113:$I$133,9,0)</f>
        <v>4</v>
      </c>
      <c r="BX7" s="12">
        <f t="array" ref="BX7">INDEX(BW:BW,MIN(IF(ISNUMBER(BW7:BW203),ROW(BW7:BW203),"")))</f>
        <v>4</v>
      </c>
      <c r="BY7" s="12">
        <f>IF('Données projet'!$A$114&gt;35,BY6+BX7-CG6,IF(A7&lt;'Données projet'!$A$114,$BV$205^A7,IF(A7='Données projet'!$A$114,'Données projet'!$B$114,BY6+BX7-CG6)))</f>
        <v>12</v>
      </c>
      <c r="BZ7" s="13">
        <f>BY7*VLOOKUP('Données projet'!$B$12,Paramètres!$A$1:$I$89,3,0)*VLOOKUP('Données projet'!$B$12,Paramètres!$A$1:$I$89,5,0)</f>
        <v>10.483200000000002</v>
      </c>
      <c r="CA7" s="13">
        <f t="shared" si="39"/>
        <v>3.6750262849765409</v>
      </c>
      <c r="CB7" s="20">
        <f t="shared" si="10"/>
        <v>24.65891077966748</v>
      </c>
      <c r="CC7" s="59">
        <f t="shared" si="11"/>
        <v>317.99224411300077</v>
      </c>
      <c r="CD7" s="59">
        <f ca="1">AVERAGE(OFFSET($CC$3,0,0,'Données projet'!$E$12+1,1))-AVERAGE(OFFSET($H$3,0,0,'Données projet'!$E$12+1,1))</f>
        <v>164.24405955980575</v>
      </c>
      <c r="CE7" s="59">
        <f t="shared" si="40"/>
        <v>379.20713858755209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7.5454545454545459</v>
      </c>
      <c r="AI8" s="13">
        <f>IF('Données projet'!$A$62&gt;35,AI7+AH8-AQ7,IF(A8&lt;'Données projet'!$A$62,$AF$205^A8,IF(A8='Données projet'!$A$62,'Données projet'!$B$62,AI7+AH8-AQ7)))</f>
        <v>7.4526070638664255</v>
      </c>
      <c r="AJ8" s="13">
        <f>AI8*VLOOKUP('Données projet'!$B$10,Paramètres!$A$1:$I$89,3,0)*VLOOKUP('Données projet'!$B$10,Paramètres!$A$1:$I$89,5,0)</f>
        <v>4.4566590241921231</v>
      </c>
      <c r="AK8" s="13">
        <f t="shared" si="35"/>
        <v>1.7259045655829262</v>
      </c>
      <c r="AL8" s="20">
        <f t="shared" si="4"/>
        <v>10.76796491885821</v>
      </c>
      <c r="AM8" s="59">
        <f t="shared" si="5"/>
        <v>304.1012982521915</v>
      </c>
      <c r="AN8" s="59">
        <f ca="1">AVERAGE(OFFSET($AM$3,0,0,'Données projet'!$E$10+1,1))-AVERAGE(OFFSET($H$3,0,0,'Données projet'!$E$10+1,1))</f>
        <v>148.39628895278571</v>
      </c>
      <c r="AO8" s="59">
        <f t="shared" si="36"/>
        <v>361.07991692964788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2.8</v>
      </c>
      <c r="BD8" s="12">
        <f>IF('Données projet'!$A$88&gt;35,BD7+BC8-BL7,IF(A8&lt;'Données projet'!$A$88,$BA$205^A8,IF(A8='Données projet'!$A$88,'Données projet'!$B$88,BD7+BC8-BL7)))</f>
        <v>3.4760266448864483</v>
      </c>
      <c r="BE8" s="13">
        <f>BD8*VLOOKUP('Données projet'!$B$11,Paramètres!$A$1:$I$89,3,0)*VLOOKUP('Données projet'!$B$11,Paramètres!$A$1:$I$89,5,0)</f>
        <v>2.8197528143318871</v>
      </c>
      <c r="BF8" s="13">
        <f t="shared" si="37"/>
        <v>1.1517508428554772</v>
      </c>
      <c r="BG8" s="20">
        <f t="shared" si="7"/>
        <v>6.9170355362679921</v>
      </c>
      <c r="BH8" s="59">
        <f t="shared" si="8"/>
        <v>300.25036886960129</v>
      </c>
      <c r="BI8" s="59">
        <f ca="1">AVERAGE(OFFSET($BH$3,0,0,'Données projet'!$E$11+1,1))-AVERAGE(OFFSET($H$3,0,0,'Données projet'!$E$11+1,1))</f>
        <v>181.20458942529478</v>
      </c>
      <c r="BJ8" s="59">
        <f t="shared" si="38"/>
        <v>144.05254691566421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>
        <f>VLOOKUP(A8,'Données projet'!$A$113:$I$133,2,0)</f>
        <v>20</v>
      </c>
      <c r="BW8" s="12">
        <f>VLOOKUP(A8,'Données projet'!$A$113:$I$133,9,0)</f>
        <v>8</v>
      </c>
      <c r="BX8" s="12">
        <f t="array" ref="BX8">INDEX(BW:BW,MIN(IF(ISNUMBER(BW8:BW204),ROW(BW8:BW204),"")))</f>
        <v>8</v>
      </c>
      <c r="BY8" s="12">
        <f>IF('Données projet'!$A$114&gt;35,BY7+BX8-CG7,IF(A8&lt;'Données projet'!$A$114,$BV$205^A8,IF(A8='Données projet'!$A$114,'Données projet'!$B$114,BY7+BX8-CG7)))</f>
        <v>20</v>
      </c>
      <c r="BZ8" s="13">
        <f>BY8*VLOOKUP('Données projet'!$B$12,Paramètres!$A$1:$I$89,3,0)*VLOOKUP('Données projet'!$B$12,Paramètres!$A$1:$I$89,5,0)</f>
        <v>17.472000000000001</v>
      </c>
      <c r="CA8" s="13">
        <f t="shared" si="39"/>
        <v>5.7714641827626956</v>
      </c>
      <c r="CB8" s="20">
        <f t="shared" si="10"/>
        <v>40.48236678497836</v>
      </c>
      <c r="CC8" s="59">
        <f t="shared" si="11"/>
        <v>333.81570011831167</v>
      </c>
      <c r="CD8" s="59">
        <f ca="1">AVERAGE(OFFSET($CC$3,0,0,'Données projet'!$E$12+1,1))-AVERAGE(OFFSET($H$3,0,0,'Données projet'!$E$12+1,1))</f>
        <v>164.24405955980575</v>
      </c>
      <c r="CE8" s="59">
        <f t="shared" si="40"/>
        <v>379.20713858755209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7.5454545454545459</v>
      </c>
      <c r="AI9" s="13">
        <f>IF('Données projet'!$A$62&gt;35,AI8+AH9-AQ8,IF(A9&lt;'Données projet'!$A$62,$AF$205^A9,IF(A9='Données projet'!$A$62,'Données projet'!$B$62,AI8+AH9-AQ8)))</f>
        <v>11.137042284494127</v>
      </c>
      <c r="AJ9" s="13">
        <f>AI9*VLOOKUP('Données projet'!$B$10,Paramètres!$A$1:$I$89,3,0)*VLOOKUP('Données projet'!$B$10,Paramètres!$A$1:$I$89,5,0)</f>
        <v>6.6599512861274883</v>
      </c>
      <c r="AK9" s="13">
        <f t="shared" si="35"/>
        <v>2.461337037629669</v>
      </c>
      <c r="AL9" s="20">
        <f t="shared" si="4"/>
        <v>15.886243830543714</v>
      </c>
      <c r="AM9" s="59">
        <f t="shared" si="5"/>
        <v>309.21957716387703</v>
      </c>
      <c r="AN9" s="59">
        <f ca="1">AVERAGE(OFFSET($AM$3,0,0,'Données projet'!$E$10+1,1))-AVERAGE(OFFSET($H$3,0,0,'Données projet'!$E$10+1,1))</f>
        <v>148.39628895278571</v>
      </c>
      <c r="AO9" s="59">
        <f t="shared" si="36"/>
        <v>361.07991692964788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2.8</v>
      </c>
      <c r="BD9" s="12">
        <f>IF('Données projet'!$A$88&gt;35,BD8+BC9-BL8,IF(A9&lt;'Données projet'!$A$88,$BA$205^A9,IF(A9='Données projet'!$A$88,'Données projet'!$B$88,BD8+BC9-BL8)))</f>
        <v>4.4596391171162164</v>
      </c>
      <c r="BE9" s="13">
        <f>BD9*VLOOKUP('Données projet'!$B$11,Paramètres!$A$1:$I$89,3,0)*VLOOKUP('Données projet'!$B$11,Paramètres!$A$1:$I$89,5,0)</f>
        <v>3.6176592518046751</v>
      </c>
      <c r="BF9" s="13">
        <f t="shared" si="37"/>
        <v>1.4354191755481527</v>
      </c>
      <c r="BG9" s="20">
        <f t="shared" si="7"/>
        <v>8.8007782609728427</v>
      </c>
      <c r="BH9" s="59">
        <f t="shared" si="8"/>
        <v>302.13411159430615</v>
      </c>
      <c r="BI9" s="59">
        <f ca="1">AVERAGE(OFFSET($BH$3,0,0,'Données projet'!$E$11+1,1))-AVERAGE(OFFSET($H$3,0,0,'Données projet'!$E$11+1,1))</f>
        <v>181.20458942529478</v>
      </c>
      <c r="BJ9" s="59">
        <f t="shared" si="38"/>
        <v>144.05254691566421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>
        <f>VLOOKUP(A9,'Données projet'!$A$113:$I$133,2,0)</f>
        <v>30</v>
      </c>
      <c r="BW9" s="12">
        <f>VLOOKUP(A9,'Données projet'!$A$113:$I$133,9,0)</f>
        <v>10</v>
      </c>
      <c r="BX9" s="12">
        <f t="array" ref="BX9">INDEX(BW:BW,MIN(IF(ISNUMBER(BW9:BW205),ROW(BW9:BW205),"")))</f>
        <v>10</v>
      </c>
      <c r="BY9" s="12">
        <f>IF('Données projet'!$A$114&gt;35,BY8+BX9-CG8,IF(A9&lt;'Données projet'!$A$114,$BV$205^A9,IF(A9='Données projet'!$A$114,'Données projet'!$B$114,BY8+BX9-CG8)))</f>
        <v>30</v>
      </c>
      <c r="BZ9" s="13">
        <f>BY9*VLOOKUP('Données projet'!$B$12,Paramètres!$A$1:$I$89,3,0)*VLOOKUP('Données projet'!$B$12,Paramètres!$A$1:$I$89,5,0)</f>
        <v>26.208000000000002</v>
      </c>
      <c r="CA9" s="13">
        <f t="shared" si="39"/>
        <v>8.2581019723450986</v>
      </c>
      <c r="CB9" s="20">
        <f t="shared" si="10"/>
        <v>60.028460935167708</v>
      </c>
      <c r="CC9" s="59">
        <f t="shared" si="11"/>
        <v>353.361794268501</v>
      </c>
      <c r="CD9" s="59">
        <f ca="1">AVERAGE(OFFSET($CC$3,0,0,'Données projet'!$E$12+1,1))-AVERAGE(OFFSET($H$3,0,0,'Données projet'!$E$12+1,1))</f>
        <v>164.24405955980575</v>
      </c>
      <c r="CE9" s="59">
        <f t="shared" si="40"/>
        <v>379.20713858755209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7.5454545454545459</v>
      </c>
      <c r="AI10" s="13">
        <f>IF('Données projet'!$A$62&gt;35,AI9+AH10-AQ9,IF(A10&lt;'Données projet'!$A$62,$AF$205^A10,IF(A10='Données projet'!$A$62,'Données projet'!$B$62,AI9+AH10-AQ9)))</f>
        <v>16.642996173511026</v>
      </c>
      <c r="AJ10" s="13">
        <f>AI10*VLOOKUP('Données projet'!$B$10,Paramètres!$A$1:$I$89,3,0)*VLOOKUP('Données projet'!$B$10,Paramètres!$A$1:$I$89,5,0)</f>
        <v>9.9525117117595947</v>
      </c>
      <c r="AK10" s="13">
        <f t="shared" si="35"/>
        <v>3.5101477414317164</v>
      </c>
      <c r="AL10" s="20">
        <f t="shared" si="4"/>
        <v>23.447465214308199</v>
      </c>
      <c r="AM10" s="59">
        <f t="shared" si="5"/>
        <v>316.7807985476415</v>
      </c>
      <c r="AN10" s="59">
        <f ca="1">AVERAGE(OFFSET($AM$3,0,0,'Données projet'!$E$10+1,1))-AVERAGE(OFFSET($H$3,0,0,'Données projet'!$E$10+1,1))</f>
        <v>148.39628895278571</v>
      </c>
      <c r="AO10" s="59">
        <f t="shared" si="36"/>
        <v>361.07991692964788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2.8</v>
      </c>
      <c r="BD10" s="12">
        <f>IF('Données projet'!$A$88&gt;35,BD9+BC10-BL9,IF(A10&lt;'Données projet'!$A$88,$BA$205^A10,IF(A10='Données projet'!$A$88,'Données projet'!$B$88,BD9+BC10-BL9)))</f>
        <v>5.7215847537218165</v>
      </c>
      <c r="BE10" s="13">
        <f>BD10*VLOOKUP('Données projet'!$B$11,Paramètres!$A$1:$I$89,3,0)*VLOOKUP('Données projet'!$B$11,Paramètres!$A$1:$I$89,5,0)</f>
        <v>4.6413495522191379</v>
      </c>
      <c r="BF10" s="13">
        <f t="shared" si="37"/>
        <v>1.7889530728912018</v>
      </c>
      <c r="BG10" s="20">
        <f t="shared" si="7"/>
        <v>11.199443738733841</v>
      </c>
      <c r="BH10" s="59">
        <f t="shared" si="8"/>
        <v>304.53277707206718</v>
      </c>
      <c r="BI10" s="59">
        <f ca="1">AVERAGE(OFFSET($BH$3,0,0,'Données projet'!$E$11+1,1))-AVERAGE(OFFSET($H$3,0,0,'Données projet'!$E$11+1,1))</f>
        <v>181.20458942529478</v>
      </c>
      <c r="BJ10" s="59">
        <f t="shared" si="38"/>
        <v>144.05254691566421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>
        <f>VLOOKUP(A10,'Données projet'!$A$113:$I$133,2,0)</f>
        <v>40</v>
      </c>
      <c r="BW10" s="12">
        <f>VLOOKUP(A10,'Données projet'!$A$113:$I$133,9,0)</f>
        <v>10</v>
      </c>
      <c r="BX10" s="12">
        <f t="array" ref="BX10">INDEX(BW:BW,MIN(IF(ISNUMBER(BW10:BW206),ROW(BW10:BW206),"")))</f>
        <v>10</v>
      </c>
      <c r="BY10" s="12">
        <f>IF('Données projet'!$A$114&gt;35,BY9+BX10-CG9,IF(A10&lt;'Données projet'!$A$114,$BV$205^A10,IF(A10='Données projet'!$A$114,'Données projet'!$B$114,BY9+BX10-CG9)))</f>
        <v>40</v>
      </c>
      <c r="BZ10" s="13">
        <f>BY10*VLOOKUP('Données projet'!$B$12,Paramètres!$A$1:$I$89,3,0)*VLOOKUP('Données projet'!$B$12,Paramètres!$A$1:$I$89,5,0)</f>
        <v>34.944000000000003</v>
      </c>
      <c r="CA10" s="13">
        <f t="shared" si="39"/>
        <v>10.648197775908045</v>
      </c>
      <c r="CB10" s="20">
        <f t="shared" si="10"/>
        <v>79.406411126373186</v>
      </c>
      <c r="CC10" s="59">
        <f t="shared" si="11"/>
        <v>372.73974445970651</v>
      </c>
      <c r="CD10" s="59">
        <f ca="1">AVERAGE(OFFSET($CC$3,0,0,'Données projet'!$E$12+1,1))-AVERAGE(OFFSET($H$3,0,0,'Données projet'!$E$12+1,1))</f>
        <v>164.24405955980575</v>
      </c>
      <c r="CE10" s="59">
        <f t="shared" si="40"/>
        <v>379.20713858755209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7.5454545454545459</v>
      </c>
      <c r="AI11" s="13">
        <f>IF('Données projet'!$A$62&gt;35,AI10+AH11-AQ10,IF(A11&lt;'Données projet'!$A$62,$AF$205^A11,IF(A11='Données projet'!$A$62,'Données projet'!$B$62,AI10+AH11-AQ10)))</f>
        <v>24.870994879596463</v>
      </c>
      <c r="AJ11" s="13">
        <f>AI11*VLOOKUP('Données projet'!$B$10,Paramètres!$A$1:$I$89,3,0)*VLOOKUP('Données projet'!$B$10,Paramètres!$A$1:$I$89,5,0)</f>
        <v>14.872854937998687</v>
      </c>
      <c r="AK11" s="13">
        <f t="shared" si="35"/>
        <v>5.0058715967414829</v>
      </c>
      <c r="AL11" s="20">
        <f t="shared" si="4"/>
        <v>34.622115381339128</v>
      </c>
      <c r="AM11" s="59">
        <f t="shared" si="5"/>
        <v>327.95544871467246</v>
      </c>
      <c r="AN11" s="59">
        <f ca="1">AVERAGE(OFFSET($AM$3,0,0,'Données projet'!$E$10+1,1))-AVERAGE(OFFSET($H$3,0,0,'Données projet'!$E$10+1,1))</f>
        <v>148.39628895278571</v>
      </c>
      <c r="AO11" s="59">
        <f t="shared" si="36"/>
        <v>361.07991692964788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2.8</v>
      </c>
      <c r="BD11" s="12">
        <f>IF('Données projet'!$A$88&gt;35,BD10+BC11-BL10,IF(A11&lt;'Données projet'!$A$88,$BA$205^A11,IF(A11='Données projet'!$A$88,'Données projet'!$B$88,BD10+BC11-BL10)))</f>
        <v>7.3406235873163457</v>
      </c>
      <c r="BE11" s="13">
        <f>BD11*VLOOKUP('Données projet'!$B$11,Paramètres!$A$1:$I$89,3,0)*VLOOKUP('Données projet'!$B$11,Paramètres!$A$1:$I$89,5,0)</f>
        <v>5.95471385403102</v>
      </c>
      <c r="BF11" s="13">
        <f t="shared" si="37"/>
        <v>2.2295599442474598</v>
      </c>
      <c r="BG11" s="20">
        <f t="shared" si="7"/>
        <v>14.254276865335017</v>
      </c>
      <c r="BH11" s="59">
        <f t="shared" si="8"/>
        <v>307.58761019866836</v>
      </c>
      <c r="BI11" s="59">
        <f ca="1">AVERAGE(OFFSET($BH$3,0,0,'Données projet'!$E$11+1,1))-AVERAGE(OFFSET($H$3,0,0,'Données projet'!$E$11+1,1))</f>
        <v>181.20458942529478</v>
      </c>
      <c r="BJ11" s="59">
        <f t="shared" si="38"/>
        <v>144.05254691566421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>
        <f>VLOOKUP(A11,'Données projet'!$A$113:$I$133,2,0)</f>
        <v>54</v>
      </c>
      <c r="BW11" s="12">
        <f>VLOOKUP(A11,'Données projet'!$A$113:$I$133,9,0)</f>
        <v>14</v>
      </c>
      <c r="BX11" s="12">
        <f t="array" ref="BX11">INDEX(BW:BW,MIN(IF(ISNUMBER(BW11:BW207),ROW(BW11:BW207),"")))</f>
        <v>14</v>
      </c>
      <c r="BY11" s="12">
        <f>IF('Données projet'!$A$114&gt;35,BY10+BX11-CG10,IF(A11&lt;'Données projet'!$A$114,$BV$205^A11,IF(A11='Données projet'!$A$114,'Données projet'!$B$114,BY10+BX11-CG10)))</f>
        <v>54</v>
      </c>
      <c r="BZ11" s="13">
        <f>BY11*VLOOKUP('Données projet'!$B$12,Paramètres!$A$1:$I$89,3,0)*VLOOKUP('Données projet'!$B$12,Paramètres!$A$1:$I$89,5,0)</f>
        <v>47.174400000000006</v>
      </c>
      <c r="CA11" s="13">
        <f t="shared" si="39"/>
        <v>13.881584044427933</v>
      </c>
      <c r="CB11" s="20">
        <f t="shared" si="10"/>
        <v>106.33917221071198</v>
      </c>
      <c r="CC11" s="59">
        <f t="shared" si="11"/>
        <v>399.67250554404529</v>
      </c>
      <c r="CD11" s="59">
        <f ca="1">AVERAGE(OFFSET($CC$3,0,0,'Données projet'!$E$12+1,1))-AVERAGE(OFFSET($H$3,0,0,'Données projet'!$E$12+1,1))</f>
        <v>164.24405955980575</v>
      </c>
      <c r="CE11" s="59">
        <f t="shared" si="40"/>
        <v>379.20713858755209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7.5454545454545459</v>
      </c>
      <c r="AI12" s="13">
        <f>IF('Données projet'!$A$62&gt;35,AI11+AH12-AQ11,IF(A12&lt;'Données projet'!$A$62,$AF$205^A12,IF(A12='Données projet'!$A$62,'Données projet'!$B$62,AI11+AH12-AQ11)))</f>
        <v>37.166768522450475</v>
      </c>
      <c r="AJ12" s="13">
        <f>AI12*VLOOKUP('Données projet'!$B$10,Paramètres!$A$1:$I$89,3,0)*VLOOKUP('Données projet'!$B$10,Paramètres!$A$1:$I$89,5,0)</f>
        <v>22.225727576425388</v>
      </c>
      <c r="AK12" s="13">
        <f t="shared" si="35"/>
        <v>7.1389446510425687</v>
      </c>
      <c r="AL12" s="20">
        <f t="shared" si="4"/>
        <v>51.143470796173354</v>
      </c>
      <c r="AM12" s="59">
        <f t="shared" si="5"/>
        <v>344.47680412950666</v>
      </c>
      <c r="AN12" s="59">
        <f ca="1">AVERAGE(OFFSET($AM$3,0,0,'Données projet'!$E$10+1,1))-AVERAGE(OFFSET($H$3,0,0,'Données projet'!$E$10+1,1))</f>
        <v>148.39628895278571</v>
      </c>
      <c r="AO12" s="59">
        <f t="shared" si="36"/>
        <v>361.07991692964788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2.8</v>
      </c>
      <c r="BD12" s="12">
        <f>IF('Données projet'!$A$88&gt;35,BD11+BC12-BL11,IF(A12&lt;'Données projet'!$A$88,$BA$205^A12,IF(A12='Données projet'!$A$88,'Données projet'!$B$88,BD11+BC12-BL11)))</f>
        <v>9.4178024044149247</v>
      </c>
      <c r="BE12" s="13">
        <f>BD12*VLOOKUP('Données projet'!$B$11,Paramètres!$A$1:$I$89,3,0)*VLOOKUP('Données projet'!$B$11,Paramètres!$A$1:$I$89,5,0)</f>
        <v>7.639721310461387</v>
      </c>
      <c r="BF12" s="13">
        <f t="shared" si="37"/>
        <v>2.7786852658795538</v>
      </c>
      <c r="BG12" s="20">
        <f t="shared" si="7"/>
        <v>18.145391453793806</v>
      </c>
      <c r="BH12" s="59">
        <f t="shared" si="8"/>
        <v>311.47872478712713</v>
      </c>
      <c r="BI12" s="59">
        <f ca="1">AVERAGE(OFFSET($BH$3,0,0,'Données projet'!$E$11+1,1))-AVERAGE(OFFSET($H$3,0,0,'Données projet'!$E$11+1,1))</f>
        <v>181.20458942529478</v>
      </c>
      <c r="BJ12" s="59">
        <f t="shared" si="38"/>
        <v>144.05254691566421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>
        <f>VLOOKUP(A12,'Données projet'!$A$113:$I$133,2,0)</f>
        <v>70</v>
      </c>
      <c r="BW12" s="12">
        <f>VLOOKUP(A12,'Données projet'!$A$113:$I$133,9,0)</f>
        <v>16</v>
      </c>
      <c r="BX12" s="12">
        <f t="array" ref="BX12">INDEX(BW:BW,MIN(IF(ISNUMBER(BW12:BW208),ROW(BW12:BW208),"")))</f>
        <v>16</v>
      </c>
      <c r="BY12" s="12">
        <f>IF('Données projet'!$A$114&gt;35,BY11+BX12-CG11,IF(A12&lt;'Données projet'!$A$114,$BV$205^A12,IF(A12='Données projet'!$A$114,'Données projet'!$B$114,BY11+BX12-CG11)))</f>
        <v>70</v>
      </c>
      <c r="BZ12" s="13">
        <f>BY12*VLOOKUP('Données projet'!$B$12,Paramètres!$A$1:$I$89,3,0)*VLOOKUP('Données projet'!$B$12,Paramètres!$A$1:$I$89,5,0)</f>
        <v>61.152000000000008</v>
      </c>
      <c r="CA12" s="13">
        <f t="shared" si="39"/>
        <v>17.459207591071255</v>
      </c>
      <c r="CB12" s="20">
        <f t="shared" si="10"/>
        <v>136.91451988778243</v>
      </c>
      <c r="CC12" s="59">
        <f t="shared" si="11"/>
        <v>430.24785322111575</v>
      </c>
      <c r="CD12" s="59">
        <f ca="1">AVERAGE(OFFSET($CC$3,0,0,'Données projet'!$E$12+1,1))-AVERAGE(OFFSET($H$3,0,0,'Données projet'!$E$12+1,1))</f>
        <v>164.24405955980575</v>
      </c>
      <c r="CE12" s="59">
        <f t="shared" si="40"/>
        <v>379.20713858755209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7.5454545454545459</v>
      </c>
      <c r="AI13" s="13">
        <f>IF('Données projet'!$A$62&gt;35,AI12+AH13-AQ12,IF(A13&lt;'Données projet'!$A$62,$AF$205^A13,IF(A13='Données projet'!$A$62,'Données projet'!$B$62,AI12+AH13-AQ12)))</f>
        <v>55.541352048391744</v>
      </c>
      <c r="AJ13" s="13">
        <f>AI13*VLOOKUP('Données projet'!$B$10,Paramètres!$A$1:$I$89,3,0)*VLOOKUP('Données projet'!$B$10,Paramètres!$A$1:$I$89,5,0)</f>
        <v>33.213728524938269</v>
      </c>
      <c r="AK13" s="13">
        <f t="shared" si="35"/>
        <v>10.180950459021789</v>
      </c>
      <c r="AL13" s="20">
        <f t="shared" si="4"/>
        <v>75.579065897063757</v>
      </c>
      <c r="AM13" s="59">
        <f t="shared" si="5"/>
        <v>368.91239923039706</v>
      </c>
      <c r="AN13" s="59">
        <f ca="1">AVERAGE(OFFSET($AM$3,0,0,'Données projet'!$E$10+1,1))-AVERAGE(OFFSET($H$3,0,0,'Données projet'!$E$10+1,1))</f>
        <v>148.39628895278571</v>
      </c>
      <c r="AO13" s="59">
        <f t="shared" si="36"/>
        <v>361.07991692964788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2.8</v>
      </c>
      <c r="BD13" s="12">
        <f>IF('Données projet'!$A$88&gt;35,BD12+BC13-BL12,IF(A13&lt;'Données projet'!$A$88,$BA$205^A13,IF(A13='Données projet'!$A$88,'Données projet'!$B$88,BD12+BC13-BL12)))</f>
        <v>12.08276123596054</v>
      </c>
      <c r="BE13" s="13">
        <f>BD13*VLOOKUP('Données projet'!$B$11,Paramètres!$A$1:$I$89,3,0)*VLOOKUP('Données projet'!$B$11,Paramètres!$A$1:$I$89,5,0)</f>
        <v>9.8015359146111898</v>
      </c>
      <c r="BF13" s="13">
        <f t="shared" si="37"/>
        <v>3.4630563877582672</v>
      </c>
      <c r="BG13" s="20">
        <f t="shared" si="7"/>
        <v>23.102498259960139</v>
      </c>
      <c r="BH13" s="59">
        <f t="shared" si="8"/>
        <v>316.43583159329347</v>
      </c>
      <c r="BI13" s="59">
        <f ca="1">AVERAGE(OFFSET($BH$3,0,0,'Données projet'!$E$11+1,1))-AVERAGE(OFFSET($H$3,0,0,'Données projet'!$E$11+1,1))</f>
        <v>181.20458942529478</v>
      </c>
      <c r="BJ13" s="59">
        <f t="shared" si="38"/>
        <v>144.05254691566421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80</v>
      </c>
      <c r="BW13" s="12">
        <f>VLOOKUP(A13,'Données projet'!$A$113:$I$133,9,0)</f>
        <v>10</v>
      </c>
      <c r="BX13" s="12">
        <f t="array" ref="BX13">INDEX(BW:BW,MIN(IF(ISNUMBER(BW13:BW209),ROW(BW13:BW209),"")))</f>
        <v>10</v>
      </c>
      <c r="BY13" s="12">
        <f>IF('Données projet'!$A$114&gt;35,BY12+BX13-CG12,IF(A13&lt;'Données projet'!$A$114,$BV$205^A13,IF(A13='Données projet'!$A$114,'Données projet'!$B$114,BY12+BX13-CG12)))</f>
        <v>80</v>
      </c>
      <c r="BZ13" s="13">
        <f>BY13*VLOOKUP('Données projet'!$B$12,Paramètres!$A$1:$I$89,3,0)*VLOOKUP('Données projet'!$B$12,Paramètres!$A$1:$I$89,5,0)</f>
        <v>69.888000000000005</v>
      </c>
      <c r="CA13" s="13">
        <f t="shared" si="39"/>
        <v>19.645641432461961</v>
      </c>
      <c r="CB13" s="20">
        <f t="shared" si="10"/>
        <v>155.93775882820458</v>
      </c>
      <c r="CC13" s="59">
        <f t="shared" si="11"/>
        <v>449.27109216153792</v>
      </c>
      <c r="CD13" s="59">
        <f ca="1">AVERAGE(OFFSET($CC$3,0,0,'Données projet'!$E$12+1,1))-AVERAGE(OFFSET($H$3,0,0,'Données projet'!$E$12+1,1))</f>
        <v>164.24405955980575</v>
      </c>
      <c r="CE13" s="59">
        <f t="shared" si="40"/>
        <v>379.20713858755209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>
        <f>VLOOKUP(A14,'Données projet'!$A$61:$I$81,2,0)</f>
        <v>83</v>
      </c>
      <c r="AG14" s="12">
        <f>VLOOKUP(A14,'Données projet'!$A$61:$I$81,9,0)</f>
        <v>7.5454545454545459</v>
      </c>
      <c r="AH14" s="12">
        <f t="array" ref="AH14">INDEX(AG:AG,MIN(IF(ISNUMBER(AG14:AG210),ROW(AG14:AG210),"")))</f>
        <v>7.5454545454545459</v>
      </c>
      <c r="AI14" s="13">
        <f>IF('Données projet'!$A$62&gt;35,AI13+AH14-AQ13,IF(A14&lt;'Données projet'!$A$62,$AF$205^A14,IF(A14='Données projet'!$A$62,'Données projet'!$B$62,AI13+AH14-AQ13)))</f>
        <v>83</v>
      </c>
      <c r="AJ14" s="13">
        <f>AI14*VLOOKUP('Données projet'!$B$10,Paramètres!$A$1:$I$89,3,0)*VLOOKUP('Données projet'!$B$10,Paramètres!$A$1:$I$89,5,0)</f>
        <v>49.634</v>
      </c>
      <c r="AK14" s="13">
        <f t="shared" si="35"/>
        <v>14.519198189037462</v>
      </c>
      <c r="AL14" s="20">
        <f t="shared" si="4"/>
        <v>111.73348684590691</v>
      </c>
      <c r="AM14" s="59">
        <f t="shared" si="5"/>
        <v>405.06682017924021</v>
      </c>
      <c r="AN14" s="59">
        <f ca="1">AVERAGE(OFFSET($AM$3,0,0,'Données projet'!$E$10+1,1))-AVERAGE(OFFSET($H$3,0,0,'Données projet'!$E$10+1,1))</f>
        <v>148.39628895278571</v>
      </c>
      <c r="AO14" s="59">
        <f t="shared" si="36"/>
        <v>361.07991692964788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2.8</v>
      </c>
      <c r="BD14" s="12">
        <f>IF('Données projet'!$A$88&gt;35,BD13+BC14-BL13,IF(A14&lt;'Données projet'!$A$88,$BA$205^A14,IF(A14='Données projet'!$A$88,'Données projet'!$B$88,BD13+BC14-BL13)))</f>
        <v>15.501824397673841</v>
      </c>
      <c r="BE14" s="13">
        <f>BD14*VLOOKUP('Données projet'!$B$11,Paramètres!$A$1:$I$89,3,0)*VLOOKUP('Données projet'!$B$11,Paramètres!$A$1:$I$89,5,0)</f>
        <v>12.575079951393022</v>
      </c>
      <c r="BF14" s="13">
        <f t="shared" si="37"/>
        <v>4.3159834228282739</v>
      </c>
      <c r="BG14" s="20">
        <f t="shared" si="7"/>
        <v>29.418602043435424</v>
      </c>
      <c r="BH14" s="59">
        <f t="shared" si="8"/>
        <v>322.75193537676876</v>
      </c>
      <c r="BI14" s="59">
        <f ca="1">AVERAGE(OFFSET($BH$3,0,0,'Données projet'!$E$11+1,1))-AVERAGE(OFFSET($H$3,0,0,'Données projet'!$E$11+1,1))</f>
        <v>181.20458942529478</v>
      </c>
      <c r="BJ14" s="59">
        <f t="shared" si="38"/>
        <v>144.05254691566421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>
        <f>VLOOKUP(A14,'Données projet'!$A$113:$I$133,2,0)</f>
        <v>100</v>
      </c>
      <c r="BW14" s="12">
        <f>VLOOKUP(A14,'Données projet'!$A$113:$I$133,9,0)</f>
        <v>20</v>
      </c>
      <c r="BX14" s="12">
        <f t="array" ref="BX14">INDEX(BW:BW,MIN(IF(ISNUMBER(BW14:BW210),ROW(BW14:BW210),"")))</f>
        <v>20</v>
      </c>
      <c r="BY14" s="12">
        <f>IF('Données projet'!$A$114&gt;35,BY13+BX14-CG13,IF(A14&lt;'Données projet'!$A$114,$BV$205^A14,IF(A14='Données projet'!$A$114,'Données projet'!$B$114,BY13+BX14-CG13)))</f>
        <v>100</v>
      </c>
      <c r="BZ14" s="13">
        <f>BY14*VLOOKUP('Données projet'!$B$12,Paramètres!$A$1:$I$89,3,0)*VLOOKUP('Données projet'!$B$12,Paramètres!$A$1:$I$89,5,0)</f>
        <v>87.360000000000014</v>
      </c>
      <c r="CA14" s="13">
        <f t="shared" si="39"/>
        <v>23.927421530185931</v>
      </c>
      <c r="CB14" s="20">
        <f t="shared" si="10"/>
        <v>193.82559249840719</v>
      </c>
      <c r="CC14" s="59">
        <f t="shared" si="11"/>
        <v>487.15892583174048</v>
      </c>
      <c r="CD14" s="59">
        <f ca="1">AVERAGE(OFFSET($CC$3,0,0,'Données projet'!$E$12+1,1))-AVERAGE(OFFSET($H$3,0,0,'Données projet'!$E$12+1,1))</f>
        <v>164.24405955980575</v>
      </c>
      <c r="CE14" s="59">
        <f t="shared" si="40"/>
        <v>379.20713858755209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106</v>
      </c>
      <c r="AG15" s="12">
        <f>VLOOKUP(A15,'Données projet'!$A$61:$I$81,9,0)</f>
        <v>23</v>
      </c>
      <c r="AH15" s="12">
        <f t="array" ref="AH15">INDEX(AG:AG,MIN(IF(ISNUMBER(AG15:AG211),ROW(AG15:AG211),"")))</f>
        <v>23</v>
      </c>
      <c r="AI15" s="13">
        <f>IF('Données projet'!$A$62&gt;35,AI14+AH15-AQ14,IF(A15&lt;'Données projet'!$A$62,$AF$205^A15,IF(A15='Données projet'!$A$62,'Données projet'!$B$62,AI14+AH15-AQ14)))</f>
        <v>106</v>
      </c>
      <c r="AJ15" s="13">
        <f>AI15*VLOOKUP('Données projet'!$B$10,Paramètres!$A$1:$I$89,3,0)*VLOOKUP('Données projet'!$B$10,Paramètres!$A$1:$I$89,5,0)</f>
        <v>63.388000000000012</v>
      </c>
      <c r="AK15" s="13">
        <f t="shared" si="35"/>
        <v>18.022104085041263</v>
      </c>
      <c r="AL15" s="20">
        <f t="shared" si="4"/>
        <v>141.78926461478019</v>
      </c>
      <c r="AM15" s="59">
        <f t="shared" si="5"/>
        <v>435.12259794811348</v>
      </c>
      <c r="AN15" s="59">
        <f ca="1">AVERAGE(OFFSET($AM$3,0,0,'Données projet'!$E$10+1,1))-AVERAGE(OFFSET($H$3,0,0,'Données projet'!$E$10+1,1))</f>
        <v>148.39628895278571</v>
      </c>
      <c r="AO15" s="59">
        <f t="shared" si="36"/>
        <v>361.07991692964788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34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23.020547073308105</v>
      </c>
      <c r="AX15" s="21">
        <f t="shared" si="6"/>
        <v>23.020547073308105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2.8</v>
      </c>
      <c r="BD15" s="12">
        <f>IF('Données projet'!$A$88&gt;35,BD14+BC15-BL14,IF(A15&lt;'Données projet'!$A$88,$BA$205^A15,IF(A15='Données projet'!$A$88,'Données projet'!$B$88,BD14+BC15-BL14)))</f>
        <v>19.888381054913101</v>
      </c>
      <c r="BE15" s="13">
        <f>BD15*VLOOKUP('Données projet'!$B$11,Paramètres!$A$1:$I$89,3,0)*VLOOKUP('Données projet'!$B$11,Paramètres!$A$1:$I$89,5,0)</f>
        <v>16.133454711745507</v>
      </c>
      <c r="BF15" s="13">
        <f t="shared" si="37"/>
        <v>5.3789805363772061</v>
      </c>
      <c r="BG15" s="20">
        <f t="shared" si="7"/>
        <v>37.46749139048039</v>
      </c>
      <c r="BH15" s="59">
        <f t="shared" si="8"/>
        <v>330.80082472381372</v>
      </c>
      <c r="BI15" s="59">
        <f ca="1">AVERAGE(OFFSET($BH$3,0,0,'Données projet'!$E$11+1,1))-AVERAGE(OFFSET($H$3,0,0,'Données projet'!$E$11+1,1))</f>
        <v>181.20458942529478</v>
      </c>
      <c r="BJ15" s="59">
        <f t="shared" si="38"/>
        <v>144.05254691566421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>
        <f>VLOOKUP(A15,'Données projet'!$A$113:$I$133,2,0)</f>
        <v>120</v>
      </c>
      <c r="BW15" s="12">
        <f>VLOOKUP(A15,'Données projet'!$A$113:$I$133,9,0)</f>
        <v>20</v>
      </c>
      <c r="BX15" s="12">
        <f t="array" ref="BX15">INDEX(BW:BW,MIN(IF(ISNUMBER(BW15:BW211),ROW(BW15:BW211),"")))</f>
        <v>20</v>
      </c>
      <c r="BY15" s="12">
        <f>IF('Données projet'!$A$114&gt;35,BY14+BX15-CG14,IF(A15&lt;'Données projet'!$A$114,$BV$205^A15,IF(A15='Données projet'!$A$114,'Données projet'!$B$114,BY14+BX15-CG14)))</f>
        <v>120</v>
      </c>
      <c r="BZ15" s="13">
        <f>BY15*VLOOKUP('Données projet'!$B$12,Paramètres!$A$1:$I$89,3,0)*VLOOKUP('Données projet'!$B$12,Paramètres!$A$1:$I$89,5,0)</f>
        <v>104.83200000000001</v>
      </c>
      <c r="CA15" s="13">
        <f t="shared" si="39"/>
        <v>28.109974371137717</v>
      </c>
      <c r="CB15" s="20">
        <f t="shared" si="10"/>
        <v>231.54060536306486</v>
      </c>
      <c r="CC15" s="59">
        <f t="shared" si="11"/>
        <v>524.87393869639823</v>
      </c>
      <c r="CD15" s="59">
        <f ca="1">AVERAGE(OFFSET($CC$3,0,0,'Données projet'!$E$12+1,1))-AVERAGE(OFFSET($H$3,0,0,'Données projet'!$E$12+1,1))</f>
        <v>164.24405955980575</v>
      </c>
      <c r="CE15" s="59">
        <f t="shared" si="40"/>
        <v>379.20713858755209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>
        <f>VLOOKUP(A16,'Données projet'!$A$61:$I$81,2,0)</f>
        <v>89</v>
      </c>
      <c r="AG16" s="12">
        <f>VLOOKUP(A16,'Données projet'!$A$61:$I$81,9,0)</f>
        <v>17</v>
      </c>
      <c r="AH16" s="12">
        <f t="array" ref="AH16">INDEX(AG:AG,MIN(IF(ISNUMBER(AG16:AG212),ROW(AG16:AG212),"")))</f>
        <v>17</v>
      </c>
      <c r="AI16" s="13">
        <f>IF('Données projet'!$A$62&gt;35,AI15+AH16-AQ15,IF(A16&lt;'Données projet'!$A$62,$AF$205^A16,IF(A16='Données projet'!$A$62,'Données projet'!$B$62,AI15+AH16-AQ15)))</f>
        <v>89</v>
      </c>
      <c r="AJ16" s="13">
        <f>AI16*VLOOKUP('Données projet'!$B$10,Paramètres!$A$1:$I$89,3,0)*VLOOKUP('Données projet'!$B$10,Paramètres!$A$1:$I$89,5,0)</f>
        <v>53.222000000000008</v>
      </c>
      <c r="AK16" s="13">
        <f t="shared" si="35"/>
        <v>15.442806897867877</v>
      </c>
      <c r="AL16" s="20">
        <f t="shared" si="4"/>
        <v>119.59120534711991</v>
      </c>
      <c r="AM16" s="59">
        <f t="shared" si="5"/>
        <v>412.92453868045322</v>
      </c>
      <c r="AN16" s="59">
        <f ca="1">AVERAGE(OFFSET($AM$3,0,0,'Données projet'!$E$10+1,1))-AVERAGE(OFFSET($H$3,0,0,'Données projet'!$E$10+1,1))</f>
        <v>148.39628895278571</v>
      </c>
      <c r="AO16" s="59">
        <f t="shared" si="36"/>
        <v>361.07991692964788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16.277984942160291</v>
      </c>
      <c r="AX16" s="21">
        <f t="shared" si="6"/>
        <v>16.277984942160291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2.8</v>
      </c>
      <c r="BD16" s="12">
        <f>IF('Données projet'!$A$88&gt;35,BD15+BC16-BL15,IF(A16&lt;'Données projet'!$A$88,$BA$205^A16,IF(A16='Données projet'!$A$88,'Données projet'!$B$88,BD15+BC16-BL15)))</f>
        <v>25.51620317959356</v>
      </c>
      <c r="BE16" s="13">
        <f>BD16*VLOOKUP('Données projet'!$B$11,Paramètres!$A$1:$I$89,3,0)*VLOOKUP('Données projet'!$B$11,Paramètres!$A$1:$I$89,5,0)</f>
        <v>20.698744019286298</v>
      </c>
      <c r="BF16" s="13">
        <f t="shared" si="37"/>
        <v>6.7037865478557999</v>
      </c>
      <c r="BG16" s="20">
        <f t="shared" si="7"/>
        <v>47.72607407110582</v>
      </c>
      <c r="BH16" s="59">
        <f t="shared" si="8"/>
        <v>341.05940740443913</v>
      </c>
      <c r="BI16" s="59">
        <f ca="1">AVERAGE(OFFSET($BH$3,0,0,'Données projet'!$E$11+1,1))-AVERAGE(OFFSET($H$3,0,0,'Données projet'!$E$11+1,1))</f>
        <v>181.20458942529478</v>
      </c>
      <c r="BJ16" s="59">
        <f t="shared" si="38"/>
        <v>144.05254691566421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>
        <f>VLOOKUP(A16,'Données projet'!$A$113:$I$133,2,0)</f>
        <v>130</v>
      </c>
      <c r="BW16" s="12">
        <f>VLOOKUP(A16,'Données projet'!$A$113:$I$133,9,0)</f>
        <v>10</v>
      </c>
      <c r="BX16" s="12">
        <f t="array" ref="BX16">INDEX(BW:BW,MIN(IF(ISNUMBER(BW16:BW212),ROW(BW16:BW212),"")))</f>
        <v>10</v>
      </c>
      <c r="BY16" s="12">
        <f>IF('Données projet'!$A$114&gt;35,BY15+BX16-CG15,IF(A16&lt;'Données projet'!$A$114,$BV$205^A16,IF(A16='Données projet'!$A$114,'Données projet'!$B$114,BY15+BX16-CG15)))</f>
        <v>130</v>
      </c>
      <c r="BZ16" s="13">
        <f>BY16*VLOOKUP('Données projet'!$B$12,Paramètres!$A$1:$I$89,3,0)*VLOOKUP('Données projet'!$B$12,Paramètres!$A$1:$I$89,5,0)</f>
        <v>113.56800000000003</v>
      </c>
      <c r="CA16" s="13">
        <f t="shared" si="39"/>
        <v>30.17006506205821</v>
      </c>
      <c r="CB16" s="20">
        <f t="shared" si="10"/>
        <v>250.34379664975143</v>
      </c>
      <c r="CC16" s="59">
        <f t="shared" si="11"/>
        <v>543.6771299830848</v>
      </c>
      <c r="CD16" s="59">
        <f ca="1">AVERAGE(OFFSET($CC$3,0,0,'Données projet'!$E$12+1,1))-AVERAGE(OFFSET($H$3,0,0,'Données projet'!$E$12+1,1))</f>
        <v>164.24405955980575</v>
      </c>
      <c r="CE16" s="59">
        <f t="shared" si="40"/>
        <v>379.20713858755209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>
        <f>VLOOKUP(A17,'Données projet'!$A$61:$I$81,2,0)</f>
        <v>110</v>
      </c>
      <c r="AG17" s="12">
        <f>VLOOKUP(A17,'Données projet'!$A$61:$I$81,9,0)</f>
        <v>21</v>
      </c>
      <c r="AH17" s="12">
        <f t="array" ref="AH17">INDEX(AG:AG,MIN(IF(ISNUMBER(AG17:AG213),ROW(AG17:AG213),"")))</f>
        <v>21</v>
      </c>
      <c r="AI17" s="13">
        <f>IF('Données projet'!$A$62&gt;35,AI16+AH17-AQ16,IF(A17&lt;'Données projet'!$A$62,$AF$205^A17,IF(A17='Données projet'!$A$62,'Données projet'!$B$62,AI16+AH17-AQ16)))</f>
        <v>110</v>
      </c>
      <c r="AJ17" s="13">
        <f>AI17*VLOOKUP('Données projet'!$B$10,Paramètres!$A$1:$I$89,3,0)*VLOOKUP('Données projet'!$B$10,Paramètres!$A$1:$I$89,5,0)</f>
        <v>65.78</v>
      </c>
      <c r="AK17" s="13">
        <f t="shared" si="35"/>
        <v>18.621720661480644</v>
      </c>
      <c r="AL17" s="20">
        <f t="shared" si="4"/>
        <v>146.99966348541213</v>
      </c>
      <c r="AM17" s="59">
        <f t="shared" si="5"/>
        <v>440.33299681874541</v>
      </c>
      <c r="AN17" s="59">
        <f ca="1">AVERAGE(OFFSET($AM$3,0,0,'Données projet'!$E$10+1,1))-AVERAGE(OFFSET($H$3,0,0,'Données projet'!$E$10+1,1))</f>
        <v>148.39628895278571</v>
      </c>
      <c r="AO17" s="59">
        <f t="shared" si="36"/>
        <v>361.07991692964788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11.510273536654053</v>
      </c>
      <c r="AX17" s="21">
        <f t="shared" si="6"/>
        <v>11.510273536654053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2.8</v>
      </c>
      <c r="BD17" s="12">
        <f>IF('Données projet'!$A$88&gt;35,BD16+BC17-BL16,IF(A17&lt;'Données projet'!$A$88,$BA$205^A17,IF(A17='Données projet'!$A$88,'Données projet'!$B$88,BD16+BC17-BL16)))</f>
        <v>32.736532094021939</v>
      </c>
      <c r="BE17" s="13">
        <f>BD17*VLOOKUP('Données projet'!$B$11,Paramètres!$A$1:$I$89,3,0)*VLOOKUP('Données projet'!$B$11,Paramètres!$A$1:$I$89,5,0)</f>
        <v>26.5558748346706</v>
      </c>
      <c r="BF17" s="13">
        <f t="shared" si="37"/>
        <v>8.3548831930669891</v>
      </c>
      <c r="BG17" s="20">
        <f t="shared" si="7"/>
        <v>60.802903564976283</v>
      </c>
      <c r="BH17" s="59">
        <f t="shared" si="8"/>
        <v>354.13623689830962</v>
      </c>
      <c r="BI17" s="59">
        <f ca="1">AVERAGE(OFFSET($BH$3,0,0,'Données projet'!$E$11+1,1))-AVERAGE(OFFSET($H$3,0,0,'Données projet'!$E$11+1,1))</f>
        <v>181.20458942529478</v>
      </c>
      <c r="BJ17" s="59">
        <f t="shared" si="38"/>
        <v>144.05254691566421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>
        <f>VLOOKUP(A17,'Données projet'!$A$113:$I$133,2,0)</f>
        <v>145</v>
      </c>
      <c r="BW17" s="12">
        <f>VLOOKUP(A17,'Données projet'!$A$113:$I$133,9,0)</f>
        <v>15</v>
      </c>
      <c r="BX17" s="12">
        <f t="array" ref="BX17">INDEX(BW:BW,MIN(IF(ISNUMBER(BW17:BW213),ROW(BW17:BW213),"")))</f>
        <v>15</v>
      </c>
      <c r="BY17" s="12">
        <f>IF('Données projet'!$A$114&gt;35,BY16+BX17-CG16,IF(A17&lt;'Données projet'!$A$114,$BV$205^A17,IF(A17='Données projet'!$A$114,'Données projet'!$B$114,BY16+BX17-CG16)))</f>
        <v>145</v>
      </c>
      <c r="BZ17" s="13">
        <f>BY17*VLOOKUP('Données projet'!$B$12,Paramètres!$A$1:$I$89,3,0)*VLOOKUP('Données projet'!$B$12,Paramètres!$A$1:$I$89,5,0)</f>
        <v>126.67200000000001</v>
      </c>
      <c r="CA17" s="13">
        <f t="shared" si="39"/>
        <v>33.226199426361347</v>
      </c>
      <c r="CB17" s="20">
        <f t="shared" si="10"/>
        <v>278.48936400091276</v>
      </c>
      <c r="CC17" s="59">
        <f t="shared" si="11"/>
        <v>571.82269733424607</v>
      </c>
      <c r="CD17" s="59">
        <f ca="1">AVERAGE(OFFSET($CC$3,0,0,'Données projet'!$E$12+1,1))-AVERAGE(OFFSET($H$3,0,0,'Données projet'!$E$12+1,1))</f>
        <v>164.24405955980575</v>
      </c>
      <c r="CE17" s="59">
        <f t="shared" si="40"/>
        <v>379.20713858755209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131</v>
      </c>
      <c r="AG18" s="12">
        <f>VLOOKUP(A18,'Données projet'!$A$61:$I$81,9,0)</f>
        <v>21</v>
      </c>
      <c r="AH18" s="12">
        <f t="array" ref="AH18">INDEX(AG:AG,MIN(IF(ISNUMBER(AG18:AG214),ROW(AG18:AG214),"")))</f>
        <v>21</v>
      </c>
      <c r="AI18" s="13">
        <f>IF('Données projet'!$A$62&gt;35,AI17+AH18-AQ17,IF(A18&lt;'Données projet'!$A$62,$AF$205^A18,IF(A18='Données projet'!$A$62,'Données projet'!$B$62,AI17+AH18-AQ17)))</f>
        <v>131</v>
      </c>
      <c r="AJ18" s="13">
        <f>AI18*VLOOKUP('Données projet'!$B$10,Paramètres!$A$1:$I$89,3,0)*VLOOKUP('Données projet'!$B$10,Paramètres!$A$1:$I$89,5,0)</f>
        <v>78.338000000000008</v>
      </c>
      <c r="AK18" s="13">
        <f t="shared" si="35"/>
        <v>21.730321306378922</v>
      </c>
      <c r="AL18" s="20">
        <f t="shared" si="4"/>
        <v>174.28565960860999</v>
      </c>
      <c r="AM18" s="59">
        <f t="shared" si="5"/>
        <v>467.6189929419433</v>
      </c>
      <c r="AN18" s="59">
        <f ca="1">AVERAGE(OFFSET($AM$3,0,0,'Données projet'!$E$10+1,1))-AVERAGE(OFFSET($H$3,0,0,'Données projet'!$E$10+1,1))</f>
        <v>148.39628895278571</v>
      </c>
      <c r="AO18" s="59">
        <f t="shared" si="36"/>
        <v>361.07991692964788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8.1389924710801456</v>
      </c>
      <c r="AX18" s="21">
        <f t="shared" si="6"/>
        <v>8.1389924710801456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42</v>
      </c>
      <c r="BB18" s="12">
        <f>VLOOKUP(A18,'Données projet'!$A$87:$I$107,9,0)</f>
        <v>2.8</v>
      </c>
      <c r="BC18" s="12">
        <f t="array" ref="BC18">INDEX(BB:BB,MIN(IF(ISNUMBER(BB18:BB214),ROW(BB18:BB214),"")))</f>
        <v>2.8</v>
      </c>
      <c r="BD18" s="12">
        <f>IF('Données projet'!$A$88&gt;35,BD17+BC18-BL17,IF(A18&lt;'Données projet'!$A$88,$BA$205^A18,IF(A18='Données projet'!$A$88,'Données projet'!$B$88,BD17+BC18-BL17)))</f>
        <v>42</v>
      </c>
      <c r="BE18" s="13">
        <f>BD18*VLOOKUP('Données projet'!$B$11,Paramètres!$A$1:$I$89,3,0)*VLOOKUP('Données projet'!$B$11,Paramètres!$A$1:$I$89,5,0)</f>
        <v>34.070399999999999</v>
      </c>
      <c r="BF18" s="13">
        <f t="shared" si="37"/>
        <v>10.412633617059315</v>
      </c>
      <c r="BG18" s="20">
        <f t="shared" si="7"/>
        <v>77.474616883044959</v>
      </c>
      <c r="BH18" s="59">
        <f t="shared" si="8"/>
        <v>370.80795021637829</v>
      </c>
      <c r="BI18" s="59">
        <f ca="1">AVERAGE(OFFSET($BH$3,0,0,'Données projet'!$E$11+1,1))-AVERAGE(OFFSET($H$3,0,0,'Données projet'!$E$11+1,1))</f>
        <v>181.20458942529478</v>
      </c>
      <c r="BJ18" s="59">
        <f t="shared" si="38"/>
        <v>144.05254691566421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160</v>
      </c>
      <c r="BW18" s="12">
        <f>VLOOKUP(A18,'Données projet'!$A$113:$I$133,9,0)</f>
        <v>15</v>
      </c>
      <c r="BX18" s="12">
        <f t="array" ref="BX18">INDEX(BW:BW,MIN(IF(ISNUMBER(BW18:BW214),ROW(BW18:BW214),"")))</f>
        <v>15</v>
      </c>
      <c r="BY18" s="12">
        <f>IF('Données projet'!$A$114&gt;35,BY17+BX18-CG17,IF(A18&lt;'Données projet'!$A$114,$BV$205^A18,IF(A18='Données projet'!$A$114,'Données projet'!$B$114,BY17+BX18-CG17)))</f>
        <v>160</v>
      </c>
      <c r="BZ18" s="13">
        <f>BY18*VLOOKUP('Données projet'!$B$12,Paramètres!$A$1:$I$89,3,0)*VLOOKUP('Données projet'!$B$12,Paramètres!$A$1:$I$89,5,0)</f>
        <v>139.77600000000001</v>
      </c>
      <c r="CA18" s="13">
        <f t="shared" si="39"/>
        <v>36.245685459195286</v>
      </c>
      <c r="CB18" s="20">
        <f t="shared" si="10"/>
        <v>306.57110217476514</v>
      </c>
      <c r="CC18" s="59">
        <f t="shared" si="11"/>
        <v>599.90443550809846</v>
      </c>
      <c r="CD18" s="59">
        <f ca="1">AVERAGE(OFFSET($CC$3,0,0,'Données projet'!$E$12+1,1))-AVERAGE(OFFSET($H$3,0,0,'Données projet'!$E$12+1,1))</f>
        <v>164.24405955980575</v>
      </c>
      <c r="CE18" s="59">
        <f t="shared" si="40"/>
        <v>379.20713858755209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153</v>
      </c>
      <c r="AG19" s="12">
        <f>VLOOKUP(A19,'Données projet'!$A$61:$I$81,9,0)</f>
        <v>22</v>
      </c>
      <c r="AH19" s="12">
        <f t="array" ref="AH19">INDEX(AG:AG,MIN(IF(ISNUMBER(AG19:AG215),ROW(AG19:AG215),"")))</f>
        <v>22</v>
      </c>
      <c r="AI19" s="13">
        <f>IF('Données projet'!$A$62&gt;35,AI18+AH19-AQ18,IF(A19&lt;'Données projet'!$A$62,$AF$205^A19,IF(A19='Données projet'!$A$62,'Données projet'!$B$62,AI18+AH19-AQ18)))</f>
        <v>153</v>
      </c>
      <c r="AJ19" s="13">
        <f>AI19*VLOOKUP('Données projet'!$B$10,Paramètres!$A$1:$I$89,3,0)*VLOOKUP('Données projet'!$B$10,Paramètres!$A$1:$I$89,5,0)</f>
        <v>91.494000000000014</v>
      </c>
      <c r="AK19" s="13">
        <f t="shared" si="35"/>
        <v>24.925195840896542</v>
      </c>
      <c r="AL19" s="20">
        <f t="shared" si="4"/>
        <v>202.76343275622813</v>
      </c>
      <c r="AM19" s="59">
        <f t="shared" si="5"/>
        <v>496.09676608956147</v>
      </c>
      <c r="AN19" s="59">
        <f ca="1">AVERAGE(OFFSET($AM$3,0,0,'Données projet'!$E$10+1,1))-AVERAGE(OFFSET($H$3,0,0,'Données projet'!$E$10+1,1))</f>
        <v>148.39628895278571</v>
      </c>
      <c r="AO19" s="59">
        <f t="shared" si="36"/>
        <v>361.07991692964788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5.7551367683270263</v>
      </c>
      <c r="AX19" s="21">
        <f t="shared" si="6"/>
        <v>5.7551367683270263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5.4</v>
      </c>
      <c r="BD19" s="12">
        <f>IF('Données projet'!$A$88&gt;35,BD18+BC19-BL18,IF(A19&lt;'Données projet'!$A$88,$BA$205^A19,IF(A19='Données projet'!$A$88,'Données projet'!$B$88,BD18+BC19-BL18)))</f>
        <v>47.4</v>
      </c>
      <c r="BE19" s="13">
        <f>BD19*VLOOKUP('Données projet'!$B$11,Paramètres!$A$1:$I$89,3,0)*VLOOKUP('Données projet'!$B$11,Paramètres!$A$1:$I$89,5,0)</f>
        <v>38.450879999999998</v>
      </c>
      <c r="BF19" s="13">
        <f t="shared" si="37"/>
        <v>11.587113394776683</v>
      </c>
      <c r="BG19" s="20">
        <f t="shared" si="7"/>
        <v>87.149505162569383</v>
      </c>
      <c r="BH19" s="59">
        <f t="shared" si="8"/>
        <v>380.48283849590268</v>
      </c>
      <c r="BI19" s="59">
        <f ca="1">AVERAGE(OFFSET($BH$3,0,0,'Données projet'!$E$11+1,1))-AVERAGE(OFFSET($H$3,0,0,'Données projet'!$E$11+1,1))</f>
        <v>181.20458942529478</v>
      </c>
      <c r="BJ19" s="59">
        <f t="shared" si="38"/>
        <v>144.05254691566421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>
        <f>VLOOKUP(A19,'Données projet'!$A$113:$I$133,2,0)</f>
        <v>173</v>
      </c>
      <c r="BW19" s="12">
        <f>VLOOKUP(A19,'Données projet'!$A$113:$I$133,9,0)</f>
        <v>13</v>
      </c>
      <c r="BX19" s="12">
        <f t="array" ref="BX19">INDEX(BW:BW,MIN(IF(ISNUMBER(BW19:BW215),ROW(BW19:BW215),"")))</f>
        <v>13</v>
      </c>
      <c r="BY19" s="12">
        <f>IF('Données projet'!$A$114&gt;35,BY18+BX19-CG18,IF(A19&lt;'Données projet'!$A$114,$BV$205^A19,IF(A19='Données projet'!$A$114,'Données projet'!$B$114,BY18+BX19-CG18)))</f>
        <v>173</v>
      </c>
      <c r="BZ19" s="13">
        <f>BY19*VLOOKUP('Données projet'!$B$12,Paramètres!$A$1:$I$89,3,0)*VLOOKUP('Données projet'!$B$12,Paramètres!$A$1:$I$89,5,0)</f>
        <v>151.13280000000003</v>
      </c>
      <c r="CA19" s="13">
        <f t="shared" si="39"/>
        <v>38.835905653934425</v>
      </c>
      <c r="CB19" s="20">
        <f t="shared" si="10"/>
        <v>330.86216234726913</v>
      </c>
      <c r="CC19" s="59">
        <f t="shared" si="11"/>
        <v>624.19549568060245</v>
      </c>
      <c r="CD19" s="59">
        <f ca="1">AVERAGE(OFFSET($CC$3,0,0,'Données projet'!$E$12+1,1))-AVERAGE(OFFSET($H$3,0,0,'Données projet'!$E$12+1,1))</f>
        <v>164.24405955980575</v>
      </c>
      <c r="CE19" s="59">
        <f t="shared" si="40"/>
        <v>379.20713858755209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176</v>
      </c>
      <c r="AG20" s="12">
        <f>VLOOKUP(A20,'Données projet'!$A$61:$I$81,9,0)</f>
        <v>23</v>
      </c>
      <c r="AH20" s="12">
        <f t="array" ref="AH20">INDEX(AG:AG,MIN(IF(ISNUMBER(AG20:AG216),ROW(AG20:AG216),"")))</f>
        <v>23</v>
      </c>
      <c r="AI20" s="13">
        <f>IF('Données projet'!$A$62&gt;35,AI19+AH20-AQ19,IF(A20&lt;'Données projet'!$A$62,$AF$205^A20,IF(A20='Données projet'!$A$62,'Données projet'!$B$62,AI19+AH20-AQ19)))</f>
        <v>176</v>
      </c>
      <c r="AJ20" s="13">
        <f>AI20*VLOOKUP('Données projet'!$B$10,Paramètres!$A$1:$I$89,3,0)*VLOOKUP('Données projet'!$B$10,Paramètres!$A$1:$I$89,5,0)</f>
        <v>105.24800000000002</v>
      </c>
      <c r="AK20" s="13">
        <f t="shared" si="35"/>
        <v>28.208515027560551</v>
      </c>
      <c r="AL20" s="20">
        <f t="shared" si="4"/>
        <v>232.43676367300131</v>
      </c>
      <c r="AM20" s="59">
        <f t="shared" si="5"/>
        <v>525.77009700633459</v>
      </c>
      <c r="AN20" s="59">
        <f ca="1">AVERAGE(OFFSET($AM$3,0,0,'Données projet'!$E$10+1,1))-AVERAGE(OFFSET($H$3,0,0,'Données projet'!$E$10+1,1))</f>
        <v>148.39628895278571</v>
      </c>
      <c r="AO20" s="59">
        <f t="shared" si="36"/>
        <v>361.07991692964788</v>
      </c>
      <c r="AP20" s="15">
        <f>IF(ISNA(VLOOKUP(A20,'Données projet'!$A$61:$I$81,3,0)),0,VLOOKUP(A20,'Données projet'!$A$61:$I$81,3,0))</f>
        <v>2</v>
      </c>
      <c r="AQ20" s="15">
        <f>IF(ISNA(VLOOKUP(A20,'Données projet'!$A$61:$I$81,4,0)),0,VLOOKUP(A20,'Données projet'!$A$61:$I$81,4,0))</f>
        <v>43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0.45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15.289636188000259</v>
      </c>
      <c r="AW20" s="21">
        <f>EXP(-LN(2)/2)*AW19+(1-EXP(-LN(2)/2))/(LN(2)/2)*AQ20*AT20*VLOOKUP('Données projet'!$B$10,Paramètres!$A$1:$I$89,3,0)*0.475*44/12</f>
        <v>4.0694962355400728</v>
      </c>
      <c r="AX20" s="21">
        <f t="shared" si="6"/>
        <v>19.359132423540331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5.4</v>
      </c>
      <c r="BD20" s="12">
        <f>IF('Données projet'!$A$88&gt;35,BD19+BC20-BL19,IF(A20&lt;'Données projet'!$A$88,$BA$205^A20,IF(A20='Données projet'!$A$88,'Données projet'!$B$88,BD19+BC20-BL19)))</f>
        <v>52.8</v>
      </c>
      <c r="BE20" s="13">
        <f>BD20*VLOOKUP('Données projet'!$B$11,Paramètres!$A$1:$I$89,3,0)*VLOOKUP('Données projet'!$B$11,Paramètres!$A$1:$I$89,5,0)</f>
        <v>42.831360000000004</v>
      </c>
      <c r="BF20" s="13">
        <f t="shared" si="37"/>
        <v>12.746086115928794</v>
      </c>
      <c r="BG20" s="20">
        <f t="shared" si="7"/>
        <v>96.797385318575991</v>
      </c>
      <c r="BH20" s="59">
        <f t="shared" si="8"/>
        <v>390.13071865190932</v>
      </c>
      <c r="BI20" s="59">
        <f ca="1">AVERAGE(OFFSET($BH$3,0,0,'Données projet'!$E$11+1,1))-AVERAGE(OFFSET($H$3,0,0,'Données projet'!$E$11+1,1))</f>
        <v>181.20458942529478</v>
      </c>
      <c r="BJ20" s="59">
        <f t="shared" si="38"/>
        <v>144.05254691566421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>
        <f>VLOOKUP(A20,'Données projet'!$A$113:$I$133,2,0)</f>
        <v>185</v>
      </c>
      <c r="BW20" s="12">
        <f>VLOOKUP(A20,'Données projet'!$A$113:$I$133,9,0)</f>
        <v>12</v>
      </c>
      <c r="BX20" s="12">
        <f t="array" ref="BX20">INDEX(BW:BW,MIN(IF(ISNUMBER(BW20:BW216),ROW(BW20:BW216),"")))</f>
        <v>12</v>
      </c>
      <c r="BY20" s="12">
        <f>IF('Données projet'!$A$114&gt;35,BY19+BX20-CG19,IF(A20&lt;'Données projet'!$A$114,$BV$205^A20,IF(A20='Données projet'!$A$114,'Données projet'!$B$114,BY19+BX20-CG19)))</f>
        <v>185</v>
      </c>
      <c r="BZ20" s="13">
        <f>BY20*VLOOKUP('Données projet'!$B$12,Paramètres!$A$1:$I$89,3,0)*VLOOKUP('Données projet'!$B$12,Paramètres!$A$1:$I$89,5,0)</f>
        <v>161.61600000000001</v>
      </c>
      <c r="CA20" s="13">
        <f t="shared" si="39"/>
        <v>41.20679526204917</v>
      </c>
      <c r="CB20" s="20">
        <f t="shared" si="10"/>
        <v>353.24970174806896</v>
      </c>
      <c r="CC20" s="59">
        <f t="shared" si="11"/>
        <v>646.58303508140227</v>
      </c>
      <c r="CD20" s="59">
        <f ca="1">AVERAGE(OFFSET($CC$3,0,0,'Données projet'!$E$12+1,1))-AVERAGE(OFFSET($H$3,0,0,'Données projet'!$E$12+1,1))</f>
        <v>164.24405955980575</v>
      </c>
      <c r="CE20" s="59">
        <f t="shared" si="40"/>
        <v>379.20713858755209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151</v>
      </c>
      <c r="AG21" s="12">
        <f>VLOOKUP(A21,'Données projet'!$A$61:$I$81,9,0)</f>
        <v>18</v>
      </c>
      <c r="AH21" s="12">
        <f t="array" ref="AH21">INDEX(AG:AG,MIN(IF(ISNUMBER(AG21:AG217),ROW(AG21:AG217),"")))</f>
        <v>18</v>
      </c>
      <c r="AI21" s="13">
        <f>IF('Données projet'!$A$62&gt;35,AI20+AH21-AQ20,IF(A21&lt;'Données projet'!$A$62,$AF$205^A21,IF(A21='Données projet'!$A$62,'Données projet'!$B$62,AI20+AH21-AQ20)))</f>
        <v>151</v>
      </c>
      <c r="AJ21" s="13">
        <f>AI21*VLOOKUP('Données projet'!$B$10,Paramètres!$A$1:$I$89,3,0)*VLOOKUP('Données projet'!$B$10,Paramètres!$A$1:$I$89,5,0)</f>
        <v>90.298000000000016</v>
      </c>
      <c r="AK21" s="13">
        <f t="shared" si="35"/>
        <v>24.637081585210524</v>
      </c>
      <c r="AL21" s="20">
        <f t="shared" si="4"/>
        <v>200.17860042757502</v>
      </c>
      <c r="AM21" s="59">
        <f t="shared" si="5"/>
        <v>493.51193376090833</v>
      </c>
      <c r="AN21" s="59">
        <f ca="1">AVERAGE(OFFSET($AM$3,0,0,'Données projet'!$E$10+1,1))-AVERAGE(OFFSET($H$3,0,0,'Données projet'!$E$10+1,1))</f>
        <v>148.39628895278571</v>
      </c>
      <c r="AO21" s="59">
        <f t="shared" si="36"/>
        <v>361.07991692964788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14.871540282392369</v>
      </c>
      <c r="AW21" s="21">
        <f>EXP(-LN(2)/2)*AW20+(1-EXP(-LN(2)/2))/(LN(2)/2)*AQ21*AT21*VLOOKUP('Données projet'!$B$10,Paramètres!$A$1:$I$89,3,0)*0.475*44/12</f>
        <v>2.8775683841635131</v>
      </c>
      <c r="AX21" s="21">
        <f t="shared" si="6"/>
        <v>17.74910866655588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5.4</v>
      </c>
      <c r="BD21" s="12">
        <f>IF('Données projet'!$A$88&gt;35,BD20+BC21-BL20,IF(A21&lt;'Données projet'!$A$88,$BA$205^A21,IF(A21='Données projet'!$A$88,'Données projet'!$B$88,BD20+BC21-BL20)))</f>
        <v>58.199999999999996</v>
      </c>
      <c r="BE21" s="13">
        <f>BD21*VLOOKUP('Données projet'!$B$11,Paramètres!$A$1:$I$89,3,0)*VLOOKUP('Données projet'!$B$11,Paramètres!$A$1:$I$89,5,0)</f>
        <v>47.211840000000002</v>
      </c>
      <c r="BF21" s="13">
        <f t="shared" si="37"/>
        <v>13.891318331147987</v>
      </c>
      <c r="BG21" s="20">
        <f t="shared" si="7"/>
        <v>106.42133409341606</v>
      </c>
      <c r="BH21" s="59">
        <f t="shared" si="8"/>
        <v>399.75466742674939</v>
      </c>
      <c r="BI21" s="59">
        <f ca="1">AVERAGE(OFFSET($BH$3,0,0,'Données projet'!$E$11+1,1))-AVERAGE(OFFSET($H$3,0,0,'Données projet'!$E$11+1,1))</f>
        <v>181.20458942529478</v>
      </c>
      <c r="BJ21" s="59">
        <f t="shared" si="38"/>
        <v>144.05254691566421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>
        <f>VLOOKUP(A21,'Données projet'!$A$113:$I$133,2,0)</f>
        <v>195</v>
      </c>
      <c r="BW21" s="12">
        <f>VLOOKUP(A21,'Données projet'!$A$113:$I$133,9,0)</f>
        <v>10</v>
      </c>
      <c r="BX21" s="12">
        <f t="array" ref="BX21">INDEX(BW:BW,MIN(IF(ISNUMBER(BW21:BW217),ROW(BW21:BW217),"")))</f>
        <v>10</v>
      </c>
      <c r="BY21" s="12">
        <f>IF('Données projet'!$A$114&gt;35,BY20+BX21-CG20,IF(A21&lt;'Données projet'!$A$114,$BV$205^A21,IF(A21='Données projet'!$A$114,'Données projet'!$B$114,BY20+BX21-CG20)))</f>
        <v>195</v>
      </c>
      <c r="BZ21" s="13">
        <f>BY21*VLOOKUP('Données projet'!$B$12,Paramètres!$A$1:$I$89,3,0)*VLOOKUP('Données projet'!$B$12,Paramètres!$A$1:$I$89,5,0)</f>
        <v>170.35200000000003</v>
      </c>
      <c r="CA21" s="13">
        <f t="shared" si="39"/>
        <v>43.168850382694487</v>
      </c>
      <c r="CB21" s="20">
        <f t="shared" si="10"/>
        <v>371.88214774985954</v>
      </c>
      <c r="CC21" s="59">
        <f t="shared" si="11"/>
        <v>665.2154810831928</v>
      </c>
      <c r="CD21" s="59">
        <f ca="1">AVERAGE(OFFSET($CC$3,0,0,'Données projet'!$E$12+1,1))-AVERAGE(OFFSET($H$3,0,0,'Données projet'!$E$12+1,1))</f>
        <v>164.24405955980575</v>
      </c>
      <c r="CE21" s="59">
        <f t="shared" si="40"/>
        <v>379.20713858755209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171</v>
      </c>
      <c r="AG22" s="12">
        <f>VLOOKUP(A22,'Données projet'!$A$61:$I$81,9,0)</f>
        <v>20</v>
      </c>
      <c r="AH22" s="12">
        <f t="array" ref="AH22">INDEX(AG:AG,MIN(IF(ISNUMBER(AG22:AG218),ROW(AG22:AG218),"")))</f>
        <v>20</v>
      </c>
      <c r="AI22" s="13">
        <f>IF('Données projet'!$A$62&gt;35,AI21+AH22-AQ21,IF(A22&lt;'Données projet'!$A$62,$AF$205^A22,IF(A22='Données projet'!$A$62,'Données projet'!$B$62,AI21+AH22-AQ21)))</f>
        <v>171</v>
      </c>
      <c r="AJ22" s="13">
        <f>AI22*VLOOKUP('Données projet'!$B$10,Paramètres!$A$1:$I$89,3,0)*VLOOKUP('Données projet'!$B$10,Paramètres!$A$1:$I$89,5,0)</f>
        <v>102.258</v>
      </c>
      <c r="AK22" s="13">
        <f t="shared" si="35"/>
        <v>27.499233847895859</v>
      </c>
      <c r="AL22" s="20">
        <f t="shared" si="4"/>
        <v>225.99384895175194</v>
      </c>
      <c r="AM22" s="59">
        <f t="shared" si="5"/>
        <v>519.3271822850852</v>
      </c>
      <c r="AN22" s="59">
        <f ca="1">AVERAGE(OFFSET($AM$3,0,0,'Données projet'!$E$10+1,1))-AVERAGE(OFFSET($H$3,0,0,'Données projet'!$E$10+1,1))</f>
        <v>148.39628895278571</v>
      </c>
      <c r="AO22" s="59">
        <f t="shared" si="36"/>
        <v>361.07991692964788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14.464877231310036</v>
      </c>
      <c r="AW22" s="21">
        <f>EXP(-LN(2)/2)*AW21+(1-EXP(-LN(2)/2))/(LN(2)/2)*AQ22*AT22*VLOOKUP('Données projet'!$B$10,Paramètres!$A$1:$I$89,3,0)*0.475*44/12</f>
        <v>2.0347481177700364</v>
      </c>
      <c r="AX22" s="21">
        <f t="shared" si="6"/>
        <v>16.499625349080073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5.4</v>
      </c>
      <c r="BD22" s="12">
        <f>IF('Données projet'!$A$88&gt;35,BD21+BC22-BL21,IF(A22&lt;'Données projet'!$A$88,$BA$205^A22,IF(A22='Données projet'!$A$88,'Données projet'!$B$88,BD21+BC22-BL21)))</f>
        <v>63.599999999999994</v>
      </c>
      <c r="BE22" s="13">
        <f>BD22*VLOOKUP('Données projet'!$B$11,Paramètres!$A$1:$I$89,3,0)*VLOOKUP('Données projet'!$B$11,Paramètres!$A$1:$I$89,5,0)</f>
        <v>51.592319999999994</v>
      </c>
      <c r="BF22" s="13">
        <f t="shared" si="37"/>
        <v>15.024229944049157</v>
      </c>
      <c r="BG22" s="20">
        <f t="shared" si="7"/>
        <v>116.0238244858856</v>
      </c>
      <c r="BH22" s="59">
        <f t="shared" si="8"/>
        <v>409.35715781921891</v>
      </c>
      <c r="BI22" s="59">
        <f ca="1">AVERAGE(OFFSET($BH$3,0,0,'Données projet'!$E$11+1,1))-AVERAGE(OFFSET($H$3,0,0,'Données projet'!$E$11+1,1))</f>
        <v>181.20458942529478</v>
      </c>
      <c r="BJ22" s="59">
        <f t="shared" si="38"/>
        <v>144.05254691566421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>
        <f>VLOOKUP(A22,'Données projet'!$A$113:$I$133,2,0)</f>
        <v>205</v>
      </c>
      <c r="BW22" s="12">
        <f>VLOOKUP(A22,'Données projet'!$A$113:$I$133,9,0)</f>
        <v>10</v>
      </c>
      <c r="BX22" s="12">
        <f t="array" ref="BX22">INDEX(BW:BW,MIN(IF(ISNUMBER(BW22:BW218),ROW(BW22:BW218),"")))</f>
        <v>10</v>
      </c>
      <c r="BY22" s="12">
        <f>IF('Données projet'!$A$114&gt;35,BY21+BX22-CG21,IF(A22&lt;'Données projet'!$A$114,$BV$205^A22,IF(A22='Données projet'!$A$114,'Données projet'!$B$114,BY21+BX22-CG21)))</f>
        <v>205</v>
      </c>
      <c r="BZ22" s="13">
        <f>BY22*VLOOKUP('Données projet'!$B$12,Paramètres!$A$1:$I$89,3,0)*VLOOKUP('Données projet'!$B$12,Paramètres!$A$1:$I$89,5,0)</f>
        <v>179.08800000000002</v>
      </c>
      <c r="CA22" s="13">
        <f t="shared" si="39"/>
        <v>45.119223023956835</v>
      </c>
      <c r="CB22" s="20">
        <f t="shared" si="10"/>
        <v>390.49424676672487</v>
      </c>
      <c r="CC22" s="59">
        <f t="shared" si="11"/>
        <v>683.82758010005819</v>
      </c>
      <c r="CD22" s="59">
        <f ca="1">AVERAGE(OFFSET($CC$3,0,0,'Données projet'!$E$12+1,1))-AVERAGE(OFFSET($H$3,0,0,'Données projet'!$E$12+1,1))</f>
        <v>164.24405955980575</v>
      </c>
      <c r="CE22" s="59">
        <f t="shared" si="40"/>
        <v>379.20713858755209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192</v>
      </c>
      <c r="AG23" s="12">
        <f>VLOOKUP(A23,'Données projet'!$A$61:$I$81,9,0)</f>
        <v>21</v>
      </c>
      <c r="AH23" s="12">
        <f t="array" ref="AH23">INDEX(AG:AG,MIN(IF(ISNUMBER(AG23:AG219),ROW(AG23:AG219),"")))</f>
        <v>21</v>
      </c>
      <c r="AI23" s="13">
        <f>IF('Données projet'!$A$62&gt;35,AI22+AH23-AQ22,IF(A23&lt;'Données projet'!$A$62,$AF$205^A23,IF(A23='Données projet'!$A$62,'Données projet'!$B$62,AI22+AH23-AQ22)))</f>
        <v>192</v>
      </c>
      <c r="AJ23" s="13">
        <f>AI23*VLOOKUP('Données projet'!$B$10,Paramètres!$A$1:$I$89,3,0)*VLOOKUP('Données projet'!$B$10,Paramètres!$A$1:$I$89,5,0)</f>
        <v>114.81600000000002</v>
      </c>
      <c r="AK23" s="13">
        <f t="shared" si="35"/>
        <v>30.462826482209831</v>
      </c>
      <c r="AL23" s="20">
        <f t="shared" si="4"/>
        <v>253.02728945651543</v>
      </c>
      <c r="AM23" s="59">
        <f t="shared" si="5"/>
        <v>546.36062278984878</v>
      </c>
      <c r="AN23" s="59">
        <f ca="1">AVERAGE(OFFSET($AM$3,0,0,'Données projet'!$E$10+1,1))-AVERAGE(OFFSET($H$3,0,0,'Données projet'!$E$10+1,1))</f>
        <v>148.39628895278571</v>
      </c>
      <c r="AO23" s="59">
        <f t="shared" si="36"/>
        <v>361.07991692964788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14.06933440274503</v>
      </c>
      <c r="AW23" s="21">
        <f>EXP(-LN(2)/2)*AW22+(1-EXP(-LN(2)/2))/(LN(2)/2)*AQ23*AT23*VLOOKUP('Données projet'!$B$10,Paramètres!$A$1:$I$89,3,0)*0.475*44/12</f>
        <v>1.4387841920817566</v>
      </c>
      <c r="AX23" s="21">
        <f t="shared" si="6"/>
        <v>15.508118594826787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69</v>
      </c>
      <c r="BB23" s="12">
        <f>VLOOKUP(A23,'Données projet'!$A$87:$I$107,9,0)</f>
        <v>5.4</v>
      </c>
      <c r="BC23" s="12">
        <f t="array" ref="BC23">INDEX(BB:BB,MIN(IF(ISNUMBER(BB23:BB219),ROW(BB23:BB219),"")))</f>
        <v>5.4</v>
      </c>
      <c r="BD23" s="12">
        <f>IF('Données projet'!$A$88&gt;35,BD22+BC23-BL22,IF(A23&lt;'Données projet'!$A$88,$BA$205^A23,IF(A23='Données projet'!$A$88,'Données projet'!$B$88,BD22+BC23-BL22)))</f>
        <v>69</v>
      </c>
      <c r="BE23" s="13">
        <f>BD23*VLOOKUP('Données projet'!$B$11,Paramètres!$A$1:$I$89,3,0)*VLOOKUP('Données projet'!$B$11,Paramètres!$A$1:$I$89,5,0)</f>
        <v>55.972800000000007</v>
      </c>
      <c r="BF23" s="13">
        <f t="shared" si="37"/>
        <v>16.145985978099571</v>
      </c>
      <c r="BG23" s="20">
        <f t="shared" si="7"/>
        <v>125.60688557852342</v>
      </c>
      <c r="BH23" s="59">
        <f t="shared" si="8"/>
        <v>418.94021891185673</v>
      </c>
      <c r="BI23" s="59">
        <f ca="1">AVERAGE(OFFSET($BH$3,0,0,'Données projet'!$E$11+1,1))-AVERAGE(OFFSET($H$3,0,0,'Données projet'!$E$11+1,1))</f>
        <v>181.20458942529478</v>
      </c>
      <c r="BJ23" s="59">
        <f t="shared" si="38"/>
        <v>144.05254691566421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214</v>
      </c>
      <c r="BW23" s="12">
        <f>VLOOKUP(A23,'Données projet'!$A$113:$I$133,9,0)</f>
        <v>9</v>
      </c>
      <c r="BX23" s="12">
        <f t="array" ref="BX23">INDEX(BW:BW,MIN(IF(ISNUMBER(BW23:BW219),ROW(BW23:BW219),"")))</f>
        <v>9</v>
      </c>
      <c r="BY23" s="12">
        <f>IF('Données projet'!$A$114&gt;35,BY22+BX23-CG22,IF(A23&lt;'Données projet'!$A$114,$BV$205^A23,IF(A23='Données projet'!$A$114,'Données projet'!$B$114,BY22+BX23-CG22)))</f>
        <v>214</v>
      </c>
      <c r="BZ23" s="13">
        <f>BY23*VLOOKUP('Données projet'!$B$12,Paramètres!$A$1:$I$89,3,0)*VLOOKUP('Données projet'!$B$12,Paramètres!$A$1:$I$89,5,0)</f>
        <v>186.95040000000003</v>
      </c>
      <c r="CA23" s="13">
        <f t="shared" si="39"/>
        <v>46.865095976617653</v>
      </c>
      <c r="CB23" s="20">
        <f t="shared" si="10"/>
        <v>407.22865549260911</v>
      </c>
      <c r="CC23" s="59">
        <f t="shared" si="11"/>
        <v>700.56198882594242</v>
      </c>
      <c r="CD23" s="59">
        <f ca="1">AVERAGE(OFFSET($CC$3,0,0,'Données projet'!$E$12+1,1))-AVERAGE(OFFSET($H$3,0,0,'Données projet'!$E$12+1,1))</f>
        <v>164.24405955980575</v>
      </c>
      <c r="CE23" s="59">
        <f t="shared" si="40"/>
        <v>379.20713858755209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212</v>
      </c>
      <c r="AG24" s="12">
        <f>VLOOKUP(A24,'Données projet'!$A$61:$I$81,9,0)</f>
        <v>20</v>
      </c>
      <c r="AH24" s="12">
        <f t="array" ref="AH24">INDEX(AG:AG,MIN(IF(ISNUMBER(AG24:AG220),ROW(AG24:AG220),"")))</f>
        <v>20</v>
      </c>
      <c r="AI24" s="13">
        <f>IF('Données projet'!$A$62&gt;35,AI23+AH24-AQ23,IF(A24&lt;'Données projet'!$A$62,$AF$205^A24,IF(A24='Données projet'!$A$62,'Données projet'!$B$62,AI23+AH24-AQ23)))</f>
        <v>212</v>
      </c>
      <c r="AJ24" s="13">
        <f>AI24*VLOOKUP('Données projet'!$B$10,Paramètres!$A$1:$I$89,3,0)*VLOOKUP('Données projet'!$B$10,Paramètres!$A$1:$I$89,5,0)</f>
        <v>126.77600000000002</v>
      </c>
      <c r="AK24" s="13">
        <f t="shared" si="35"/>
        <v>33.250302273150254</v>
      </c>
      <c r="AL24" s="20">
        <f t="shared" si="4"/>
        <v>278.7124764590701</v>
      </c>
      <c r="AM24" s="59">
        <f t="shared" si="5"/>
        <v>572.04580979240336</v>
      </c>
      <c r="AN24" s="59">
        <f ca="1">AVERAGE(OFFSET($AM$3,0,0,'Données projet'!$E$10+1,1))-AVERAGE(OFFSET($H$3,0,0,'Données projet'!$E$10+1,1))</f>
        <v>148.39628895278571</v>
      </c>
      <c r="AO24" s="59">
        <f t="shared" si="36"/>
        <v>361.07991692964788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13.684607713627827</v>
      </c>
      <c r="AW24" s="21">
        <f>EXP(-LN(2)/2)*AW23+(1-EXP(-LN(2)/2))/(LN(2)/2)*AQ24*AT24*VLOOKUP('Données projet'!$B$10,Paramètres!$A$1:$I$89,3,0)*0.475*44/12</f>
        <v>1.0173740588850182</v>
      </c>
      <c r="AX24" s="21">
        <f t="shared" si="6"/>
        <v>14.701981772512845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5.8</v>
      </c>
      <c r="BD24" s="12">
        <f>IF('Données projet'!$A$88&gt;35,BD23+BC24-BL23,IF(A24&lt;'Données projet'!$A$88,$BA$205^A24,IF(A24='Données projet'!$A$88,'Données projet'!$B$88,BD23+BC24-BL23)))</f>
        <v>59.8</v>
      </c>
      <c r="BE24" s="13">
        <f>BD24*VLOOKUP('Données projet'!$B$11,Paramètres!$A$1:$I$89,3,0)*VLOOKUP('Données projet'!$B$11,Paramètres!$A$1:$I$89,5,0)</f>
        <v>48.50976</v>
      </c>
      <c r="BF24" s="13">
        <f t="shared" si="37"/>
        <v>14.228223566336322</v>
      </c>
      <c r="BG24" s="20">
        <f t="shared" si="7"/>
        <v>109.26865471136909</v>
      </c>
      <c r="BH24" s="59">
        <f t="shared" si="8"/>
        <v>402.60198804470241</v>
      </c>
      <c r="BI24" s="59">
        <f ca="1">AVERAGE(OFFSET($BH$3,0,0,'Données projet'!$E$11+1,1))-AVERAGE(OFFSET($H$3,0,0,'Données projet'!$E$11+1,1))</f>
        <v>181.20458942529478</v>
      </c>
      <c r="BJ24" s="59">
        <f t="shared" si="38"/>
        <v>144.05254691566421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214</v>
      </c>
      <c r="BZ24" s="13">
        <f>BY24*VLOOKUP('Données projet'!$B$12,Paramètres!$A$1:$I$89,3,0)*VLOOKUP('Données projet'!$B$12,Paramètres!$A$1:$I$89,5,0)</f>
        <v>186.95040000000003</v>
      </c>
      <c r="CA24" s="13">
        <f t="shared" si="39"/>
        <v>46.865095976617653</v>
      </c>
      <c r="CB24" s="20">
        <f t="shared" si="10"/>
        <v>407.22865549260911</v>
      </c>
      <c r="CC24" s="59">
        <f t="shared" si="11"/>
        <v>700.56198882594242</v>
      </c>
      <c r="CD24" s="59">
        <f ca="1">AVERAGE(OFFSET($CC$3,0,0,'Données projet'!$E$12+1,1))-AVERAGE(OFFSET($H$3,0,0,'Données projet'!$E$12+1,1))</f>
        <v>164.24405955980575</v>
      </c>
      <c r="CE24" s="59">
        <f t="shared" si="40"/>
        <v>379.20713858755209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232</v>
      </c>
      <c r="AG25" s="12">
        <f>VLOOKUP(A25,'Données projet'!$A$61:$I$81,9,0)</f>
        <v>20</v>
      </c>
      <c r="AH25" s="12">
        <f t="array" ref="AH25">INDEX(AG:AG,MIN(IF(ISNUMBER(AG25:AG221),ROW(AG25:AG221),"")))</f>
        <v>20</v>
      </c>
      <c r="AI25" s="13">
        <f>IF('Données projet'!$A$62&gt;35,AI24+AH25-AQ24,IF(A25&lt;'Données projet'!$A$62,$AF$205^A25,IF(A25='Données projet'!$A$62,'Données projet'!$B$62,AI24+AH25-AQ24)))</f>
        <v>232</v>
      </c>
      <c r="AJ25" s="13">
        <f>AI25*VLOOKUP('Données projet'!$B$10,Paramètres!$A$1:$I$89,3,0)*VLOOKUP('Données projet'!$B$10,Paramètres!$A$1:$I$89,5,0)</f>
        <v>138.73599999999999</v>
      </c>
      <c r="AK25" s="13">
        <f t="shared" si="35"/>
        <v>36.007288175538044</v>
      </c>
      <c r="AL25" s="20">
        <f t="shared" si="4"/>
        <v>304.34456023906205</v>
      </c>
      <c r="AM25" s="59">
        <f t="shared" si="5"/>
        <v>597.67789357239531</v>
      </c>
      <c r="AN25" s="59">
        <f ca="1">AVERAGE(OFFSET($AM$3,0,0,'Données projet'!$E$10+1,1))-AVERAGE(OFFSET($H$3,0,0,'Données projet'!$E$10+1,1))</f>
        <v>148.39628895278571</v>
      </c>
      <c r="AO25" s="59">
        <f t="shared" si="36"/>
        <v>361.07991692964788</v>
      </c>
      <c r="AP25" s="15">
        <f>IF(ISNA(VLOOKUP(A25,'Données projet'!$A$61:$I$81,3,0)),0,VLOOKUP(A25,'Données projet'!$A$61:$I$81,3,0))</f>
        <v>3</v>
      </c>
      <c r="AQ25" s="15">
        <f>IF(ISNA(VLOOKUP(A25,'Données projet'!$A$61:$I$81,4,0)),0,VLOOKUP(A25,'Données projet'!$A$61:$I$81,4,0))</f>
        <v>56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0.45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33.222485733917239</v>
      </c>
      <c r="AW25" s="21">
        <f>EXP(-LN(2)/2)*AW24+(1-EXP(-LN(2)/2))/(LN(2)/2)*AQ25*AT25*VLOOKUP('Données projet'!$B$10,Paramètres!$A$1:$I$89,3,0)*0.475*44/12</f>
        <v>0.71939209604087828</v>
      </c>
      <c r="AX25" s="21">
        <f t="shared" si="6"/>
        <v>33.941877829958116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5.8</v>
      </c>
      <c r="BD25" s="12">
        <f>IF('Données projet'!$A$88&gt;35,BD24+BC25-BL24,IF(A25&lt;'Données projet'!$A$88,$BA$205^A25,IF(A25='Données projet'!$A$88,'Données projet'!$B$88,BD24+BC25-BL24)))</f>
        <v>65.599999999999994</v>
      </c>
      <c r="BE25" s="13">
        <f>BD25*VLOOKUP('Données projet'!$B$11,Paramètres!$A$1:$I$89,3,0)*VLOOKUP('Données projet'!$B$11,Paramètres!$A$1:$I$89,5,0)</f>
        <v>53.214719999999993</v>
      </c>
      <c r="BF25" s="13">
        <f t="shared" si="37"/>
        <v>15.440940408182183</v>
      </c>
      <c r="BG25" s="20">
        <f t="shared" si="7"/>
        <v>119.57527521091727</v>
      </c>
      <c r="BH25" s="59">
        <f t="shared" si="8"/>
        <v>412.90860854425057</v>
      </c>
      <c r="BI25" s="59">
        <f ca="1">AVERAGE(OFFSET($BH$3,0,0,'Données projet'!$E$11+1,1))-AVERAGE(OFFSET($H$3,0,0,'Données projet'!$E$11+1,1))</f>
        <v>181.20458942529478</v>
      </c>
      <c r="BJ25" s="59">
        <f t="shared" si="38"/>
        <v>144.05254691566421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214</v>
      </c>
      <c r="BZ25" s="13">
        <f>BY25*VLOOKUP('Données projet'!$B$12,Paramètres!$A$1:$I$89,3,0)*VLOOKUP('Données projet'!$B$12,Paramètres!$A$1:$I$89,5,0)</f>
        <v>186.95040000000003</v>
      </c>
      <c r="CA25" s="13">
        <f t="shared" si="39"/>
        <v>46.865095976617653</v>
      </c>
      <c r="CB25" s="20">
        <f t="shared" si="10"/>
        <v>407.22865549260911</v>
      </c>
      <c r="CC25" s="59">
        <f t="shared" si="11"/>
        <v>700.56198882594242</v>
      </c>
      <c r="CD25" s="59">
        <f ca="1">AVERAGE(OFFSET($CC$3,0,0,'Données projet'!$E$12+1,1))-AVERAGE(OFFSET($H$3,0,0,'Données projet'!$E$12+1,1))</f>
        <v>164.24405955980575</v>
      </c>
      <c r="CE25" s="59">
        <f t="shared" si="40"/>
        <v>379.20713858755209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>
        <f>VLOOKUP(A26,'Données projet'!$A$61:$I$81,2,0)</f>
        <v>192</v>
      </c>
      <c r="AG26" s="12">
        <f>VLOOKUP(A26,'Données projet'!$A$61:$I$81,9,0)</f>
        <v>16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192</v>
      </c>
      <c r="AJ26" s="13">
        <f>AI26*VLOOKUP('Données projet'!$B$10,Paramètres!$A$1:$I$89,3,0)*VLOOKUP('Données projet'!$B$10,Paramètres!$A$1:$I$89,5,0)</f>
        <v>114.81600000000002</v>
      </c>
      <c r="AK26" s="13">
        <f t="shared" si="35"/>
        <v>30.462826482209831</v>
      </c>
      <c r="AL26" s="20">
        <f t="shared" si="4"/>
        <v>253.02728945651543</v>
      </c>
      <c r="AM26" s="59">
        <f t="shared" si="5"/>
        <v>546.36062278984878</v>
      </c>
      <c r="AN26" s="59">
        <f ca="1">AVERAGE(OFFSET($AM$3,0,0,'Données projet'!$E$10+1,1))-AVERAGE(OFFSET($H$3,0,0,'Données projet'!$E$10+1,1))</f>
        <v>148.39628895278571</v>
      </c>
      <c r="AO26" s="59">
        <f t="shared" si="36"/>
        <v>361.07991692964788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32.314015114428678</v>
      </c>
      <c r="AW26" s="21">
        <f>EXP(-LN(2)/2)*AW25+(1-EXP(-LN(2)/2))/(LN(2)/2)*AQ26*AT26*VLOOKUP('Données projet'!$B$10,Paramètres!$A$1:$I$89,3,0)*0.475*44/12</f>
        <v>0.5086870294425091</v>
      </c>
      <c r="AX26" s="21">
        <f t="shared" si="6"/>
        <v>32.82270214387119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5.8</v>
      </c>
      <c r="BD26" s="12">
        <f>IF('Données projet'!$A$88&gt;35,BD25+BC26-BL25,IF(A26&lt;'Données projet'!$A$88,$BA$205^A26,IF(A26='Données projet'!$A$88,'Données projet'!$B$88,BD25+BC26-BL25)))</f>
        <v>71.399999999999991</v>
      </c>
      <c r="BE26" s="13">
        <f>BD26*VLOOKUP('Données projet'!$B$11,Paramètres!$A$1:$I$89,3,0)*VLOOKUP('Données projet'!$B$11,Paramètres!$A$1:$I$89,5,0)</f>
        <v>57.91968</v>
      </c>
      <c r="BF26" s="13">
        <f t="shared" si="37"/>
        <v>16.641223534705848</v>
      </c>
      <c r="BG26" s="20">
        <f t="shared" si="7"/>
        <v>129.860240322946</v>
      </c>
      <c r="BH26" s="59">
        <f t="shared" si="8"/>
        <v>423.19357365627934</v>
      </c>
      <c r="BI26" s="59">
        <f ca="1">AVERAGE(OFFSET($BH$3,0,0,'Données projet'!$E$11+1,1))-AVERAGE(OFFSET($H$3,0,0,'Données projet'!$E$11+1,1))</f>
        <v>181.20458942529478</v>
      </c>
      <c r="BJ26" s="59">
        <f t="shared" si="38"/>
        <v>144.05254691566421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214</v>
      </c>
      <c r="BZ26" s="13">
        <f>BY26*VLOOKUP('Données projet'!$B$12,Paramètres!$A$1:$I$89,3,0)*VLOOKUP('Données projet'!$B$12,Paramètres!$A$1:$I$89,5,0)</f>
        <v>186.95040000000003</v>
      </c>
      <c r="CA26" s="13">
        <f t="shared" si="39"/>
        <v>46.865095976617653</v>
      </c>
      <c r="CB26" s="20">
        <f t="shared" si="10"/>
        <v>407.22865549260911</v>
      </c>
      <c r="CC26" s="59">
        <f t="shared" si="11"/>
        <v>700.56198882594242</v>
      </c>
      <c r="CD26" s="59">
        <f ca="1">AVERAGE(OFFSET($CC$3,0,0,'Données projet'!$E$12+1,1))-AVERAGE(OFFSET($H$3,0,0,'Données projet'!$E$12+1,1))</f>
        <v>164.24405955980575</v>
      </c>
      <c r="CE26" s="59">
        <f t="shared" si="40"/>
        <v>379.20713858755209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209</v>
      </c>
      <c r="AG27" s="12">
        <f>VLOOKUP(A27,'Données projet'!$A$61:$I$81,9,0)</f>
        <v>17</v>
      </c>
      <c r="AH27" s="12">
        <f t="array" ref="AH27">INDEX(AG:AG,MIN(IF(ISNUMBER(AG27:AG223),ROW(AG27:AG223),"")))</f>
        <v>17</v>
      </c>
      <c r="AI27" s="13">
        <f>IF('Données projet'!$A$62&gt;35,AI26+AH27-AQ26,IF(A27&lt;'Données projet'!$A$62,$AF$205^A27,IF(A27='Données projet'!$A$62,'Données projet'!$B$62,AI26+AH27-AQ26)))</f>
        <v>209</v>
      </c>
      <c r="AJ27" s="13">
        <f>AI27*VLOOKUP('Données projet'!$B$10,Paramètres!$A$1:$I$89,3,0)*VLOOKUP('Données projet'!$B$10,Paramètres!$A$1:$I$89,5,0)</f>
        <v>124.982</v>
      </c>
      <c r="AK27" s="13">
        <f t="shared" si="35"/>
        <v>32.834203796212122</v>
      </c>
      <c r="AL27" s="20">
        <f t="shared" si="4"/>
        <v>274.86322161173604</v>
      </c>
      <c r="AM27" s="59">
        <f t="shared" si="5"/>
        <v>568.19655494506935</v>
      </c>
      <c r="AN27" s="59">
        <f ca="1">AVERAGE(OFFSET($AM$3,0,0,'Données projet'!$E$10+1,1))-AVERAGE(OFFSET($H$3,0,0,'Données projet'!$E$10+1,1))</f>
        <v>148.39628895278571</v>
      </c>
      <c r="AO27" s="59">
        <f t="shared" si="36"/>
        <v>361.07991692964788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31.430386671804424</v>
      </c>
      <c r="AW27" s="21">
        <f>EXP(-LN(2)/2)*AW26+(1-EXP(-LN(2)/2))/(LN(2)/2)*AQ27*AT27*VLOOKUP('Données projet'!$B$10,Paramètres!$A$1:$I$89,3,0)*0.475*44/12</f>
        <v>0.35969604802043914</v>
      </c>
      <c r="AX27" s="21">
        <f t="shared" si="6"/>
        <v>31.790082719824863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5.8</v>
      </c>
      <c r="BD27" s="12">
        <f>IF('Données projet'!$A$88&gt;35,BD26+BC27-BL26,IF(A27&lt;'Données projet'!$A$88,$BA$205^A27,IF(A27='Données projet'!$A$88,'Données projet'!$B$88,BD26+BC27-BL26)))</f>
        <v>77.199999999999989</v>
      </c>
      <c r="BE27" s="13">
        <f>BD27*VLOOKUP('Données projet'!$B$11,Paramètres!$A$1:$I$89,3,0)*VLOOKUP('Données projet'!$B$11,Paramètres!$A$1:$I$89,5,0)</f>
        <v>62.624639999999999</v>
      </c>
      <c r="BF27" s="13">
        <f t="shared" si="37"/>
        <v>17.830197796836153</v>
      </c>
      <c r="BG27" s="20">
        <f t="shared" si="7"/>
        <v>140.12550916282296</v>
      </c>
      <c r="BH27" s="59">
        <f t="shared" si="8"/>
        <v>433.45884249615631</v>
      </c>
      <c r="BI27" s="59">
        <f ca="1">AVERAGE(OFFSET($BH$3,0,0,'Données projet'!$E$11+1,1))-AVERAGE(OFFSET($H$3,0,0,'Données projet'!$E$11+1,1))</f>
        <v>181.20458942529478</v>
      </c>
      <c r="BJ27" s="59">
        <f t="shared" si="38"/>
        <v>144.05254691566421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214</v>
      </c>
      <c r="BZ27" s="13">
        <f>BY27*VLOOKUP('Données projet'!$B$12,Paramètres!$A$1:$I$89,3,0)*VLOOKUP('Données projet'!$B$12,Paramètres!$A$1:$I$89,5,0)</f>
        <v>186.95040000000003</v>
      </c>
      <c r="CA27" s="13">
        <f t="shared" si="39"/>
        <v>46.865095976617653</v>
      </c>
      <c r="CB27" s="20">
        <f t="shared" si="10"/>
        <v>407.22865549260911</v>
      </c>
      <c r="CC27" s="59">
        <f t="shared" si="11"/>
        <v>700.56198882594242</v>
      </c>
      <c r="CD27" s="59">
        <f ca="1">AVERAGE(OFFSET($CC$3,0,0,'Données projet'!$E$12+1,1))-AVERAGE(OFFSET($H$3,0,0,'Données projet'!$E$12+1,1))</f>
        <v>164.24405955980575</v>
      </c>
      <c r="CE27" s="59">
        <f t="shared" si="40"/>
        <v>379.20713858755209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226</v>
      </c>
      <c r="AG28" s="12">
        <f>VLOOKUP(A28,'Données projet'!$A$61:$I$81,9,0)</f>
        <v>17</v>
      </c>
      <c r="AH28" s="12">
        <f t="array" ref="AH28">INDEX(AG:AG,MIN(IF(ISNUMBER(AG28:AG224),ROW(AG28:AG224),"")))</f>
        <v>17</v>
      </c>
      <c r="AI28" s="13">
        <f>IF('Données projet'!$A$62&gt;35,AI27+AH28-AQ27,IF(A28&lt;'Données projet'!$A$62,$AF$205^A28,IF(A28='Données projet'!$A$62,'Données projet'!$B$62,AI27+AH28-AQ27)))</f>
        <v>226</v>
      </c>
      <c r="AJ28" s="13">
        <f>AI28*VLOOKUP('Données projet'!$B$10,Paramètres!$A$1:$I$89,3,0)*VLOOKUP('Données projet'!$B$10,Paramètres!$A$1:$I$89,5,0)</f>
        <v>135.14800000000002</v>
      </c>
      <c r="AK28" s="13">
        <f t="shared" si="35"/>
        <v>35.183208974998173</v>
      </c>
      <c r="AL28" s="20">
        <f t="shared" si="4"/>
        <v>296.66018896478852</v>
      </c>
      <c r="AM28" s="59">
        <f t="shared" si="5"/>
        <v>589.99352229812189</v>
      </c>
      <c r="AN28" s="59">
        <f ca="1">AVERAGE(OFFSET($AM$3,0,0,'Données projet'!$E$10+1,1))-AVERAGE(OFFSET($H$3,0,0,'Données projet'!$E$10+1,1))</f>
        <v>148.39628895278571</v>
      </c>
      <c r="AO28" s="59">
        <f t="shared" si="36"/>
        <v>361.07991692964788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30.570921095411734</v>
      </c>
      <c r="AW28" s="21">
        <f>EXP(-LN(2)/2)*AW27+(1-EXP(-LN(2)/2))/(LN(2)/2)*AQ28*AT28*VLOOKUP('Données projet'!$B$10,Paramètres!$A$1:$I$89,3,0)*0.475*44/12</f>
        <v>0.25434351472125455</v>
      </c>
      <c r="AX28" s="21">
        <f t="shared" si="6"/>
        <v>30.82526461013299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83</v>
      </c>
      <c r="BB28" s="12">
        <f>VLOOKUP(A28,'Données projet'!$A$87:$I$107,9,0)</f>
        <v>5.8</v>
      </c>
      <c r="BC28" s="12">
        <f t="array" ref="BC28">INDEX(BB:BB,MIN(IF(ISNUMBER(BB28:BB224),ROW(BB28:BB224),"")))</f>
        <v>5.8</v>
      </c>
      <c r="BD28" s="12">
        <f>IF('Données projet'!$A$88&gt;35,BD27+BC28-BL27,IF(A28&lt;'Données projet'!$A$88,$BA$205^A28,IF(A28='Données projet'!$A$88,'Données projet'!$B$88,BD27+BC28-BL27)))</f>
        <v>82.999999999999986</v>
      </c>
      <c r="BE28" s="13">
        <f>BD28*VLOOKUP('Données projet'!$B$11,Paramètres!$A$1:$I$89,3,0)*VLOOKUP('Données projet'!$B$11,Paramètres!$A$1:$I$89,5,0)</f>
        <v>67.329599999999999</v>
      </c>
      <c r="BF28" s="13">
        <f t="shared" si="37"/>
        <v>19.008809433660961</v>
      </c>
      <c r="BG28" s="20">
        <f t="shared" si="7"/>
        <v>150.37272976362615</v>
      </c>
      <c r="BH28" s="59">
        <f t="shared" si="8"/>
        <v>443.7060630969595</v>
      </c>
      <c r="BI28" s="59">
        <f ca="1">AVERAGE(OFFSET($BH$3,0,0,'Données projet'!$E$11+1,1))-AVERAGE(OFFSET($H$3,0,0,'Données projet'!$E$11+1,1))</f>
        <v>181.20458942529478</v>
      </c>
      <c r="BJ28" s="59">
        <f t="shared" si="38"/>
        <v>144.05254691566421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10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214</v>
      </c>
      <c r="BZ28" s="13">
        <f>BY28*VLOOKUP('Données projet'!$B$12,Paramètres!$A$1:$I$89,3,0)*VLOOKUP('Données projet'!$B$12,Paramètres!$A$1:$I$89,5,0)</f>
        <v>186.95040000000003</v>
      </c>
      <c r="CA28" s="13">
        <f t="shared" si="39"/>
        <v>46.865095976617653</v>
      </c>
      <c r="CB28" s="20">
        <f t="shared" si="10"/>
        <v>407.22865549260911</v>
      </c>
      <c r="CC28" s="59">
        <f t="shared" si="11"/>
        <v>700.56198882594242</v>
      </c>
      <c r="CD28" s="59">
        <f ca="1">AVERAGE(OFFSET($CC$3,0,0,'Données projet'!$E$12+1,1))-AVERAGE(OFFSET($H$3,0,0,'Données projet'!$E$12+1,1))</f>
        <v>164.24405955980575</v>
      </c>
      <c r="CE28" s="59">
        <f t="shared" si="40"/>
        <v>379.20713858755209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>
        <f>VLOOKUP(A29,'Données projet'!$A$61:$I$81,2,0)</f>
        <v>244</v>
      </c>
      <c r="AG29" s="12">
        <f>VLOOKUP(A29,'Données projet'!$A$61:$I$81,9,0)</f>
        <v>18</v>
      </c>
      <c r="AH29" s="12">
        <f t="array" ref="AH29">INDEX(AG:AG,MIN(IF(ISNUMBER(AG29:AG225),ROW(AG29:AG225),"")))</f>
        <v>18</v>
      </c>
      <c r="AI29" s="13">
        <f>IF('Données projet'!$A$62&gt;35,AI28+AH29-AQ28,IF(A29&lt;'Données projet'!$A$62,$AF$205^A29,IF(A29='Données projet'!$A$62,'Données projet'!$B$62,AI28+AH29-AQ28)))</f>
        <v>244</v>
      </c>
      <c r="AJ29" s="13">
        <f>AI29*VLOOKUP('Données projet'!$B$10,Paramètres!$A$1:$I$89,3,0)*VLOOKUP('Données projet'!$B$10,Paramètres!$A$1:$I$89,5,0)</f>
        <v>145.91200000000001</v>
      </c>
      <c r="AK29" s="13">
        <f t="shared" si="35"/>
        <v>37.648084239987625</v>
      </c>
      <c r="AL29" s="20">
        <f t="shared" si="4"/>
        <v>319.70048005131179</v>
      </c>
      <c r="AM29" s="59">
        <f t="shared" si="5"/>
        <v>613.0338133846451</v>
      </c>
      <c r="AN29" s="59">
        <f ca="1">AVERAGE(OFFSET($AM$3,0,0,'Données projet'!$E$10+1,1))-AVERAGE(OFFSET($H$3,0,0,'Données projet'!$E$10+1,1))</f>
        <v>148.39628895278571</v>
      </c>
      <c r="AO29" s="59">
        <f t="shared" si="36"/>
        <v>361.07991692964788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29.73495765040283</v>
      </c>
      <c r="AW29" s="21">
        <f>EXP(-LN(2)/2)*AW28+(1-EXP(-LN(2)/2))/(LN(2)/2)*AQ29*AT29*VLOOKUP('Données projet'!$B$10,Paramètres!$A$1:$I$89,3,0)*0.475*44/12</f>
        <v>0.17984802401021957</v>
      </c>
      <c r="AX29" s="21">
        <f t="shared" si="6"/>
        <v>29.914805674413049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</v>
      </c>
      <c r="BD29" s="12">
        <f>IF('Données projet'!$A$88&gt;35,BD28+BC29-BL28,IF(A29&lt;'Données projet'!$A$88,$BA$205^A29,IF(A29='Données projet'!$A$88,'Données projet'!$B$88,BD28+BC29-BL28)))</f>
        <v>78.999999999999986</v>
      </c>
      <c r="BE29" s="13">
        <f>BD29*VLOOKUP('Données projet'!$B$11,Paramètres!$A$1:$I$89,3,0)*VLOOKUP('Données projet'!$B$11,Paramètres!$A$1:$I$89,5,0)</f>
        <v>64.084799999999987</v>
      </c>
      <c r="BF29" s="13">
        <f t="shared" si="37"/>
        <v>18.197042620605469</v>
      </c>
      <c r="BG29" s="20">
        <f t="shared" si="7"/>
        <v>143.30754256422117</v>
      </c>
      <c r="BH29" s="59">
        <f t="shared" si="8"/>
        <v>436.64087589755445</v>
      </c>
      <c r="BI29" s="59">
        <f ca="1">AVERAGE(OFFSET($BH$3,0,0,'Données projet'!$E$11+1,1))-AVERAGE(OFFSET($H$3,0,0,'Données projet'!$E$11+1,1))</f>
        <v>181.20458942529478</v>
      </c>
      <c r="BJ29" s="59">
        <f t="shared" si="38"/>
        <v>144.05254691566421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214</v>
      </c>
      <c r="BZ29" s="13">
        <f>BY29*VLOOKUP('Données projet'!$B$12,Paramètres!$A$1:$I$89,3,0)*VLOOKUP('Données projet'!$B$12,Paramètres!$A$1:$I$89,5,0)</f>
        <v>186.95040000000003</v>
      </c>
      <c r="CA29" s="13">
        <f t="shared" si="39"/>
        <v>46.865095976617653</v>
      </c>
      <c r="CB29" s="20">
        <f t="shared" si="10"/>
        <v>407.22865549260911</v>
      </c>
      <c r="CC29" s="59">
        <f t="shared" si="11"/>
        <v>700.56198882594242</v>
      </c>
      <c r="CD29" s="59">
        <f ca="1">AVERAGE(OFFSET($CC$3,0,0,'Données projet'!$E$12+1,1))-AVERAGE(OFFSET($H$3,0,0,'Données projet'!$E$12+1,1))</f>
        <v>164.24405955980575</v>
      </c>
      <c r="CE29" s="59">
        <f t="shared" si="40"/>
        <v>379.20713858755209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>
        <f>VLOOKUP(A30,'Données projet'!$A$61:$I$81,2,0)</f>
        <v>261</v>
      </c>
      <c r="AG30" s="12">
        <f>VLOOKUP(A30,'Données projet'!$A$61:$I$81,9,0)</f>
        <v>17</v>
      </c>
      <c r="AH30" s="12">
        <f t="array" ref="AH30">INDEX(AG:AG,MIN(IF(ISNUMBER(AG30:AG226),ROW(AG30:AG226),"")))</f>
        <v>17</v>
      </c>
      <c r="AI30" s="13">
        <f>IF('Données projet'!$A$62&gt;35,AI29+AH30-AQ29,IF(A30&lt;'Données projet'!$A$62,$AF$205^A30,IF(A30='Données projet'!$A$62,'Données projet'!$B$62,AI29+AH30-AQ29)))</f>
        <v>261</v>
      </c>
      <c r="AJ30" s="13">
        <f>AI30*VLOOKUP('Données projet'!$B$10,Paramètres!$A$1:$I$89,3,0)*VLOOKUP('Données projet'!$B$10,Paramètres!$A$1:$I$89,5,0)</f>
        <v>156.078</v>
      </c>
      <c r="AK30" s="13">
        <f t="shared" si="35"/>
        <v>39.956623674978466</v>
      </c>
      <c r="AL30" s="20">
        <f t="shared" si="4"/>
        <v>341.42696956725416</v>
      </c>
      <c r="AM30" s="59">
        <f t="shared" si="5"/>
        <v>634.76030290058748</v>
      </c>
      <c r="AN30" s="59">
        <f ca="1">AVERAGE(OFFSET($AM$3,0,0,'Données projet'!$E$10+1,1))-AVERAGE(OFFSET($H$3,0,0,'Données projet'!$E$10+1,1))</f>
        <v>148.39628895278571</v>
      </c>
      <c r="AO30" s="59">
        <f t="shared" si="36"/>
        <v>361.07991692964788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28.921853669759102</v>
      </c>
      <c r="AW30" s="21">
        <f>EXP(-LN(2)/2)*AW29+(1-EXP(-LN(2)/2))/(LN(2)/2)*AQ30*AT30*VLOOKUP('Données projet'!$B$10,Paramètres!$A$1:$I$89,3,0)*0.475*44/12</f>
        <v>0.12717175736062727</v>
      </c>
      <c r="AX30" s="21">
        <f t="shared" si="6"/>
        <v>29.04902542711973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</v>
      </c>
      <c r="BD30" s="12">
        <f>IF('Données projet'!$A$88&gt;35,BD29+BC30-BL29,IF(A30&lt;'Données projet'!$A$88,$BA$205^A30,IF(A30='Données projet'!$A$88,'Données projet'!$B$88,BD29+BC30-BL29)))</f>
        <v>84.999999999999986</v>
      </c>
      <c r="BE30" s="13">
        <f>BD30*VLOOKUP('Données projet'!$B$11,Paramètres!$A$1:$I$89,3,0)*VLOOKUP('Données projet'!$B$11,Paramètres!$A$1:$I$89,5,0)</f>
        <v>68.951999999999998</v>
      </c>
      <c r="BF30" s="13">
        <f t="shared" si="37"/>
        <v>19.412974191553594</v>
      </c>
      <c r="BG30" s="20">
        <f t="shared" si="7"/>
        <v>153.90233005028915</v>
      </c>
      <c r="BH30" s="59">
        <f t="shared" si="8"/>
        <v>447.23566338362247</v>
      </c>
      <c r="BI30" s="59">
        <f ca="1">AVERAGE(OFFSET($BH$3,0,0,'Données projet'!$E$11+1,1))-AVERAGE(OFFSET($H$3,0,0,'Données projet'!$E$11+1,1))</f>
        <v>181.20458942529478</v>
      </c>
      <c r="BJ30" s="59">
        <f t="shared" si="38"/>
        <v>144.05254691566421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214</v>
      </c>
      <c r="BZ30" s="13">
        <f>BY30*VLOOKUP('Données projet'!$B$12,Paramètres!$A$1:$I$89,3,0)*VLOOKUP('Données projet'!$B$12,Paramètres!$A$1:$I$89,5,0)</f>
        <v>186.95040000000003</v>
      </c>
      <c r="CA30" s="13">
        <f t="shared" si="39"/>
        <v>46.865095976617653</v>
      </c>
      <c r="CB30" s="20">
        <f t="shared" si="10"/>
        <v>407.22865549260911</v>
      </c>
      <c r="CC30" s="59">
        <f t="shared" si="11"/>
        <v>700.56198882594242</v>
      </c>
      <c r="CD30" s="59">
        <f ca="1">AVERAGE(OFFSET($CC$3,0,0,'Données projet'!$E$12+1,1))-AVERAGE(OFFSET($H$3,0,0,'Données projet'!$E$12+1,1))</f>
        <v>164.24405955980575</v>
      </c>
      <c r="CE30" s="59">
        <f t="shared" si="40"/>
        <v>379.20713858755209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277</v>
      </c>
      <c r="AG31" s="12">
        <f>VLOOKUP(A31,'Données projet'!$A$61:$I$81,9,0)</f>
        <v>16</v>
      </c>
      <c r="AH31" s="12">
        <f t="array" ref="AH31">INDEX(AG:AG,MIN(IF(ISNUMBER(AG31:AG227),ROW(AG31:AG227),"")))</f>
        <v>16</v>
      </c>
      <c r="AI31" s="13">
        <f>IF('Données projet'!$A$62&gt;35,AI30+AH31-AQ30,IF(A31&lt;'Données projet'!$A$62,$AF$205^A31,IF(A31='Données projet'!$A$62,'Données projet'!$B$62,AI30+AH31-AQ30)))</f>
        <v>277</v>
      </c>
      <c r="AJ31" s="13">
        <f>AI31*VLOOKUP('Données projet'!$B$10,Paramètres!$A$1:$I$89,3,0)*VLOOKUP('Données projet'!$B$10,Paramètres!$A$1:$I$89,5,0)</f>
        <v>165.64600000000002</v>
      </c>
      <c r="AK31" s="13">
        <f t="shared" si="35"/>
        <v>42.113404814327666</v>
      </c>
      <c r="AL31" s="20">
        <f t="shared" si="4"/>
        <v>361.84763005162068</v>
      </c>
      <c r="AM31" s="59">
        <f t="shared" si="5"/>
        <v>655.180963384954</v>
      </c>
      <c r="AN31" s="59">
        <f ca="1">AVERAGE(OFFSET($AM$3,0,0,'Données projet'!$E$10+1,1))-AVERAGE(OFFSET($H$3,0,0,'Données projet'!$E$10+1,1))</f>
        <v>148.39628895278571</v>
      </c>
      <c r="AO31" s="59">
        <f t="shared" si="36"/>
        <v>361.07991692964788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28.130984060225355</v>
      </c>
      <c r="AW31" s="21">
        <f>EXP(-LN(2)/2)*AW30+(1-EXP(-LN(2)/2))/(LN(2)/2)*AQ31*AT31*VLOOKUP('Données projet'!$B$10,Paramètres!$A$1:$I$89,3,0)*0.475*44/12</f>
        <v>8.9924012005109785E-2</v>
      </c>
      <c r="AX31" s="21">
        <f t="shared" si="6"/>
        <v>28.220908072230465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</v>
      </c>
      <c r="BD31" s="12">
        <f>IF('Données projet'!$A$88&gt;35,BD30+BC31-BL30,IF(A31&lt;'Données projet'!$A$88,$BA$205^A31,IF(A31='Données projet'!$A$88,'Données projet'!$B$88,BD30+BC31-BL30)))</f>
        <v>90.999999999999986</v>
      </c>
      <c r="BE31" s="13">
        <f>BD31*VLOOKUP('Données projet'!$B$11,Paramètres!$A$1:$I$89,3,0)*VLOOKUP('Données projet'!$B$11,Paramètres!$A$1:$I$89,5,0)</f>
        <v>73.819199999999995</v>
      </c>
      <c r="BF31" s="13">
        <f t="shared" si="37"/>
        <v>20.618947302373449</v>
      </c>
      <c r="BG31" s="20">
        <f t="shared" si="7"/>
        <v>164.47977321830038</v>
      </c>
      <c r="BH31" s="59">
        <f t="shared" si="8"/>
        <v>457.81310655163372</v>
      </c>
      <c r="BI31" s="59">
        <f ca="1">AVERAGE(OFFSET($BH$3,0,0,'Données projet'!$E$11+1,1))-AVERAGE(OFFSET($H$3,0,0,'Données projet'!$E$11+1,1))</f>
        <v>181.20458942529478</v>
      </c>
      <c r="BJ31" s="59">
        <f t="shared" si="38"/>
        <v>144.05254691566421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214</v>
      </c>
      <c r="BZ31" s="13">
        <f>BY31*VLOOKUP('Données projet'!$B$12,Paramètres!$A$1:$I$89,3,0)*VLOOKUP('Données projet'!$B$12,Paramètres!$A$1:$I$89,5,0)</f>
        <v>186.95040000000003</v>
      </c>
      <c r="CA31" s="13">
        <f t="shared" si="39"/>
        <v>46.865095976617653</v>
      </c>
      <c r="CB31" s="20">
        <f t="shared" si="10"/>
        <v>407.22865549260911</v>
      </c>
      <c r="CC31" s="59">
        <f t="shared" si="11"/>
        <v>700.56198882594242</v>
      </c>
      <c r="CD31" s="59">
        <f ca="1">AVERAGE(OFFSET($CC$3,0,0,'Données projet'!$E$12+1,1))-AVERAGE(OFFSET($H$3,0,0,'Données projet'!$E$12+1,1))</f>
        <v>164.24405955980575</v>
      </c>
      <c r="CE31" s="59">
        <f t="shared" si="40"/>
        <v>379.20713858755209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>
        <f>VLOOKUP(A32,'Données projet'!$A$61:$I$81,2,0)</f>
        <v>293</v>
      </c>
      <c r="AG32" s="12">
        <f>VLOOKUP(A32,'Données projet'!$A$61:$I$81,9,0)</f>
        <v>16</v>
      </c>
      <c r="AH32" s="12">
        <f t="array" ref="AH32">INDEX(AG:AG,MIN(IF(ISNUMBER(AG32:AG228),ROW(AG32:AG228),"")))</f>
        <v>16</v>
      </c>
      <c r="AI32" s="13">
        <f>IF('Données projet'!$A$62&gt;35,AI31+AH32-AQ31,IF(A32&lt;'Données projet'!$A$62,$AF$205^A32,IF(A32='Données projet'!$A$62,'Données projet'!$B$62,AI31+AH32-AQ31)))</f>
        <v>293</v>
      </c>
      <c r="AJ32" s="13">
        <f>AI32*VLOOKUP('Données projet'!$B$10,Paramètres!$A$1:$I$89,3,0)*VLOOKUP('Données projet'!$B$10,Paramètres!$A$1:$I$89,5,0)</f>
        <v>175.214</v>
      </c>
      <c r="AK32" s="13">
        <f t="shared" si="35"/>
        <v>44.255725061661991</v>
      </c>
      <c r="AL32" s="20">
        <f t="shared" si="4"/>
        <v>382.24310448239459</v>
      </c>
      <c r="AM32" s="59">
        <f t="shared" si="5"/>
        <v>675.5764378157279</v>
      </c>
      <c r="AN32" s="59">
        <f ca="1">AVERAGE(OFFSET($AM$3,0,0,'Données projet'!$E$10+1,1))-AVERAGE(OFFSET($H$3,0,0,'Données projet'!$E$10+1,1))</f>
        <v>148.39628895278571</v>
      </c>
      <c r="AO32" s="59">
        <f t="shared" si="36"/>
        <v>361.07991692964788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27.361740821754335</v>
      </c>
      <c r="AW32" s="21">
        <f>EXP(-LN(2)/2)*AW31+(1-EXP(-LN(2)/2))/(LN(2)/2)*AQ32*AT32*VLOOKUP('Données projet'!$B$10,Paramètres!$A$1:$I$89,3,0)*0.475*44/12</f>
        <v>6.3585878680313637E-2</v>
      </c>
      <c r="AX32" s="21">
        <f t="shared" si="6"/>
        <v>27.425326700434649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</v>
      </c>
      <c r="BD32" s="12">
        <f>IF('Données projet'!$A$88&gt;35,BD31+BC32-BL31,IF(A32&lt;'Données projet'!$A$88,$BA$205^A32,IF(A32='Données projet'!$A$88,'Données projet'!$B$88,BD31+BC32-BL31)))</f>
        <v>96.999999999999986</v>
      </c>
      <c r="BE32" s="13">
        <f>BD32*VLOOKUP('Données projet'!$B$11,Paramètres!$A$1:$I$89,3,0)*VLOOKUP('Données projet'!$B$11,Paramètres!$A$1:$I$89,5,0)</f>
        <v>78.686400000000006</v>
      </c>
      <c r="BF32" s="13">
        <f t="shared" si="37"/>
        <v>21.815693271997169</v>
      </c>
      <c r="BG32" s="20">
        <f t="shared" si="7"/>
        <v>175.04114578206176</v>
      </c>
      <c r="BH32" s="59">
        <f t="shared" si="8"/>
        <v>468.37447911539505</v>
      </c>
      <c r="BI32" s="59">
        <f ca="1">AVERAGE(OFFSET($BH$3,0,0,'Données projet'!$E$11+1,1))-AVERAGE(OFFSET($H$3,0,0,'Données projet'!$E$11+1,1))</f>
        <v>181.20458942529478</v>
      </c>
      <c r="BJ32" s="59">
        <f t="shared" si="38"/>
        <v>144.05254691566421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214</v>
      </c>
      <c r="BZ32" s="13">
        <f>BY32*VLOOKUP('Données projet'!$B$12,Paramètres!$A$1:$I$89,3,0)*VLOOKUP('Données projet'!$B$12,Paramètres!$A$1:$I$89,5,0)</f>
        <v>186.95040000000003</v>
      </c>
      <c r="CA32" s="13">
        <f t="shared" si="39"/>
        <v>46.865095976617653</v>
      </c>
      <c r="CB32" s="20">
        <f t="shared" si="10"/>
        <v>407.22865549260911</v>
      </c>
      <c r="CC32" s="59">
        <f t="shared" si="11"/>
        <v>700.56198882594242</v>
      </c>
      <c r="CD32" s="59">
        <f ca="1">AVERAGE(OFFSET($CC$3,0,0,'Données projet'!$E$12+1,1))-AVERAGE(OFFSET($H$3,0,0,'Données projet'!$E$12+1,1))</f>
        <v>164.24405955980575</v>
      </c>
      <c r="CE32" s="59">
        <f t="shared" si="40"/>
        <v>379.20713858755209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309</v>
      </c>
      <c r="AG33" s="12">
        <f>VLOOKUP(A33,'Données projet'!$A$61:$I$81,9,0)</f>
        <v>16</v>
      </c>
      <c r="AH33" s="12">
        <f t="array" ref="AH33">INDEX(AG:AG,MIN(IF(ISNUMBER(AG33:AG229),ROW(AG33:AG229),"")))</f>
        <v>16</v>
      </c>
      <c r="AI33" s="13">
        <f>IF('Données projet'!$A$62&gt;35,AI32+AH33-AQ32,IF(A33&lt;'Données projet'!$A$62,$AF$205^A33,IF(A33='Données projet'!$A$62,'Données projet'!$B$62,AI32+AH33-AQ32)))</f>
        <v>309</v>
      </c>
      <c r="AJ33" s="13">
        <f>AI33*VLOOKUP('Données projet'!$B$10,Paramètres!$A$1:$I$89,3,0)*VLOOKUP('Données projet'!$B$10,Paramètres!$A$1:$I$89,5,0)</f>
        <v>184.78200000000004</v>
      </c>
      <c r="AK33" s="13">
        <f t="shared" si="35"/>
        <v>46.384464109944147</v>
      </c>
      <c r="AL33" s="20">
        <f t="shared" si="4"/>
        <v>402.61492499148608</v>
      </c>
      <c r="AM33" s="59">
        <f t="shared" si="5"/>
        <v>695.94825832481934</v>
      </c>
      <c r="AN33" s="59">
        <f ca="1">AVERAGE(OFFSET($AM$3,0,0,'Données projet'!$E$10+1,1))-AVERAGE(OFFSET($H$3,0,0,'Données projet'!$E$10+1,1))</f>
        <v>148.39628895278571</v>
      </c>
      <c r="AO33" s="59">
        <f t="shared" si="36"/>
        <v>361.07991692964788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309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0.45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136.48556937293114</v>
      </c>
      <c r="AW33" s="21">
        <f>EXP(-LN(2)/2)*AW32+(1-EXP(-LN(2)/2))/(LN(2)/2)*AQ33*AT33*VLOOKUP('Données projet'!$B$10,Paramètres!$A$1:$I$89,3,0)*0.475*44/12</f>
        <v>4.4962006002554893E-2</v>
      </c>
      <c r="AX33" s="21">
        <f t="shared" si="6"/>
        <v>136.53053137893369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103</v>
      </c>
      <c r="BB33" s="12">
        <f>VLOOKUP(A33,'Données projet'!$A$87:$I$107,9,0)</f>
        <v>6</v>
      </c>
      <c r="BC33" s="12">
        <f t="array" ref="BC33">INDEX(BB:BB,MIN(IF(ISNUMBER(BB33:BB229),ROW(BB33:BB229),"")))</f>
        <v>6</v>
      </c>
      <c r="BD33" s="12">
        <f>IF('Données projet'!$A$88&gt;35,BD32+BC33-BL32,IF(A33&lt;'Données projet'!$A$88,$BA$205^A33,IF(A33='Données projet'!$A$88,'Données projet'!$B$88,BD32+BC33-BL32)))</f>
        <v>102.99999999999999</v>
      </c>
      <c r="BE33" s="13">
        <f>BD33*VLOOKUP('Données projet'!$B$11,Paramètres!$A$1:$I$89,3,0)*VLOOKUP('Données projet'!$B$11,Paramètres!$A$1:$I$89,5,0)</f>
        <v>83.553599999999989</v>
      </c>
      <c r="BF33" s="13">
        <f t="shared" si="37"/>
        <v>23.00384783397265</v>
      </c>
      <c r="BG33" s="20">
        <f t="shared" si="7"/>
        <v>185.58755497750235</v>
      </c>
      <c r="BH33" s="59">
        <f t="shared" si="8"/>
        <v>478.92088831083566</v>
      </c>
      <c r="BI33" s="59">
        <f ca="1">AVERAGE(OFFSET($BH$3,0,0,'Données projet'!$E$11+1,1))-AVERAGE(OFFSET($H$3,0,0,'Données projet'!$E$11+1,1))</f>
        <v>181.20458942529478</v>
      </c>
      <c r="BJ33" s="59">
        <f t="shared" si="38"/>
        <v>144.05254691566421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214</v>
      </c>
      <c r="BZ33" s="13">
        <f>BY33*VLOOKUP('Données projet'!$B$12,Paramètres!$A$1:$I$89,3,0)*VLOOKUP('Données projet'!$B$12,Paramètres!$A$1:$I$89,5,0)</f>
        <v>186.95040000000003</v>
      </c>
      <c r="CA33" s="13">
        <f t="shared" si="39"/>
        <v>46.865095976617653</v>
      </c>
      <c r="CB33" s="20">
        <f t="shared" si="10"/>
        <v>407.22865549260911</v>
      </c>
      <c r="CC33" s="59">
        <f t="shared" si="11"/>
        <v>700.56198882594242</v>
      </c>
      <c r="CD33" s="59">
        <f ca="1">AVERAGE(OFFSET($CC$3,0,0,'Données projet'!$E$12+1,1))-AVERAGE(OFFSET($H$3,0,0,'Données projet'!$E$12+1,1))</f>
        <v>164.24405955980575</v>
      </c>
      <c r="CE33" s="59">
        <f t="shared" si="40"/>
        <v>379.20713858755209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148.39628895278571</v>
      </c>
      <c r="AO34" s="59">
        <f t="shared" si="36"/>
        <v>361.07991692964788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132.75336430096419</v>
      </c>
      <c r="AW34" s="21">
        <f>EXP(-LN(2)/2)*AW33+(1-EXP(-LN(2)/2))/(LN(2)/2)*AQ34*AT34*VLOOKUP('Données projet'!$B$10,Paramètres!$A$1:$I$89,3,0)*0.475*44/12</f>
        <v>3.1792939340156819E-2</v>
      </c>
      <c r="AX34" s="21">
        <f t="shared" si="6"/>
        <v>132.78515724030436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5.8</v>
      </c>
      <c r="BD34" s="12">
        <f>IF('Données projet'!$A$88&gt;35,BD33+BC34-BL33,IF(A34&lt;'Données projet'!$A$88,$BA$205^A34,IF(A34='Données projet'!$A$88,'Données projet'!$B$88,BD33+BC34-BL33)))</f>
        <v>97.799999999999983</v>
      </c>
      <c r="BE34" s="13">
        <f>BD34*VLOOKUP('Données projet'!$B$11,Paramètres!$A$1:$I$89,3,0)*VLOOKUP('Données projet'!$B$11,Paramètres!$A$1:$I$89,5,0)</f>
        <v>79.335359999999994</v>
      </c>
      <c r="BF34" s="13">
        <f t="shared" si="37"/>
        <v>21.974597372641874</v>
      </c>
      <c r="BG34" s="20">
        <f t="shared" si="7"/>
        <v>176.44817575735124</v>
      </c>
      <c r="BH34" s="59">
        <f t="shared" si="8"/>
        <v>469.78150909068455</v>
      </c>
      <c r="BI34" s="59">
        <f ca="1">AVERAGE(OFFSET($BH$3,0,0,'Données projet'!$E$11+1,1))-AVERAGE(OFFSET($H$3,0,0,'Données projet'!$E$11+1,1))</f>
        <v>181.20458942529478</v>
      </c>
      <c r="BJ34" s="59">
        <f t="shared" si="38"/>
        <v>144.05254691566421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214</v>
      </c>
      <c r="BZ34" s="13">
        <f>BY34*VLOOKUP('Données projet'!$B$12,Paramètres!$A$1:$I$89,3,0)*VLOOKUP('Données projet'!$B$12,Paramètres!$A$1:$I$89,5,0)</f>
        <v>186.95040000000003</v>
      </c>
      <c r="CA34" s="13">
        <f t="shared" si="39"/>
        <v>46.865095976617653</v>
      </c>
      <c r="CB34" s="20">
        <f t="shared" si="10"/>
        <v>407.22865549260911</v>
      </c>
      <c r="CC34" s="59">
        <f t="shared" si="11"/>
        <v>700.56198882594242</v>
      </c>
      <c r="CD34" s="59">
        <f ca="1">AVERAGE(OFFSET($CC$3,0,0,'Données projet'!$E$12+1,1))-AVERAGE(OFFSET($H$3,0,0,'Données projet'!$E$12+1,1))</f>
        <v>164.24405955980575</v>
      </c>
      <c r="CE34" s="59">
        <f t="shared" si="40"/>
        <v>379.20713858755209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148.39628895278571</v>
      </c>
      <c r="AO35" s="59">
        <f t="shared" si="36"/>
        <v>361.07991692964788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129.12321657295831</v>
      </c>
      <c r="AW35" s="21">
        <f>EXP(-LN(2)/2)*AW34+(1-EXP(-LN(2)/2))/(LN(2)/2)*AQ35*AT35*VLOOKUP('Données projet'!$B$10,Paramètres!$A$1:$I$89,3,0)*0.475*44/12</f>
        <v>2.2481003001277446E-2</v>
      </c>
      <c r="AX35" s="21">
        <f t="shared" si="6"/>
        <v>129.14569757595959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5.8</v>
      </c>
      <c r="BD35" s="12">
        <f>IF('Données projet'!$A$88&gt;35,BD34+BC35-BL34,IF(A35&lt;'Données projet'!$A$88,$BA$205^A35,IF(A35='Données projet'!$A$88,'Données projet'!$B$88,BD34+BC35-BL34)))</f>
        <v>103.59999999999998</v>
      </c>
      <c r="BE35" s="13">
        <f>BD35*VLOOKUP('Données projet'!$B$11,Paramètres!$A$1:$I$89,3,0)*VLOOKUP('Données projet'!$B$11,Paramètres!$A$1:$I$89,5,0)</f>
        <v>84.040319999999994</v>
      </c>
      <c r="BF35" s="13">
        <f t="shared" si="37"/>
        <v>23.122212826195224</v>
      </c>
      <c r="BG35" s="20">
        <f t="shared" si="7"/>
        <v>186.64141133895666</v>
      </c>
      <c r="BH35" s="59">
        <f t="shared" si="8"/>
        <v>479.97474467228994</v>
      </c>
      <c r="BI35" s="59">
        <f ca="1">AVERAGE(OFFSET($BH$3,0,0,'Données projet'!$E$11+1,1))-AVERAGE(OFFSET($H$3,0,0,'Données projet'!$E$11+1,1))</f>
        <v>181.20458942529478</v>
      </c>
      <c r="BJ35" s="59">
        <f t="shared" si="38"/>
        <v>144.05254691566421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214</v>
      </c>
      <c r="BZ35" s="13">
        <f>BY35*VLOOKUP('Données projet'!$B$12,Paramètres!$A$1:$I$89,3,0)*VLOOKUP('Données projet'!$B$12,Paramètres!$A$1:$I$89,5,0)</f>
        <v>186.95040000000003</v>
      </c>
      <c r="CA35" s="13">
        <f t="shared" si="39"/>
        <v>46.865095976617653</v>
      </c>
      <c r="CB35" s="20">
        <f t="shared" si="10"/>
        <v>407.22865549260911</v>
      </c>
      <c r="CC35" s="59">
        <f t="shared" si="11"/>
        <v>700.56198882594242</v>
      </c>
      <c r="CD35" s="59">
        <f ca="1">AVERAGE(OFFSET($CC$3,0,0,'Données projet'!$E$12+1,1))-AVERAGE(OFFSET($H$3,0,0,'Données projet'!$E$12+1,1))</f>
        <v>164.24405955980575</v>
      </c>
      <c r="CE35" s="59">
        <f t="shared" si="40"/>
        <v>379.20713858755209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148.39628895278571</v>
      </c>
      <c r="AO36" s="59">
        <f t="shared" si="36"/>
        <v>361.07991692964788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125.59233542547592</v>
      </c>
      <c r="AW36" s="21">
        <f>EXP(-LN(2)/2)*AW35+(1-EXP(-LN(2)/2))/(LN(2)/2)*AQ36*AT36*VLOOKUP('Données projet'!$B$10,Paramètres!$A$1:$I$89,3,0)*0.475*44/12</f>
        <v>1.5896469670078409E-2</v>
      </c>
      <c r="AX36" s="21">
        <f t="shared" si="6"/>
        <v>125.60823189514601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5.8</v>
      </c>
      <c r="BD36" s="12">
        <f>IF('Données projet'!$A$88&gt;35,BD35+BC36-BL35,IF(A36&lt;'Données projet'!$A$88,$BA$205^A36,IF(A36='Données projet'!$A$88,'Données projet'!$B$88,BD35+BC36-BL35)))</f>
        <v>109.39999999999998</v>
      </c>
      <c r="BE36" s="13">
        <f>BD36*VLOOKUP('Données projet'!$B$11,Paramètres!$A$1:$I$89,3,0)*VLOOKUP('Données projet'!$B$11,Paramètres!$A$1:$I$89,5,0)</f>
        <v>88.745279999999994</v>
      </c>
      <c r="BF36" s="13">
        <f t="shared" si="37"/>
        <v>24.262369928218718</v>
      </c>
      <c r="BG36" s="20">
        <f t="shared" si="7"/>
        <v>196.82165695831426</v>
      </c>
      <c r="BH36" s="59">
        <f t="shared" si="8"/>
        <v>490.15499029164755</v>
      </c>
      <c r="BI36" s="59">
        <f ca="1">AVERAGE(OFFSET($BH$3,0,0,'Données projet'!$E$11+1,1))-AVERAGE(OFFSET($H$3,0,0,'Données projet'!$E$11+1,1))</f>
        <v>181.20458942529478</v>
      </c>
      <c r="BJ36" s="59">
        <f t="shared" si="38"/>
        <v>144.05254691566421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214</v>
      </c>
      <c r="BZ36" s="13">
        <f>BY36*VLOOKUP('Données projet'!$B$12,Paramètres!$A$1:$I$89,3,0)*VLOOKUP('Données projet'!$B$12,Paramètres!$A$1:$I$89,5,0)</f>
        <v>186.95040000000003</v>
      </c>
      <c r="CA36" s="13">
        <f t="shared" si="39"/>
        <v>46.865095976617653</v>
      </c>
      <c r="CB36" s="20">
        <f t="shared" si="10"/>
        <v>407.22865549260911</v>
      </c>
      <c r="CC36" s="59">
        <f t="shared" si="11"/>
        <v>700.56198882594242</v>
      </c>
      <c r="CD36" s="59">
        <f ca="1">AVERAGE(OFFSET($CC$3,0,0,'Données projet'!$E$12+1,1))-AVERAGE(OFFSET($H$3,0,0,'Données projet'!$E$12+1,1))</f>
        <v>164.24405955980575</v>
      </c>
      <c r="CE36" s="59">
        <f t="shared" si="40"/>
        <v>379.20713858755209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148.39628895278571</v>
      </c>
      <c r="AO37" s="59">
        <f t="shared" si="36"/>
        <v>361.07991692964788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122.15800640865241</v>
      </c>
      <c r="AW37" s="21">
        <f>EXP(-LN(2)/2)*AW36+(1-EXP(-LN(2)/2))/(LN(2)/2)*AQ37*AT37*VLOOKUP('Données projet'!$B$10,Paramètres!$A$1:$I$89,3,0)*0.475*44/12</f>
        <v>1.1240501500638723E-2</v>
      </c>
      <c r="AX37" s="21">
        <f t="shared" si="6"/>
        <v>122.16924691015305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5.8</v>
      </c>
      <c r="BD37" s="12">
        <f>IF('Données projet'!$A$88&gt;35,BD36+BC37-BL36,IF(A37&lt;'Données projet'!$A$88,$BA$205^A37,IF(A37='Données projet'!$A$88,'Données projet'!$B$88,BD36+BC37-BL36)))</f>
        <v>115.19999999999997</v>
      </c>
      <c r="BE37" s="13">
        <f>BD37*VLOOKUP('Données projet'!$B$11,Paramètres!$A$1:$I$89,3,0)*VLOOKUP('Données projet'!$B$11,Paramètres!$A$1:$I$89,5,0)</f>
        <v>93.45023999999998</v>
      </c>
      <c r="BF37" s="13">
        <f t="shared" si="37"/>
        <v>25.395509184428445</v>
      </c>
      <c r="BG37" s="20">
        <f t="shared" si="7"/>
        <v>206.98967982954616</v>
      </c>
      <c r="BH37" s="59">
        <f t="shared" si="8"/>
        <v>500.32301316287948</v>
      </c>
      <c r="BI37" s="59">
        <f ca="1">AVERAGE(OFFSET($BH$3,0,0,'Données projet'!$E$11+1,1))-AVERAGE(OFFSET($H$3,0,0,'Données projet'!$E$11+1,1))</f>
        <v>181.20458942529478</v>
      </c>
      <c r="BJ37" s="59">
        <f t="shared" si="38"/>
        <v>144.05254691566421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214</v>
      </c>
      <c r="BZ37" s="13">
        <f>BY37*VLOOKUP('Données projet'!$B$12,Paramètres!$A$1:$I$89,3,0)*VLOOKUP('Données projet'!$B$12,Paramètres!$A$1:$I$89,5,0)</f>
        <v>186.95040000000003</v>
      </c>
      <c r="CA37" s="13">
        <f t="shared" si="39"/>
        <v>46.865095976617653</v>
      </c>
      <c r="CB37" s="20">
        <f t="shared" si="10"/>
        <v>407.22865549260911</v>
      </c>
      <c r="CC37" s="59">
        <f t="shared" si="11"/>
        <v>700.56198882594242</v>
      </c>
      <c r="CD37" s="59">
        <f ca="1">AVERAGE(OFFSET($CC$3,0,0,'Données projet'!$E$12+1,1))-AVERAGE(OFFSET($H$3,0,0,'Données projet'!$E$12+1,1))</f>
        <v>164.24405955980575</v>
      </c>
      <c r="CE37" s="59">
        <f t="shared" si="40"/>
        <v>379.20713858755209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148.39628895278571</v>
      </c>
      <c r="AO38" s="59">
        <f t="shared" si="36"/>
        <v>361.07991692964788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118.81758929939745</v>
      </c>
      <c r="AW38" s="21">
        <f>EXP(-LN(2)/2)*AW37+(1-EXP(-LN(2)/2))/(LN(2)/2)*AQ38*AT38*VLOOKUP('Données projet'!$B$10,Paramètres!$A$1:$I$89,3,0)*0.475*44/12</f>
        <v>7.9482348350392047E-3</v>
      </c>
      <c r="AX38" s="21">
        <f t="shared" si="6"/>
        <v>118.8255375342325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121</v>
      </c>
      <c r="BB38" s="12">
        <f>VLOOKUP(A38,'Données projet'!$A$87:$I$107,9,0)</f>
        <v>5.8</v>
      </c>
      <c r="BC38" s="12">
        <f t="array" ref="BC38">INDEX(BB:BB,MIN(IF(ISNUMBER(BB38:BB234),ROW(BB38:BB234),"")))</f>
        <v>5.8</v>
      </c>
      <c r="BD38" s="12">
        <f>IF('Données projet'!$A$88&gt;35,BD37+BC38-BL37,IF(A38&lt;'Données projet'!$A$88,$BA$205^A38,IF(A38='Données projet'!$A$88,'Données projet'!$B$88,BD37+BC38-BL37)))</f>
        <v>120.99999999999997</v>
      </c>
      <c r="BE38" s="13">
        <f>BD38*VLOOKUP('Données projet'!$B$11,Paramètres!$A$1:$I$89,3,0)*VLOOKUP('Données projet'!$B$11,Paramètres!$A$1:$I$89,5,0)</f>
        <v>98.155199999999979</v>
      </c>
      <c r="BF38" s="13">
        <f t="shared" si="37"/>
        <v>26.522024238465775</v>
      </c>
      <c r="BG38" s="20">
        <f t="shared" si="7"/>
        <v>217.14616554866117</v>
      </c>
      <c r="BH38" s="59">
        <f t="shared" si="8"/>
        <v>510.47949888199446</v>
      </c>
      <c r="BI38" s="59">
        <f ca="1">AVERAGE(OFFSET($BH$3,0,0,'Données projet'!$E$11+1,1))-AVERAGE(OFFSET($H$3,0,0,'Données projet'!$E$11+1,1))</f>
        <v>181.20458942529478</v>
      </c>
      <c r="BJ38" s="59">
        <f t="shared" si="38"/>
        <v>144.05254691566421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12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4.627269070885986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4.627269070885986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214</v>
      </c>
      <c r="BZ38" s="13">
        <f>BY38*VLOOKUP('Données projet'!$B$12,Paramètres!$A$1:$I$89,3,0)*VLOOKUP('Données projet'!$B$12,Paramètres!$A$1:$I$89,5,0)</f>
        <v>186.95040000000003</v>
      </c>
      <c r="CA38" s="13">
        <f t="shared" si="39"/>
        <v>46.865095976617653</v>
      </c>
      <c r="CB38" s="20">
        <f t="shared" si="10"/>
        <v>407.22865549260911</v>
      </c>
      <c r="CC38" s="59">
        <f t="shared" si="11"/>
        <v>700.56198882594242</v>
      </c>
      <c r="CD38" s="59">
        <f ca="1">AVERAGE(OFFSET($CC$3,0,0,'Données projet'!$E$12+1,1))-AVERAGE(OFFSET($H$3,0,0,'Données projet'!$E$12+1,1))</f>
        <v>164.24405955980575</v>
      </c>
      <c r="CE38" s="59">
        <f t="shared" si="40"/>
        <v>379.20713858755209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148.39628895278571</v>
      </c>
      <c r="AO39" s="59">
        <f t="shared" si="36"/>
        <v>361.07991692964788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115.56851607165997</v>
      </c>
      <c r="AW39" s="21">
        <f>EXP(-LN(2)/2)*AW38+(1-EXP(-LN(2)/2))/(LN(2)/2)*AQ39*AT39*VLOOKUP('Données projet'!$B$10,Paramètres!$A$1:$I$89,3,0)*0.475*44/12</f>
        <v>5.6202507503193616E-3</v>
      </c>
      <c r="AX39" s="21">
        <f t="shared" si="6"/>
        <v>115.5741363224103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</v>
      </c>
      <c r="BD39" s="12">
        <f>IF('Données projet'!$A$88&gt;35,BD38+BC39-BL38,IF(A39&lt;'Données projet'!$A$88,$BA$205^A39,IF(A39='Données projet'!$A$88,'Données projet'!$B$88,BD38+BC39-BL38)))</f>
        <v>114.99999999999997</v>
      </c>
      <c r="BE39" s="13">
        <f>BD39*VLOOKUP('Données projet'!$B$11,Paramètres!$A$1:$I$89,3,0)*VLOOKUP('Données projet'!$B$11,Paramètres!$A$1:$I$89,5,0)</f>
        <v>93.287999999999982</v>
      </c>
      <c r="BF39" s="13">
        <f t="shared" si="37"/>
        <v>25.356547829040977</v>
      </c>
      <c r="BG39" s="20">
        <f t="shared" si="7"/>
        <v>206.63925413557965</v>
      </c>
      <c r="BH39" s="59">
        <f t="shared" si="8"/>
        <v>499.97258746891293</v>
      </c>
      <c r="BI39" s="59">
        <f ca="1">AVERAGE(OFFSET($BH$3,0,0,'Données projet'!$E$11+1,1))-AVERAGE(OFFSET($H$3,0,0,'Données projet'!$E$11+1,1))</f>
        <v>181.20458942529478</v>
      </c>
      <c r="BJ39" s="59">
        <f t="shared" si="38"/>
        <v>144.05254691566421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4.5365311467613605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4.5365311467613605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214</v>
      </c>
      <c r="BZ39" s="13">
        <f>BY39*VLOOKUP('Données projet'!$B$12,Paramètres!$A$1:$I$89,3,0)*VLOOKUP('Données projet'!$B$12,Paramètres!$A$1:$I$89,5,0)</f>
        <v>186.95040000000003</v>
      </c>
      <c r="CA39" s="13">
        <f t="shared" si="39"/>
        <v>46.865095976617653</v>
      </c>
      <c r="CB39" s="20">
        <f t="shared" si="10"/>
        <v>407.22865549260911</v>
      </c>
      <c r="CC39" s="59">
        <f t="shared" si="11"/>
        <v>700.56198882594242</v>
      </c>
      <c r="CD39" s="59">
        <f ca="1">AVERAGE(OFFSET($CC$3,0,0,'Données projet'!$E$12+1,1))-AVERAGE(OFFSET($H$3,0,0,'Données projet'!$E$12+1,1))</f>
        <v>164.24405955980575</v>
      </c>
      <c r="CE39" s="59">
        <f t="shared" si="40"/>
        <v>379.20713858755209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148.39628895278571</v>
      </c>
      <c r="AO40" s="59">
        <f t="shared" si="36"/>
        <v>361.07991692964788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112.40828892219631</v>
      </c>
      <c r="AW40" s="21">
        <f>EXP(-LN(2)/2)*AW39+(1-EXP(-LN(2)/2))/(LN(2)/2)*AQ40*AT40*VLOOKUP('Données projet'!$B$10,Paramètres!$A$1:$I$89,3,0)*0.475*44/12</f>
        <v>3.9741174175196023E-3</v>
      </c>
      <c r="AX40" s="21">
        <f t="shared" si="6"/>
        <v>112.41226303961382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</v>
      </c>
      <c r="BD40" s="12">
        <f>IF('Données projet'!$A$88&gt;35,BD39+BC40-BL39,IF(A40&lt;'Données projet'!$A$88,$BA$205^A40,IF(A40='Données projet'!$A$88,'Données projet'!$B$88,BD39+BC40-BL39)))</f>
        <v>120.99999999999997</v>
      </c>
      <c r="BE40" s="13">
        <f>BD40*VLOOKUP('Données projet'!$B$11,Paramètres!$A$1:$I$89,3,0)*VLOOKUP('Données projet'!$B$11,Paramètres!$A$1:$I$89,5,0)</f>
        <v>98.155199999999979</v>
      </c>
      <c r="BF40" s="13">
        <f t="shared" si="37"/>
        <v>26.522024238465775</v>
      </c>
      <c r="BG40" s="20">
        <f t="shared" si="7"/>
        <v>217.14616554866117</v>
      </c>
      <c r="BH40" s="59">
        <f t="shared" si="8"/>
        <v>510.47949888199446</v>
      </c>
      <c r="BI40" s="59">
        <f ca="1">AVERAGE(OFFSET($BH$3,0,0,'Données projet'!$E$11+1,1))-AVERAGE(OFFSET($H$3,0,0,'Données projet'!$E$11+1,1))</f>
        <v>181.20458942529478</v>
      </c>
      <c r="BJ40" s="59">
        <f t="shared" si="38"/>
        <v>144.05254691566421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4.4475725379841498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4.4475725379841498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214</v>
      </c>
      <c r="BZ40" s="13">
        <f>BY40*VLOOKUP('Données projet'!$B$12,Paramètres!$A$1:$I$89,3,0)*VLOOKUP('Données projet'!$B$12,Paramètres!$A$1:$I$89,5,0)</f>
        <v>186.95040000000003</v>
      </c>
      <c r="CA40" s="13">
        <f t="shared" si="39"/>
        <v>46.865095976617653</v>
      </c>
      <c r="CB40" s="20">
        <f t="shared" si="10"/>
        <v>407.22865549260911</v>
      </c>
      <c r="CC40" s="59">
        <f t="shared" si="11"/>
        <v>700.56198882594242</v>
      </c>
      <c r="CD40" s="59">
        <f ca="1">AVERAGE(OFFSET($CC$3,0,0,'Données projet'!$E$12+1,1))-AVERAGE(OFFSET($H$3,0,0,'Données projet'!$E$12+1,1))</f>
        <v>164.24405955980575</v>
      </c>
      <c r="CE40" s="59">
        <f t="shared" si="40"/>
        <v>379.20713858755209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148.39628895278571</v>
      </c>
      <c r="AO41" s="59">
        <f t="shared" si="36"/>
        <v>361.07991692964788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109.33447835032385</v>
      </c>
      <c r="AW41" s="21">
        <f>EXP(-LN(2)/2)*AW40+(1-EXP(-LN(2)/2))/(LN(2)/2)*AQ41*AT41*VLOOKUP('Données projet'!$B$10,Paramètres!$A$1:$I$89,3,0)*0.475*44/12</f>
        <v>2.8101253751596808E-3</v>
      </c>
      <c r="AX41" s="21">
        <f t="shared" si="6"/>
        <v>109.33728847569901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</v>
      </c>
      <c r="BD41" s="12">
        <f>IF('Données projet'!$A$88&gt;35,BD40+BC41-BL40,IF(A41&lt;'Données projet'!$A$88,$BA$205^A41,IF(A41='Données projet'!$A$88,'Données projet'!$B$88,BD40+BC41-BL40)))</f>
        <v>126.99999999999997</v>
      </c>
      <c r="BE41" s="13">
        <f>BD41*VLOOKUP('Données projet'!$B$11,Paramètres!$A$1:$I$89,3,0)*VLOOKUP('Données projet'!$B$11,Paramètres!$A$1:$I$89,5,0)</f>
        <v>103.02239999999999</v>
      </c>
      <c r="BF41" s="13">
        <f t="shared" si="37"/>
        <v>27.680790106744631</v>
      </c>
      <c r="BG41" s="20">
        <f t="shared" si="7"/>
        <v>227.64138943591354</v>
      </c>
      <c r="BH41" s="59">
        <f t="shared" si="8"/>
        <v>520.97472276924691</v>
      </c>
      <c r="BI41" s="59">
        <f ca="1">AVERAGE(OFFSET($BH$3,0,0,'Données projet'!$E$11+1,1))-AVERAGE(OFFSET($H$3,0,0,'Données projet'!$E$11+1,1))</f>
        <v>181.20458942529478</v>
      </c>
      <c r="BJ41" s="59">
        <f t="shared" si="38"/>
        <v>144.05254691566421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4.3603583532656671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4.3603583532656671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214</v>
      </c>
      <c r="BZ41" s="13">
        <f>BY41*VLOOKUP('Données projet'!$B$12,Paramètres!$A$1:$I$89,3,0)*VLOOKUP('Données projet'!$B$12,Paramètres!$A$1:$I$89,5,0)</f>
        <v>186.95040000000003</v>
      </c>
      <c r="CA41" s="13">
        <f t="shared" si="39"/>
        <v>46.865095976617653</v>
      </c>
      <c r="CB41" s="20">
        <f t="shared" si="10"/>
        <v>407.22865549260911</v>
      </c>
      <c r="CC41" s="59">
        <f t="shared" si="11"/>
        <v>700.56198882594242</v>
      </c>
      <c r="CD41" s="59">
        <f ca="1">AVERAGE(OFFSET($CC$3,0,0,'Données projet'!$E$12+1,1))-AVERAGE(OFFSET($H$3,0,0,'Données projet'!$E$12+1,1))</f>
        <v>164.24405955980575</v>
      </c>
      <c r="CE41" s="59">
        <f t="shared" si="40"/>
        <v>379.20713858755209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148.39628895278571</v>
      </c>
      <c r="AO42" s="59">
        <f t="shared" si="36"/>
        <v>361.07991692964788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106.34472129018391</v>
      </c>
      <c r="AW42" s="21">
        <f>EXP(-LN(2)/2)*AW41+(1-EXP(-LN(2)/2))/(LN(2)/2)*AQ42*AT42*VLOOKUP('Données projet'!$B$10,Paramètres!$A$1:$I$89,3,0)*0.475*44/12</f>
        <v>1.9870587087598012E-3</v>
      </c>
      <c r="AX42" s="21">
        <f t="shared" si="6"/>
        <v>106.34670834889268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</v>
      </c>
      <c r="BD42" s="12">
        <f>IF('Données projet'!$A$88&gt;35,BD41+BC42-BL41,IF(A42&lt;'Données projet'!$A$88,$BA$205^A42,IF(A42='Données projet'!$A$88,'Données projet'!$B$88,BD41+BC42-BL41)))</f>
        <v>132.99999999999997</v>
      </c>
      <c r="BE42" s="13">
        <f>BD42*VLOOKUP('Données projet'!$B$11,Paramètres!$A$1:$I$89,3,0)*VLOOKUP('Données projet'!$B$11,Paramètres!$A$1:$I$89,5,0)</f>
        <v>107.88959999999997</v>
      </c>
      <c r="BF42" s="13">
        <f t="shared" si="37"/>
        <v>28.833198667365593</v>
      </c>
      <c r="BG42" s="20">
        <f t="shared" si="7"/>
        <v>238.12554101232834</v>
      </c>
      <c r="BH42" s="59">
        <f t="shared" si="8"/>
        <v>531.45887434566168</v>
      </c>
      <c r="BI42" s="59">
        <f ca="1">AVERAGE(OFFSET($BH$3,0,0,'Données projet'!$E$11+1,1))-AVERAGE(OFFSET($H$3,0,0,'Données projet'!$E$11+1,1))</f>
        <v>181.20458942529478</v>
      </c>
      <c r="BJ42" s="59">
        <f t="shared" si="38"/>
        <v>144.05254691566421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4.2748543855141135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4.2748543855141135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214</v>
      </c>
      <c r="BZ42" s="13">
        <f>BY42*VLOOKUP('Données projet'!$B$12,Paramètres!$A$1:$I$89,3,0)*VLOOKUP('Données projet'!$B$12,Paramètres!$A$1:$I$89,5,0)</f>
        <v>186.95040000000003</v>
      </c>
      <c r="CA42" s="13">
        <f t="shared" si="39"/>
        <v>46.865095976617653</v>
      </c>
      <c r="CB42" s="20">
        <f t="shared" si="10"/>
        <v>407.22865549260911</v>
      </c>
      <c r="CC42" s="59">
        <f t="shared" si="11"/>
        <v>700.56198882594242</v>
      </c>
      <c r="CD42" s="59">
        <f ca="1">AVERAGE(OFFSET($CC$3,0,0,'Données projet'!$E$12+1,1))-AVERAGE(OFFSET($H$3,0,0,'Données projet'!$E$12+1,1))</f>
        <v>164.24405955980575</v>
      </c>
      <c r="CE42" s="59">
        <f t="shared" si="40"/>
        <v>379.20713858755209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148.39628895278571</v>
      </c>
      <c r="AO43" s="59">
        <f t="shared" si="36"/>
        <v>361.07991692964788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103.43671929407799</v>
      </c>
      <c r="AW43" s="21">
        <f>EXP(-LN(2)/2)*AW42+(1-EXP(-LN(2)/2))/(LN(2)/2)*AQ43*AT43*VLOOKUP('Données projet'!$B$10,Paramètres!$A$1:$I$89,3,0)*0.475*44/12</f>
        <v>1.4050626875798404E-3</v>
      </c>
      <c r="AX43" s="21">
        <f t="shared" si="6"/>
        <v>103.43812435676557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139</v>
      </c>
      <c r="BB43" s="12">
        <f>VLOOKUP(A43,'Données projet'!$A$87:$I$107,9,0)</f>
        <v>6</v>
      </c>
      <c r="BC43" s="12">
        <f t="array" ref="BC43">INDEX(BB:BB,MIN(IF(ISNUMBER(BB43:BB239),ROW(BB43:BB239),"")))</f>
        <v>6</v>
      </c>
      <c r="BD43" s="12">
        <f>IF('Données projet'!$A$88&gt;35,BD42+BC43-BL42,IF(A43&lt;'Données projet'!$A$88,$BA$205^A43,IF(A43='Données projet'!$A$88,'Données projet'!$B$88,BD42+BC43-BL42)))</f>
        <v>138.99999999999997</v>
      </c>
      <c r="BE43" s="13">
        <f>BD43*VLOOKUP('Données projet'!$B$11,Paramètres!$A$1:$I$89,3,0)*VLOOKUP('Données projet'!$B$11,Paramètres!$A$1:$I$89,5,0)</f>
        <v>112.75679999999998</v>
      </c>
      <c r="BF43" s="13">
        <f t="shared" si="37"/>
        <v>29.979569481474449</v>
      </c>
      <c r="BG43" s="20">
        <f t="shared" si="7"/>
        <v>248.59917684690132</v>
      </c>
      <c r="BH43" s="59">
        <f t="shared" si="8"/>
        <v>541.93251018023466</v>
      </c>
      <c r="BI43" s="59">
        <f ca="1">AVERAGE(OFFSET($BH$3,0,0,'Données projet'!$E$11+1,1))-AVERAGE(OFFSET($H$3,0,0,'Données projet'!$E$11+1,1))</f>
        <v>181.20458942529478</v>
      </c>
      <c r="BJ43" s="59">
        <f t="shared" si="38"/>
        <v>144.05254691566421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13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9.2039019252110492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9.2039019252110492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214</v>
      </c>
      <c r="BZ43" s="13">
        <f>BY43*VLOOKUP('Données projet'!$B$12,Paramètres!$A$1:$I$89,3,0)*VLOOKUP('Données projet'!$B$12,Paramètres!$A$1:$I$89,5,0)</f>
        <v>186.95040000000003</v>
      </c>
      <c r="CA43" s="13">
        <f t="shared" si="39"/>
        <v>46.865095976617653</v>
      </c>
      <c r="CB43" s="20">
        <f t="shared" si="10"/>
        <v>407.22865549260911</v>
      </c>
      <c r="CC43" s="59">
        <f t="shared" si="11"/>
        <v>700.56198882594242</v>
      </c>
      <c r="CD43" s="59">
        <f ca="1">AVERAGE(OFFSET($CC$3,0,0,'Données projet'!$E$12+1,1))-AVERAGE(OFFSET($H$3,0,0,'Données projet'!$E$12+1,1))</f>
        <v>164.24405955980575</v>
      </c>
      <c r="CE43" s="59">
        <f t="shared" si="40"/>
        <v>379.20713858755209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148.39628895278571</v>
      </c>
      <c r="AO44" s="59">
        <f t="shared" si="36"/>
        <v>361.07991692964788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100.60823676548077</v>
      </c>
      <c r="AW44" s="21">
        <f>EXP(-LN(2)/2)*AW43+(1-EXP(-LN(2)/2))/(LN(2)/2)*AQ44*AT44*VLOOKUP('Données projet'!$B$10,Paramètres!$A$1:$I$89,3,0)*0.475*44/12</f>
        <v>9.9352935437990058E-4</v>
      </c>
      <c r="AX44" s="21">
        <f t="shared" si="6"/>
        <v>100.60923029483514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</v>
      </c>
      <c r="BD44" s="12">
        <f>IF('Données projet'!$A$88&gt;35,BD43+BC44-BL43,IF(A44&lt;'Données projet'!$A$88,$BA$205^A44,IF(A44='Données projet'!$A$88,'Données projet'!$B$88,BD43+BC44-BL43)))</f>
        <v>131.99999999999997</v>
      </c>
      <c r="BE44" s="13">
        <f>BD44*VLOOKUP('Données projet'!$B$11,Paramètres!$A$1:$I$89,3,0)*VLOOKUP('Données projet'!$B$11,Paramètres!$A$1:$I$89,5,0)</f>
        <v>107.07839999999999</v>
      </c>
      <c r="BF44" s="13">
        <f t="shared" si="37"/>
        <v>28.64155810910178</v>
      </c>
      <c r="BG44" s="20">
        <f t="shared" si="7"/>
        <v>236.37892704001885</v>
      </c>
      <c r="BH44" s="59">
        <f t="shared" si="8"/>
        <v>529.71226037335214</v>
      </c>
      <c r="BI44" s="59">
        <f ca="1">AVERAGE(OFFSET($BH$3,0,0,'Données projet'!$E$11+1,1))-AVERAGE(OFFSET($H$3,0,0,'Données projet'!$E$11+1,1))</f>
        <v>181.20458942529478</v>
      </c>
      <c r="BJ44" s="59">
        <f t="shared" si="38"/>
        <v>144.05254691566421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9.023419022283516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9.023419022283516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214</v>
      </c>
      <c r="BZ44" s="13">
        <f>BY44*VLOOKUP('Données projet'!$B$12,Paramètres!$A$1:$I$89,3,0)*VLOOKUP('Données projet'!$B$12,Paramètres!$A$1:$I$89,5,0)</f>
        <v>186.95040000000003</v>
      </c>
      <c r="CA44" s="13">
        <f t="shared" si="39"/>
        <v>46.865095976617653</v>
      </c>
      <c r="CB44" s="20">
        <f t="shared" si="10"/>
        <v>407.22865549260911</v>
      </c>
      <c r="CC44" s="59">
        <f t="shared" si="11"/>
        <v>700.56198882594242</v>
      </c>
      <c r="CD44" s="59">
        <f ca="1">AVERAGE(OFFSET($CC$3,0,0,'Données projet'!$E$12+1,1))-AVERAGE(OFFSET($H$3,0,0,'Données projet'!$E$12+1,1))</f>
        <v>164.24405955980575</v>
      </c>
      <c r="CE44" s="59">
        <f t="shared" si="40"/>
        <v>379.20713858755209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148.39628895278571</v>
      </c>
      <c r="AO45" s="59">
        <f t="shared" si="36"/>
        <v>361.07991692964788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97.857099240371468</v>
      </c>
      <c r="AW45" s="21">
        <f>EXP(-LN(2)/2)*AW44+(1-EXP(-LN(2)/2))/(LN(2)/2)*AQ45*AT45*VLOOKUP('Données projet'!$B$10,Paramètres!$A$1:$I$89,3,0)*0.475*44/12</f>
        <v>7.025313437899202E-4</v>
      </c>
      <c r="AX45" s="21">
        <f t="shared" si="6"/>
        <v>97.857801771715259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</v>
      </c>
      <c r="BD45" s="12">
        <f>IF('Données projet'!$A$88&gt;35,BD44+BC45-BL44,IF(A45&lt;'Données projet'!$A$88,$BA$205^A45,IF(A45='Données projet'!$A$88,'Données projet'!$B$88,BD44+BC45-BL44)))</f>
        <v>137.99999999999997</v>
      </c>
      <c r="BE45" s="13">
        <f>BD45*VLOOKUP('Données projet'!$B$11,Paramètres!$A$1:$I$89,3,0)*VLOOKUP('Données projet'!$B$11,Paramètres!$A$1:$I$89,5,0)</f>
        <v>111.94559999999998</v>
      </c>
      <c r="BF45" s="13">
        <f t="shared" si="37"/>
        <v>29.788914309703763</v>
      </c>
      <c r="BG45" s="20">
        <f t="shared" si="7"/>
        <v>246.85427908940071</v>
      </c>
      <c r="BH45" s="59">
        <f t="shared" si="8"/>
        <v>540.18761242273399</v>
      </c>
      <c r="BI45" s="59">
        <f ca="1">AVERAGE(OFFSET($BH$3,0,0,'Données projet'!$E$11+1,1))-AVERAGE(OFFSET($H$3,0,0,'Données projet'!$E$11+1,1))</f>
        <v>181.20458942529478</v>
      </c>
      <c r="BJ45" s="59">
        <f t="shared" si="38"/>
        <v>144.05254691566421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8.8464752789986907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8.8464752789986907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214</v>
      </c>
      <c r="BZ45" s="13">
        <f>BY45*VLOOKUP('Données projet'!$B$12,Paramètres!$A$1:$I$89,3,0)*VLOOKUP('Données projet'!$B$12,Paramètres!$A$1:$I$89,5,0)</f>
        <v>186.95040000000003</v>
      </c>
      <c r="CA45" s="13">
        <f t="shared" si="39"/>
        <v>46.865095976617653</v>
      </c>
      <c r="CB45" s="20">
        <f t="shared" si="10"/>
        <v>407.22865549260911</v>
      </c>
      <c r="CC45" s="59">
        <f t="shared" si="11"/>
        <v>700.56198882594242</v>
      </c>
      <c r="CD45" s="59">
        <f ca="1">AVERAGE(OFFSET($CC$3,0,0,'Données projet'!$E$12+1,1))-AVERAGE(OFFSET($H$3,0,0,'Données projet'!$E$12+1,1))</f>
        <v>164.24405955980575</v>
      </c>
      <c r="CE45" s="59">
        <f t="shared" si="40"/>
        <v>379.20713858755209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148.39628895278571</v>
      </c>
      <c r="AO46" s="59">
        <f t="shared" si="36"/>
        <v>361.07991692964788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95.181191715562321</v>
      </c>
      <c r="AW46" s="21">
        <f>EXP(-LN(2)/2)*AW45+(1-EXP(-LN(2)/2))/(LN(2)/2)*AQ46*AT46*VLOOKUP('Données projet'!$B$10,Paramètres!$A$1:$I$89,3,0)*0.475*44/12</f>
        <v>4.9676467718995029E-4</v>
      </c>
      <c r="AX46" s="21">
        <f t="shared" si="6"/>
        <v>95.181688480239515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</v>
      </c>
      <c r="BD46" s="12">
        <f>IF('Données projet'!$A$88&gt;35,BD45+BC46-BL45,IF(A46&lt;'Données projet'!$A$88,$BA$205^A46,IF(A46='Données projet'!$A$88,'Données projet'!$B$88,BD45+BC46-BL45)))</f>
        <v>143.99999999999997</v>
      </c>
      <c r="BE46" s="13">
        <f>BD46*VLOOKUP('Données projet'!$B$11,Paramètres!$A$1:$I$89,3,0)*VLOOKUP('Données projet'!$B$11,Paramètres!$A$1:$I$89,5,0)</f>
        <v>116.81279999999998</v>
      </c>
      <c r="BF46" s="13">
        <f t="shared" si="37"/>
        <v>30.930476631089483</v>
      </c>
      <c r="BG46" s="20">
        <f t="shared" si="7"/>
        <v>257.31954013248077</v>
      </c>
      <c r="BH46" s="59">
        <f t="shared" si="8"/>
        <v>550.65287346581408</v>
      </c>
      <c r="BI46" s="59">
        <f ca="1">AVERAGE(OFFSET($BH$3,0,0,'Données projet'!$E$11+1,1))-AVERAGE(OFFSET($H$3,0,0,'Données projet'!$E$11+1,1))</f>
        <v>181.20458942529478</v>
      </c>
      <c r="BJ46" s="59">
        <f t="shared" si="38"/>
        <v>144.05254691566421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8.6730012945946537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8.6730012945946537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214</v>
      </c>
      <c r="BZ46" s="13">
        <f>BY46*VLOOKUP('Données projet'!$B$12,Paramètres!$A$1:$I$89,3,0)*VLOOKUP('Données projet'!$B$12,Paramètres!$A$1:$I$89,5,0)</f>
        <v>186.95040000000003</v>
      </c>
      <c r="CA46" s="13">
        <f t="shared" si="39"/>
        <v>46.865095976617653</v>
      </c>
      <c r="CB46" s="20">
        <f t="shared" si="10"/>
        <v>407.22865549260911</v>
      </c>
      <c r="CC46" s="59">
        <f t="shared" si="11"/>
        <v>700.56198882594242</v>
      </c>
      <c r="CD46" s="59">
        <f ca="1">AVERAGE(OFFSET($CC$3,0,0,'Données projet'!$E$12+1,1))-AVERAGE(OFFSET($H$3,0,0,'Données projet'!$E$12+1,1))</f>
        <v>164.24405955980575</v>
      </c>
      <c r="CE46" s="59">
        <f t="shared" si="40"/>
        <v>379.20713858755209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148.39628895278571</v>
      </c>
      <c r="AO47" s="59">
        <f t="shared" si="36"/>
        <v>361.07991692964788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92.578457022738931</v>
      </c>
      <c r="AW47" s="21">
        <f>EXP(-LN(2)/2)*AW46+(1-EXP(-LN(2)/2))/(LN(2)/2)*AQ47*AT47*VLOOKUP('Données projet'!$B$10,Paramètres!$A$1:$I$89,3,0)*0.475*44/12</f>
        <v>3.512656718949601E-4</v>
      </c>
      <c r="AX47" s="21">
        <f t="shared" si="6"/>
        <v>92.578808288410826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</v>
      </c>
      <c r="BD47" s="12">
        <f>IF('Données projet'!$A$88&gt;35,BD46+BC47-BL46,IF(A47&lt;'Données projet'!$A$88,$BA$205^A47,IF(A47='Données projet'!$A$88,'Données projet'!$B$88,BD46+BC47-BL46)))</f>
        <v>149.99999999999997</v>
      </c>
      <c r="BE47" s="13">
        <f>BD47*VLOOKUP('Données projet'!$B$11,Paramètres!$A$1:$I$89,3,0)*VLOOKUP('Données projet'!$B$11,Paramètres!$A$1:$I$89,5,0)</f>
        <v>121.67999999999998</v>
      </c>
      <c r="BF47" s="13">
        <f t="shared" si="37"/>
        <v>32.066514091456256</v>
      </c>
      <c r="BG47" s="20">
        <f t="shared" si="7"/>
        <v>267.77517870928619</v>
      </c>
      <c r="BH47" s="59">
        <f t="shared" si="8"/>
        <v>561.10851204261951</v>
      </c>
      <c r="BI47" s="59">
        <f ca="1">AVERAGE(OFFSET($BH$3,0,0,'Données projet'!$E$11+1,1))-AVERAGE(OFFSET($H$3,0,0,'Données projet'!$E$11+1,1))</f>
        <v>181.20458942529478</v>
      </c>
      <c r="BJ47" s="59">
        <f t="shared" si="38"/>
        <v>144.05254691566421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8.5029290292160979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8.5029290292160979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214</v>
      </c>
      <c r="BZ47" s="13">
        <f>BY47*VLOOKUP('Données projet'!$B$12,Paramètres!$A$1:$I$89,3,0)*VLOOKUP('Données projet'!$B$12,Paramètres!$A$1:$I$89,5,0)</f>
        <v>186.95040000000003</v>
      </c>
      <c r="CA47" s="13">
        <f t="shared" si="39"/>
        <v>46.865095976617653</v>
      </c>
      <c r="CB47" s="20">
        <f t="shared" si="10"/>
        <v>407.22865549260911</v>
      </c>
      <c r="CC47" s="59">
        <f t="shared" si="11"/>
        <v>700.56198882594242</v>
      </c>
      <c r="CD47" s="59">
        <f ca="1">AVERAGE(OFFSET($CC$3,0,0,'Données projet'!$E$12+1,1))-AVERAGE(OFFSET($H$3,0,0,'Données projet'!$E$12+1,1))</f>
        <v>164.24405955980575</v>
      </c>
      <c r="CE47" s="59">
        <f t="shared" si="40"/>
        <v>379.20713858755209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148.39628895278571</v>
      </c>
      <c r="AO48" s="59">
        <f t="shared" si="36"/>
        <v>361.07991692964788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90.046894246962665</v>
      </c>
      <c r="AW48" s="21">
        <f>EXP(-LN(2)/2)*AW47+(1-EXP(-LN(2)/2))/(LN(2)/2)*AQ48*AT48*VLOOKUP('Données projet'!$B$10,Paramètres!$A$1:$I$89,3,0)*0.475*44/12</f>
        <v>2.4838233859497515E-4</v>
      </c>
      <c r="AX48" s="21">
        <f t="shared" si="6"/>
        <v>90.047142629301263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156</v>
      </c>
      <c r="BB48" s="12">
        <f>VLOOKUP(A48,'Données projet'!$A$87:$I$107,9,0)</f>
        <v>6</v>
      </c>
      <c r="BC48" s="12">
        <f t="array" ref="BC48">INDEX(BB:BB,MIN(IF(ISNUMBER(BB48:BB244),ROW(BB48:BB244),"")))</f>
        <v>6</v>
      </c>
      <c r="BD48" s="12">
        <f>IF('Données projet'!$A$88&gt;35,BD47+BC48-BL47,IF(A48&lt;'Données projet'!$A$88,$BA$205^A48,IF(A48='Données projet'!$A$88,'Données projet'!$B$88,BD47+BC48-BL47)))</f>
        <v>155.99999999999997</v>
      </c>
      <c r="BE48" s="13">
        <f>BD48*VLOOKUP('Données projet'!$B$11,Paramètres!$A$1:$I$89,3,0)*VLOOKUP('Données projet'!$B$11,Paramètres!$A$1:$I$89,5,0)</f>
        <v>126.54719999999999</v>
      </c>
      <c r="BF48" s="13">
        <f t="shared" si="37"/>
        <v>33.19727296936243</v>
      </c>
      <c r="BG48" s="20">
        <f t="shared" si="7"/>
        <v>278.22162375497288</v>
      </c>
      <c r="BH48" s="59">
        <f t="shared" si="8"/>
        <v>571.5549570883062</v>
      </c>
      <c r="BI48" s="59">
        <f ca="1">AVERAGE(OFFSET($BH$3,0,0,'Données projet'!$E$11+1,1))-AVERAGE(OFFSET($H$3,0,0,'Données projet'!$E$11+1,1))</f>
        <v>181.20458942529478</v>
      </c>
      <c r="BJ48" s="59">
        <f t="shared" si="38"/>
        <v>144.05254691566421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13.734672359928094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13.734672359928094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214</v>
      </c>
      <c r="BZ48" s="13">
        <f>BY48*VLOOKUP('Données projet'!$B$12,Paramètres!$A$1:$I$89,3,0)*VLOOKUP('Données projet'!$B$12,Paramètres!$A$1:$I$89,5,0)</f>
        <v>186.95040000000003</v>
      </c>
      <c r="CA48" s="13">
        <f t="shared" si="39"/>
        <v>46.865095976617653</v>
      </c>
      <c r="CB48" s="20">
        <f t="shared" si="10"/>
        <v>407.22865549260911</v>
      </c>
      <c r="CC48" s="59">
        <f t="shared" si="11"/>
        <v>700.56198882594242</v>
      </c>
      <c r="CD48" s="59">
        <f ca="1">AVERAGE(OFFSET($CC$3,0,0,'Données projet'!$E$12+1,1))-AVERAGE(OFFSET($H$3,0,0,'Données projet'!$E$12+1,1))</f>
        <v>164.24405955980575</v>
      </c>
      <c r="CE48" s="59">
        <f t="shared" si="40"/>
        <v>379.20713858755209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148.39628895278571</v>
      </c>
      <c r="AO49" s="59">
        <f t="shared" si="36"/>
        <v>361.07991692964788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87.584557188419112</v>
      </c>
      <c r="AW49" s="21">
        <f>EXP(-LN(2)/2)*AW48+(1-EXP(-LN(2)/2))/(LN(2)/2)*AQ49*AT49*VLOOKUP('Données projet'!$B$10,Paramètres!$A$1:$I$89,3,0)*0.475*44/12</f>
        <v>1.7563283594748005E-4</v>
      </c>
      <c r="AX49" s="21">
        <f t="shared" si="6"/>
        <v>87.584732821255059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5.8</v>
      </c>
      <c r="BD49" s="12">
        <f>IF('Données projet'!$A$88&gt;35,BD48+BC49-BL48,IF(A49&lt;'Données projet'!$A$88,$BA$205^A49,IF(A49='Données projet'!$A$88,'Données projet'!$B$88,BD48+BC49-BL48)))</f>
        <v>147.79999999999998</v>
      </c>
      <c r="BE49" s="13">
        <f>BD49*VLOOKUP('Données projet'!$B$11,Paramètres!$A$1:$I$89,3,0)*VLOOKUP('Données projet'!$B$11,Paramètres!$A$1:$I$89,5,0)</f>
        <v>119.89536</v>
      </c>
      <c r="BF49" s="13">
        <f t="shared" si="37"/>
        <v>31.650592493512807</v>
      </c>
      <c r="BG49" s="20">
        <f t="shared" si="7"/>
        <v>263.94253392620141</v>
      </c>
      <c r="BH49" s="59">
        <f t="shared" si="8"/>
        <v>557.27586725953472</v>
      </c>
      <c r="BI49" s="59">
        <f ca="1">AVERAGE(OFFSET($BH$3,0,0,'Données projet'!$E$11+1,1))-AVERAGE(OFFSET($H$3,0,0,'Données projet'!$E$11+1,1))</f>
        <v>181.20458942529478</v>
      </c>
      <c r="BJ49" s="59">
        <f t="shared" si="38"/>
        <v>144.05254691566421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13.465343812272852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13.465343812272852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214</v>
      </c>
      <c r="BZ49" s="13">
        <f>BY49*VLOOKUP('Données projet'!$B$12,Paramètres!$A$1:$I$89,3,0)*VLOOKUP('Données projet'!$B$12,Paramètres!$A$1:$I$89,5,0)</f>
        <v>186.95040000000003</v>
      </c>
      <c r="CA49" s="13">
        <f t="shared" si="39"/>
        <v>46.865095976617653</v>
      </c>
      <c r="CB49" s="20">
        <f t="shared" si="10"/>
        <v>407.22865549260911</v>
      </c>
      <c r="CC49" s="59">
        <f t="shared" si="11"/>
        <v>700.56198882594242</v>
      </c>
      <c r="CD49" s="59">
        <f ca="1">AVERAGE(OFFSET($CC$3,0,0,'Données projet'!$E$12+1,1))-AVERAGE(OFFSET($H$3,0,0,'Données projet'!$E$12+1,1))</f>
        <v>164.24405955980575</v>
      </c>
      <c r="CE49" s="59">
        <f t="shared" si="40"/>
        <v>379.20713858755209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148.39628895278571</v>
      </c>
      <c r="AO50" s="59">
        <f t="shared" si="36"/>
        <v>361.07991692964788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85.189552866230102</v>
      </c>
      <c r="AW50" s="21">
        <f>EXP(-LN(2)/2)*AW49+(1-EXP(-LN(2)/2))/(LN(2)/2)*AQ50*AT50*VLOOKUP('Données projet'!$B$10,Paramètres!$A$1:$I$89,3,0)*0.475*44/12</f>
        <v>1.2419116929748757E-4</v>
      </c>
      <c r="AX50" s="21">
        <f t="shared" si="6"/>
        <v>85.189677057399393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5.8</v>
      </c>
      <c r="BD50" s="12">
        <f>IF('Données projet'!$A$88&gt;35,BD49+BC50-BL49,IF(A50&lt;'Données projet'!$A$88,$BA$205^A50,IF(A50='Données projet'!$A$88,'Données projet'!$B$88,BD49+BC50-BL49)))</f>
        <v>153.6</v>
      </c>
      <c r="BE50" s="13">
        <f>BD50*VLOOKUP('Données projet'!$B$11,Paramètres!$A$1:$I$89,3,0)*VLOOKUP('Données projet'!$B$11,Paramètres!$A$1:$I$89,5,0)</f>
        <v>124.60032000000001</v>
      </c>
      <c r="BF50" s="13">
        <f t="shared" si="37"/>
        <v>32.745587947600931</v>
      </c>
      <c r="BG50" s="20">
        <f t="shared" si="7"/>
        <v>274.04412300873832</v>
      </c>
      <c r="BH50" s="59">
        <f t="shared" si="8"/>
        <v>567.37745634207158</v>
      </c>
      <c r="BI50" s="59">
        <f ca="1">AVERAGE(OFFSET($BH$3,0,0,'Données projet'!$E$11+1,1))-AVERAGE(OFFSET($H$3,0,0,'Données projet'!$E$11+1,1))</f>
        <v>181.20458942529478</v>
      </c>
      <c r="BJ50" s="59">
        <f t="shared" si="38"/>
        <v>144.05254691566421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13.201296633162936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13.201296633162936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214</v>
      </c>
      <c r="BZ50" s="13">
        <f>BY50*VLOOKUP('Données projet'!$B$12,Paramètres!$A$1:$I$89,3,0)*VLOOKUP('Données projet'!$B$12,Paramètres!$A$1:$I$89,5,0)</f>
        <v>186.95040000000003</v>
      </c>
      <c r="CA50" s="13">
        <f t="shared" si="39"/>
        <v>46.865095976617653</v>
      </c>
      <c r="CB50" s="20">
        <f t="shared" si="10"/>
        <v>407.22865549260911</v>
      </c>
      <c r="CC50" s="59">
        <f t="shared" si="11"/>
        <v>700.56198882594242</v>
      </c>
      <c r="CD50" s="59">
        <f ca="1">AVERAGE(OFFSET($CC$3,0,0,'Données projet'!$E$12+1,1))-AVERAGE(OFFSET($H$3,0,0,'Données projet'!$E$12+1,1))</f>
        <v>164.24405955980575</v>
      </c>
      <c r="CE50" s="59">
        <f t="shared" si="40"/>
        <v>379.20713858755209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148.39628895278571</v>
      </c>
      <c r="AO51" s="59">
        <f t="shared" si="36"/>
        <v>361.07991692964788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82.860040063179156</v>
      </c>
      <c r="AW51" s="21">
        <f>EXP(-LN(2)/2)*AW50+(1-EXP(-LN(2)/2))/(LN(2)/2)*AQ51*AT51*VLOOKUP('Données projet'!$B$10,Paramètres!$A$1:$I$89,3,0)*0.475*44/12</f>
        <v>8.7816417973740025E-5</v>
      </c>
      <c r="AX51" s="21">
        <f t="shared" si="6"/>
        <v>82.86012787959713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5.8</v>
      </c>
      <c r="BD51" s="12">
        <f>IF('Données projet'!$A$88&gt;35,BD50+BC51-BL50,IF(A51&lt;'Données projet'!$A$88,$BA$205^A51,IF(A51='Données projet'!$A$88,'Données projet'!$B$88,BD50+BC51-BL50)))</f>
        <v>159.4</v>
      </c>
      <c r="BE51" s="13">
        <f>BD51*VLOOKUP('Données projet'!$B$11,Paramètres!$A$1:$I$89,3,0)*VLOOKUP('Données projet'!$B$11,Paramètres!$A$1:$I$89,5,0)</f>
        <v>129.30528000000001</v>
      </c>
      <c r="BF51" s="13">
        <f t="shared" si="37"/>
        <v>33.835779910277751</v>
      </c>
      <c r="BG51" s="20">
        <f t="shared" si="7"/>
        <v>284.13734601040039</v>
      </c>
      <c r="BH51" s="59">
        <f t="shared" si="8"/>
        <v>577.47067934373376</v>
      </c>
      <c r="BI51" s="59">
        <f ca="1">AVERAGE(OFFSET($BH$3,0,0,'Données projet'!$E$11+1,1))-AVERAGE(OFFSET($H$3,0,0,'Données projet'!$E$11+1,1))</f>
        <v>181.20458942529478</v>
      </c>
      <c r="BJ51" s="59">
        <f t="shared" si="38"/>
        <v>144.05254691566421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12.942427258182489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12.942427258182489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214</v>
      </c>
      <c r="BZ51" s="13">
        <f>BY51*VLOOKUP('Données projet'!$B$12,Paramètres!$A$1:$I$89,3,0)*VLOOKUP('Données projet'!$B$12,Paramètres!$A$1:$I$89,5,0)</f>
        <v>186.95040000000003</v>
      </c>
      <c r="CA51" s="13">
        <f t="shared" si="39"/>
        <v>46.865095976617653</v>
      </c>
      <c r="CB51" s="20">
        <f t="shared" si="10"/>
        <v>407.22865549260911</v>
      </c>
      <c r="CC51" s="59">
        <f t="shared" si="11"/>
        <v>700.56198882594242</v>
      </c>
      <c r="CD51" s="59">
        <f ca="1">AVERAGE(OFFSET($CC$3,0,0,'Données projet'!$E$12+1,1))-AVERAGE(OFFSET($H$3,0,0,'Données projet'!$E$12+1,1))</f>
        <v>164.24405955980575</v>
      </c>
      <c r="CE51" s="59">
        <f t="shared" si="40"/>
        <v>379.20713858755209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148.39628895278571</v>
      </c>
      <c r="AO52" s="59">
        <f t="shared" si="36"/>
        <v>361.07991692964788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80.594227910231396</v>
      </c>
      <c r="AW52" s="21">
        <f>EXP(-LN(2)/2)*AW51+(1-EXP(-LN(2)/2))/(LN(2)/2)*AQ52*AT52*VLOOKUP('Données projet'!$B$10,Paramètres!$A$1:$I$89,3,0)*0.475*44/12</f>
        <v>6.2095584648743786E-5</v>
      </c>
      <c r="AX52" s="21">
        <f t="shared" si="6"/>
        <v>80.594290005816049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5.8</v>
      </c>
      <c r="BD52" s="12">
        <f>IF('Données projet'!$A$88&gt;35,BD51+BC52-BL51,IF(A52&lt;'Données projet'!$A$88,$BA$205^A52,IF(A52='Données projet'!$A$88,'Données projet'!$B$88,BD51+BC52-BL51)))</f>
        <v>165.20000000000002</v>
      </c>
      <c r="BE52" s="13">
        <f>BD52*VLOOKUP('Données projet'!$B$11,Paramètres!$A$1:$I$89,3,0)*VLOOKUP('Données projet'!$B$11,Paramètres!$A$1:$I$89,5,0)</f>
        <v>134.01024000000001</v>
      </c>
      <c r="BF52" s="13">
        <f t="shared" si="37"/>
        <v>34.921363182969436</v>
      </c>
      <c r="BG52" s="20">
        <f t="shared" si="7"/>
        <v>294.22254221033842</v>
      </c>
      <c r="BH52" s="59">
        <f t="shared" si="8"/>
        <v>587.55587554367173</v>
      </c>
      <c r="BI52" s="59">
        <f ca="1">AVERAGE(OFFSET($BH$3,0,0,'Données projet'!$E$11+1,1))-AVERAGE(OFFSET($H$3,0,0,'Données projet'!$E$11+1,1))</f>
        <v>181.20458942529478</v>
      </c>
      <c r="BJ52" s="59">
        <f t="shared" si="38"/>
        <v>144.05254691566421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12.68863415375068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12.68863415375068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214</v>
      </c>
      <c r="BZ52" s="13">
        <f>BY52*VLOOKUP('Données projet'!$B$12,Paramètres!$A$1:$I$89,3,0)*VLOOKUP('Données projet'!$B$12,Paramètres!$A$1:$I$89,5,0)</f>
        <v>186.95040000000003</v>
      </c>
      <c r="CA52" s="13">
        <f t="shared" si="39"/>
        <v>46.865095976617653</v>
      </c>
      <c r="CB52" s="20">
        <f t="shared" si="10"/>
        <v>407.22865549260911</v>
      </c>
      <c r="CC52" s="59">
        <f t="shared" si="11"/>
        <v>700.56198882594242</v>
      </c>
      <c r="CD52" s="59">
        <f ca="1">AVERAGE(OFFSET($CC$3,0,0,'Données projet'!$E$12+1,1))-AVERAGE(OFFSET($H$3,0,0,'Données projet'!$E$12+1,1))</f>
        <v>164.24405955980575</v>
      </c>
      <c r="CE52" s="59">
        <f t="shared" si="40"/>
        <v>379.20713858755209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148.39628895278571</v>
      </c>
      <c r="AO53" s="59">
        <f t="shared" si="36"/>
        <v>361.07991692964788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78.39037450975988</v>
      </c>
      <c r="AW53" s="21">
        <f>EXP(-LN(2)/2)*AW52+(1-EXP(-LN(2)/2))/(LN(2)/2)*AQ53*AT53*VLOOKUP('Données projet'!$B$10,Paramètres!$A$1:$I$89,3,0)*0.475*44/12</f>
        <v>4.3908208986870012E-5</v>
      </c>
      <c r="AX53" s="21">
        <f t="shared" si="6"/>
        <v>78.39041841796886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171</v>
      </c>
      <c r="BB53" s="12">
        <f>VLOOKUP(A53,'Données projet'!$A$87:$I$107,9,0)</f>
        <v>5.8</v>
      </c>
      <c r="BC53" s="12">
        <f t="array" ref="BC53">INDEX(BB:BB,MIN(IF(ISNUMBER(BB53:BB249),ROW(BB53:BB249),"")))</f>
        <v>5.8</v>
      </c>
      <c r="BD53" s="12">
        <f>IF('Données projet'!$A$88&gt;35,BD52+BC53-BL52,IF(A53&lt;'Données projet'!$A$88,$BA$205^A53,IF(A53='Données projet'!$A$88,'Données projet'!$B$88,BD52+BC53-BL52)))</f>
        <v>171.00000000000003</v>
      </c>
      <c r="BE53" s="13">
        <f>BD53*VLOOKUP('Données projet'!$B$11,Paramètres!$A$1:$I$89,3,0)*VLOOKUP('Données projet'!$B$11,Paramètres!$A$1:$I$89,5,0)</f>
        <v>138.71520000000004</v>
      </c>
      <c r="BF53" s="13">
        <f t="shared" si="37"/>
        <v>36.002518112949986</v>
      </c>
      <c r="BG53" s="20">
        <f t="shared" si="7"/>
        <v>304.30002571338792</v>
      </c>
      <c r="BH53" s="59">
        <f t="shared" si="8"/>
        <v>597.63335904672124</v>
      </c>
      <c r="BI53" s="59">
        <f ca="1">AVERAGE(OFFSET($BH$3,0,0,'Données projet'!$E$11+1,1))-AVERAGE(OFFSET($H$3,0,0,'Données projet'!$E$11+1,1))</f>
        <v>181.20458942529478</v>
      </c>
      <c r="BJ53" s="59">
        <f t="shared" si="38"/>
        <v>144.05254691566421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14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17.838298359998589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17.838298359998589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214</v>
      </c>
      <c r="BZ53" s="13">
        <f>BY53*VLOOKUP('Données projet'!$B$12,Paramètres!$A$1:$I$89,3,0)*VLOOKUP('Données projet'!$B$12,Paramètres!$A$1:$I$89,5,0)</f>
        <v>186.95040000000003</v>
      </c>
      <c r="CA53" s="13">
        <f t="shared" si="39"/>
        <v>46.865095976617653</v>
      </c>
      <c r="CB53" s="20">
        <f t="shared" si="10"/>
        <v>407.22865549260911</v>
      </c>
      <c r="CC53" s="59">
        <f t="shared" si="11"/>
        <v>700.56198882594242</v>
      </c>
      <c r="CD53" s="59">
        <f ca="1">AVERAGE(OFFSET($CC$3,0,0,'Données projet'!$E$12+1,1))-AVERAGE(OFFSET($H$3,0,0,'Données projet'!$E$12+1,1))</f>
        <v>164.24405955980575</v>
      </c>
      <c r="CE53" s="59">
        <f t="shared" si="40"/>
        <v>379.20713858755209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148.39628895278571</v>
      </c>
      <c r="AO54" s="59">
        <f t="shared" si="36"/>
        <v>361.07991692964788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76.246785596419869</v>
      </c>
      <c r="AW54" s="21">
        <f>EXP(-LN(2)/2)*AW53+(1-EXP(-LN(2)/2))/(LN(2)/2)*AQ54*AT54*VLOOKUP('Données projet'!$B$10,Paramètres!$A$1:$I$89,3,0)*0.475*44/12</f>
        <v>3.1047792324371893E-5</v>
      </c>
      <c r="AX54" s="21">
        <f t="shared" si="6"/>
        <v>76.246816644212188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5.4</v>
      </c>
      <c r="BD54" s="12">
        <f>IF('Données projet'!$A$88&gt;35,BD53+BC54-BL53,IF(A54&lt;'Données projet'!$A$88,$BA$205^A54,IF(A54='Données projet'!$A$88,'Données projet'!$B$88,BD53+BC54-BL53)))</f>
        <v>162.40000000000003</v>
      </c>
      <c r="BE54" s="13">
        <f>BD54*VLOOKUP('Données projet'!$B$11,Paramètres!$A$1:$I$89,3,0)*VLOOKUP('Données projet'!$B$11,Paramètres!$A$1:$I$89,5,0)</f>
        <v>131.73888000000005</v>
      </c>
      <c r="BF54" s="13">
        <f t="shared" si="37"/>
        <v>34.397852193895858</v>
      </c>
      <c r="BG54" s="20">
        <f t="shared" si="7"/>
        <v>289.35480857103533</v>
      </c>
      <c r="BH54" s="59">
        <f t="shared" si="8"/>
        <v>582.68814190436865</v>
      </c>
      <c r="BI54" s="59">
        <f ca="1">AVERAGE(OFFSET($BH$3,0,0,'Données projet'!$E$11+1,1))-AVERAGE(OFFSET($H$3,0,0,'Données projet'!$E$11+1,1))</f>
        <v>181.20458942529478</v>
      </c>
      <c r="BJ54" s="59">
        <f t="shared" si="38"/>
        <v>144.05254691566421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17.488500209446677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17.488500209446677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214</v>
      </c>
      <c r="BZ54" s="13">
        <f>BY54*VLOOKUP('Données projet'!$B$12,Paramètres!$A$1:$I$89,3,0)*VLOOKUP('Données projet'!$B$12,Paramètres!$A$1:$I$89,5,0)</f>
        <v>186.95040000000003</v>
      </c>
      <c r="CA54" s="13">
        <f t="shared" si="39"/>
        <v>46.865095976617653</v>
      </c>
      <c r="CB54" s="20">
        <f t="shared" si="10"/>
        <v>407.22865549260911</v>
      </c>
      <c r="CC54" s="59">
        <f t="shared" si="11"/>
        <v>700.56198882594242</v>
      </c>
      <c r="CD54" s="59">
        <f ca="1">AVERAGE(OFFSET($CC$3,0,0,'Données projet'!$E$12+1,1))-AVERAGE(OFFSET($H$3,0,0,'Données projet'!$E$12+1,1))</f>
        <v>164.24405955980575</v>
      </c>
      <c r="CE54" s="59">
        <f t="shared" si="40"/>
        <v>379.20713858755209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148.39628895278571</v>
      </c>
      <c r="AO55" s="59">
        <f t="shared" si="36"/>
        <v>361.07991692964788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74.161813234641571</v>
      </c>
      <c r="AW55" s="21">
        <f>EXP(-LN(2)/2)*AW54+(1-EXP(-LN(2)/2))/(LN(2)/2)*AQ55*AT55*VLOOKUP('Données projet'!$B$10,Paramètres!$A$1:$I$89,3,0)*0.475*44/12</f>
        <v>2.1954104493435006E-5</v>
      </c>
      <c r="AX55" s="21">
        <f t="shared" si="6"/>
        <v>74.161835188746068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5.4</v>
      </c>
      <c r="BD55" s="12">
        <f>IF('Données projet'!$A$88&gt;35,BD54+BC55-BL54,IF(A55&lt;'Données projet'!$A$88,$BA$205^A55,IF(A55='Données projet'!$A$88,'Données projet'!$B$88,BD54+BC55-BL54)))</f>
        <v>167.80000000000004</v>
      </c>
      <c r="BE55" s="13">
        <f>BD55*VLOOKUP('Données projet'!$B$11,Paramètres!$A$1:$I$89,3,0)*VLOOKUP('Données projet'!$B$11,Paramètres!$A$1:$I$89,5,0)</f>
        <v>136.11936000000006</v>
      </c>
      <c r="BF55" s="13">
        <f t="shared" si="37"/>
        <v>35.406556182020879</v>
      </c>
      <c r="BG55" s="20">
        <f t="shared" si="7"/>
        <v>298.74097068368638</v>
      </c>
      <c r="BH55" s="59">
        <f t="shared" si="8"/>
        <v>592.0743040170197</v>
      </c>
      <c r="BI55" s="59">
        <f ca="1">AVERAGE(OFFSET($BH$3,0,0,'Données projet'!$E$11+1,1))-AVERAGE(OFFSET($H$3,0,0,'Données projet'!$E$11+1,1))</f>
        <v>181.20458942529478</v>
      </c>
      <c r="BJ55" s="59">
        <f t="shared" si="38"/>
        <v>144.05254691566421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17.145561387271282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17.145561387271282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214</v>
      </c>
      <c r="BZ55" s="13">
        <f>BY55*VLOOKUP('Données projet'!$B$12,Paramètres!$A$1:$I$89,3,0)*VLOOKUP('Données projet'!$B$12,Paramètres!$A$1:$I$89,5,0)</f>
        <v>186.95040000000003</v>
      </c>
      <c r="CA55" s="13">
        <f t="shared" si="39"/>
        <v>46.865095976617653</v>
      </c>
      <c r="CB55" s="20">
        <f t="shared" si="10"/>
        <v>407.22865549260911</v>
      </c>
      <c r="CC55" s="59">
        <f t="shared" si="11"/>
        <v>700.56198882594242</v>
      </c>
      <c r="CD55" s="59">
        <f ca="1">AVERAGE(OFFSET($CC$3,0,0,'Données projet'!$E$12+1,1))-AVERAGE(OFFSET($H$3,0,0,'Données projet'!$E$12+1,1))</f>
        <v>164.24405955980575</v>
      </c>
      <c r="CE55" s="59">
        <f t="shared" si="40"/>
        <v>379.20713858755209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148.39628895278571</v>
      </c>
      <c r="AO56" s="59">
        <f t="shared" si="36"/>
        <v>361.07991692964788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72.133854551740043</v>
      </c>
      <c r="AW56" s="21">
        <f>EXP(-LN(2)/2)*AW55+(1-EXP(-LN(2)/2))/(LN(2)/2)*AQ56*AT56*VLOOKUP('Données projet'!$B$10,Paramètres!$A$1:$I$89,3,0)*0.475*44/12</f>
        <v>1.5523896162185947E-5</v>
      </c>
      <c r="AX56" s="21">
        <f t="shared" si="6"/>
        <v>72.13387007563621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5.4</v>
      </c>
      <c r="BD56" s="12">
        <f>IF('Données projet'!$A$88&gt;35,BD55+BC56-BL55,IF(A56&lt;'Données projet'!$A$88,$BA$205^A56,IF(A56='Données projet'!$A$88,'Données projet'!$B$88,BD55+BC56-BL55)))</f>
        <v>173.20000000000005</v>
      </c>
      <c r="BE56" s="13">
        <f>BD56*VLOOKUP('Données projet'!$B$11,Paramètres!$A$1:$I$89,3,0)*VLOOKUP('Données projet'!$B$11,Paramètres!$A$1:$I$89,5,0)</f>
        <v>140.49984000000003</v>
      </c>
      <c r="BF56" s="13">
        <f t="shared" si="37"/>
        <v>36.411488058235591</v>
      </c>
      <c r="BG56" s="20">
        <f t="shared" si="7"/>
        <v>308.12056303476032</v>
      </c>
      <c r="BH56" s="59">
        <f t="shared" si="8"/>
        <v>601.45389636809364</v>
      </c>
      <c r="BI56" s="59">
        <f ca="1">AVERAGE(OFFSET($BH$3,0,0,'Données projet'!$E$11+1,1))-AVERAGE(OFFSET($H$3,0,0,'Données projet'!$E$11+1,1))</f>
        <v>181.20458942529478</v>
      </c>
      <c r="BJ56" s="59">
        <f t="shared" si="38"/>
        <v>144.05254691566421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16.809347386226722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16.809347386226722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214</v>
      </c>
      <c r="BZ56" s="13">
        <f>BY56*VLOOKUP('Données projet'!$B$12,Paramètres!$A$1:$I$89,3,0)*VLOOKUP('Données projet'!$B$12,Paramètres!$A$1:$I$89,5,0)</f>
        <v>186.95040000000003</v>
      </c>
      <c r="CA56" s="13">
        <f t="shared" si="39"/>
        <v>46.865095976617653</v>
      </c>
      <c r="CB56" s="20">
        <f t="shared" si="10"/>
        <v>407.22865549260911</v>
      </c>
      <c r="CC56" s="59">
        <f t="shared" si="11"/>
        <v>700.56198882594242</v>
      </c>
      <c r="CD56" s="59">
        <f ca="1">AVERAGE(OFFSET($CC$3,0,0,'Données projet'!$E$12+1,1))-AVERAGE(OFFSET($H$3,0,0,'Données projet'!$E$12+1,1))</f>
        <v>164.24405955980575</v>
      </c>
      <c r="CE56" s="59">
        <f t="shared" si="40"/>
        <v>379.20713858755209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148.39628895278571</v>
      </c>
      <c r="AO57" s="59">
        <f t="shared" si="36"/>
        <v>361.07991692964788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70.161350505668167</v>
      </c>
      <c r="AW57" s="21">
        <f>EXP(-LN(2)/2)*AW56+(1-EXP(-LN(2)/2))/(LN(2)/2)*AQ57*AT57*VLOOKUP('Données projet'!$B$10,Paramètres!$A$1:$I$89,3,0)*0.475*44/12</f>
        <v>1.0977052246717503E-5</v>
      </c>
      <c r="AX57" s="21">
        <f t="shared" si="6"/>
        <v>70.161361482720409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5.4</v>
      </c>
      <c r="BD57" s="12">
        <f>IF('Données projet'!$A$88&gt;35,BD56+BC57-BL56,IF(A57&lt;'Données projet'!$A$88,$BA$205^A57,IF(A57='Données projet'!$A$88,'Données projet'!$B$88,BD56+BC57-BL56)))</f>
        <v>178.60000000000005</v>
      </c>
      <c r="BE57" s="13">
        <f>BD57*VLOOKUP('Données projet'!$B$11,Paramètres!$A$1:$I$89,3,0)*VLOOKUP('Données projet'!$B$11,Paramètres!$A$1:$I$89,5,0)</f>
        <v>144.88032000000004</v>
      </c>
      <c r="BF57" s="13">
        <f t="shared" si="37"/>
        <v>37.412778923310412</v>
      </c>
      <c r="BG57" s="20">
        <f t="shared" si="7"/>
        <v>317.493813958099</v>
      </c>
      <c r="BH57" s="59">
        <f t="shared" si="8"/>
        <v>610.82714729143231</v>
      </c>
      <c r="BI57" s="59">
        <f ca="1">AVERAGE(OFFSET($BH$3,0,0,'Données projet'!$E$11+1,1))-AVERAGE(OFFSET($H$3,0,0,'Données projet'!$E$11+1,1))</f>
        <v>181.20458942529478</v>
      </c>
      <c r="BJ57" s="59">
        <f t="shared" si="38"/>
        <v>144.05254691566421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16.479726336672353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16.479726336672353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214</v>
      </c>
      <c r="BZ57" s="13">
        <f>BY57*VLOOKUP('Données projet'!$B$12,Paramètres!$A$1:$I$89,3,0)*VLOOKUP('Données projet'!$B$12,Paramètres!$A$1:$I$89,5,0)</f>
        <v>186.95040000000003</v>
      </c>
      <c r="CA57" s="13">
        <f t="shared" si="39"/>
        <v>46.865095976617653</v>
      </c>
      <c r="CB57" s="20">
        <f t="shared" si="10"/>
        <v>407.22865549260911</v>
      </c>
      <c r="CC57" s="59">
        <f t="shared" si="11"/>
        <v>700.56198882594242</v>
      </c>
      <c r="CD57" s="59">
        <f ca="1">AVERAGE(OFFSET($CC$3,0,0,'Données projet'!$E$12+1,1))-AVERAGE(OFFSET($H$3,0,0,'Données projet'!$E$12+1,1))</f>
        <v>164.24405955980575</v>
      </c>
      <c r="CE57" s="59">
        <f t="shared" si="40"/>
        <v>379.20713858755209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148.39628895278571</v>
      </c>
      <c r="AO58" s="59">
        <f t="shared" si="36"/>
        <v>361.07991692964788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68.242784686465598</v>
      </c>
      <c r="AW58" s="21">
        <f>EXP(-LN(2)/2)*AW57+(1-EXP(-LN(2)/2))/(LN(2)/2)*AQ58*AT58*VLOOKUP('Données projet'!$B$10,Paramètres!$A$1:$I$89,3,0)*0.475*44/12</f>
        <v>7.7619480810929733E-6</v>
      </c>
      <c r="AX58" s="21">
        <f t="shared" si="6"/>
        <v>68.242792448413681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184</v>
      </c>
      <c r="BB58" s="12">
        <f>VLOOKUP(A58,'Données projet'!$A$87:$I$107,9,0)</f>
        <v>5.4</v>
      </c>
      <c r="BC58" s="12">
        <f t="array" ref="BC58">INDEX(BB:BB,MIN(IF(ISNUMBER(BB58:BB254),ROW(BB58:BB254),"")))</f>
        <v>5.4</v>
      </c>
      <c r="BD58" s="12">
        <f>IF('Données projet'!$A$88&gt;35,BD57+BC58-BL57,IF(A58&lt;'Données projet'!$A$88,$BA$205^A58,IF(A58='Données projet'!$A$88,'Données projet'!$B$88,BD57+BC58-BL57)))</f>
        <v>184.00000000000006</v>
      </c>
      <c r="BE58" s="13">
        <f>BD58*VLOOKUP('Données projet'!$B$11,Paramètres!$A$1:$I$89,3,0)*VLOOKUP('Données projet'!$B$11,Paramètres!$A$1:$I$89,5,0)</f>
        <v>149.26080000000005</v>
      </c>
      <c r="BF58" s="13">
        <f t="shared" si="37"/>
        <v>38.410551499792909</v>
      </c>
      <c r="BG58" s="20">
        <f t="shared" si="7"/>
        <v>326.86093719547273</v>
      </c>
      <c r="BH58" s="59">
        <f t="shared" si="8"/>
        <v>620.1942705288061</v>
      </c>
      <c r="BI58" s="59">
        <f ca="1">AVERAGE(OFFSET($BH$3,0,0,'Données projet'!$E$11+1,1))-AVERAGE(OFFSET($H$3,0,0,'Données projet'!$E$11+1,1))</f>
        <v>181.20458942529478</v>
      </c>
      <c r="BJ58" s="59">
        <f t="shared" si="38"/>
        <v>144.05254691566421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21.555049537551078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21.555049537551078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214</v>
      </c>
      <c r="BZ58" s="13">
        <f>BY58*VLOOKUP('Données projet'!$B$12,Paramètres!$A$1:$I$89,3,0)*VLOOKUP('Données projet'!$B$12,Paramètres!$A$1:$I$89,5,0)</f>
        <v>186.95040000000003</v>
      </c>
      <c r="CA58" s="13">
        <f t="shared" si="39"/>
        <v>46.865095976617653</v>
      </c>
      <c r="CB58" s="20">
        <f t="shared" si="10"/>
        <v>407.22865549260911</v>
      </c>
      <c r="CC58" s="59">
        <f t="shared" si="11"/>
        <v>700.56198882594242</v>
      </c>
      <c r="CD58" s="59">
        <f ca="1">AVERAGE(OFFSET($CC$3,0,0,'Données projet'!$E$12+1,1))-AVERAGE(OFFSET($H$3,0,0,'Données projet'!$E$12+1,1))</f>
        <v>164.24405955980575</v>
      </c>
      <c r="CE58" s="59">
        <f t="shared" si="40"/>
        <v>379.20713858755209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148.39628895278571</v>
      </c>
      <c r="AO59" s="59">
        <f t="shared" si="36"/>
        <v>361.07991692964788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66.376682150482125</v>
      </c>
      <c r="AW59" s="21">
        <f>EXP(-LN(2)/2)*AW58+(1-EXP(-LN(2)/2))/(LN(2)/2)*AQ59*AT59*VLOOKUP('Données projet'!$B$10,Paramètres!$A$1:$I$89,3,0)*0.475*44/12</f>
        <v>5.4885261233587515E-6</v>
      </c>
      <c r="AX59" s="21">
        <f t="shared" si="6"/>
        <v>66.376687639008253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5.4</v>
      </c>
      <c r="BD59" s="12">
        <f>IF('Données projet'!$A$88&gt;35,BD58+BC59-BL58,IF(A59&lt;'Données projet'!$A$88,$BA$205^A59,IF(A59='Données projet'!$A$88,'Données projet'!$B$88,BD58+BC59-BL58)))</f>
        <v>175.40000000000006</v>
      </c>
      <c r="BE59" s="13">
        <f>BD59*VLOOKUP('Données projet'!$B$11,Paramètres!$A$1:$I$89,3,0)*VLOOKUP('Données projet'!$B$11,Paramètres!$A$1:$I$89,5,0)</f>
        <v>142.28448000000006</v>
      </c>
      <c r="BF59" s="13">
        <f t="shared" si="37"/>
        <v>36.819853762091817</v>
      </c>
      <c r="BG59" s="20">
        <f t="shared" si="7"/>
        <v>311.94004796897667</v>
      </c>
      <c r="BH59" s="59">
        <f t="shared" si="8"/>
        <v>605.27338130230999</v>
      </c>
      <c r="BI59" s="59">
        <f ca="1">AVERAGE(OFFSET($BH$3,0,0,'Données projet'!$E$11+1,1))-AVERAGE(OFFSET($H$3,0,0,'Données projet'!$E$11+1,1))</f>
        <v>181.20458942529478</v>
      </c>
      <c r="BJ59" s="59">
        <f t="shared" si="38"/>
        <v>144.05254691566421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21.132368163401733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21.132368163401733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214</v>
      </c>
      <c r="BZ59" s="13">
        <f>BY59*VLOOKUP('Données projet'!$B$12,Paramètres!$A$1:$I$89,3,0)*VLOOKUP('Données projet'!$B$12,Paramètres!$A$1:$I$89,5,0)</f>
        <v>186.95040000000003</v>
      </c>
      <c r="CA59" s="13">
        <f t="shared" si="39"/>
        <v>46.865095976617653</v>
      </c>
      <c r="CB59" s="20">
        <f t="shared" si="10"/>
        <v>407.22865549260911</v>
      </c>
      <c r="CC59" s="59">
        <f t="shared" si="11"/>
        <v>700.56198882594242</v>
      </c>
      <c r="CD59" s="59">
        <f ca="1">AVERAGE(OFFSET($CC$3,0,0,'Données projet'!$E$12+1,1))-AVERAGE(OFFSET($H$3,0,0,'Données projet'!$E$12+1,1))</f>
        <v>164.24405955980575</v>
      </c>
      <c r="CE59" s="59">
        <f t="shared" si="40"/>
        <v>379.20713858755209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148.39628895278571</v>
      </c>
      <c r="AO60" s="59">
        <f t="shared" si="36"/>
        <v>361.07991692964788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64.561608286479185</v>
      </c>
      <c r="AW60" s="21">
        <f>EXP(-LN(2)/2)*AW59+(1-EXP(-LN(2)/2))/(LN(2)/2)*AQ60*AT60*VLOOKUP('Données projet'!$B$10,Paramètres!$A$1:$I$89,3,0)*0.475*44/12</f>
        <v>3.8809740405464866E-6</v>
      </c>
      <c r="AX60" s="21">
        <f t="shared" si="6"/>
        <v>64.56161216745322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5.4</v>
      </c>
      <c r="BD60" s="12">
        <f>IF('Données projet'!$A$88&gt;35,BD59+BC60-BL59,IF(A60&lt;'Données projet'!$A$88,$BA$205^A60,IF(A60='Données projet'!$A$88,'Données projet'!$B$88,BD59+BC60-BL59)))</f>
        <v>180.80000000000007</v>
      </c>
      <c r="BE60" s="13">
        <f>BD60*VLOOKUP('Données projet'!$B$11,Paramètres!$A$1:$I$89,3,0)*VLOOKUP('Données projet'!$B$11,Paramètres!$A$1:$I$89,5,0)</f>
        <v>146.66496000000006</v>
      </c>
      <c r="BF60" s="13">
        <f t="shared" si="37"/>
        <v>37.819696883427554</v>
      </c>
      <c r="BG60" s="20">
        <f t="shared" si="7"/>
        <v>321.3107774053031</v>
      </c>
      <c r="BH60" s="59">
        <f t="shared" si="8"/>
        <v>614.64411073863641</v>
      </c>
      <c r="BI60" s="59">
        <f ca="1">AVERAGE(OFFSET($BH$3,0,0,'Données projet'!$E$11+1,1))-AVERAGE(OFFSET($H$3,0,0,'Données projet'!$E$11+1,1))</f>
        <v>181.20458942529478</v>
      </c>
      <c r="BJ60" s="59">
        <f t="shared" si="38"/>
        <v>144.05254691566421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20.717975313189275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20.717975313189275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214</v>
      </c>
      <c r="BZ60" s="13">
        <f>BY60*VLOOKUP('Données projet'!$B$12,Paramètres!$A$1:$I$89,3,0)*VLOOKUP('Données projet'!$B$12,Paramètres!$A$1:$I$89,5,0)</f>
        <v>186.95040000000003</v>
      </c>
      <c r="CA60" s="13">
        <f t="shared" si="39"/>
        <v>46.865095976617653</v>
      </c>
      <c r="CB60" s="20">
        <f t="shared" si="10"/>
        <v>407.22865549260911</v>
      </c>
      <c r="CC60" s="59">
        <f t="shared" si="11"/>
        <v>700.56198882594242</v>
      </c>
      <c r="CD60" s="59">
        <f ca="1">AVERAGE(OFFSET($CC$3,0,0,'Données projet'!$E$12+1,1))-AVERAGE(OFFSET($H$3,0,0,'Données projet'!$E$12+1,1))</f>
        <v>164.24405955980575</v>
      </c>
      <c r="CE60" s="59">
        <f t="shared" si="40"/>
        <v>379.20713858755209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148.39628895278571</v>
      </c>
      <c r="AO61" s="59">
        <f t="shared" si="36"/>
        <v>361.07991692964788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62.79616771273799</v>
      </c>
      <c r="AW61" s="21">
        <f>EXP(-LN(2)/2)*AW60+(1-EXP(-LN(2)/2))/(LN(2)/2)*AQ61*AT61*VLOOKUP('Données projet'!$B$10,Paramètres!$A$1:$I$89,3,0)*0.475*44/12</f>
        <v>2.7442630616793758E-6</v>
      </c>
      <c r="AX61" s="21">
        <f t="shared" si="6"/>
        <v>62.796170457001054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5.4</v>
      </c>
      <c r="BD61" s="12">
        <f>IF('Données projet'!$A$88&gt;35,BD60+BC61-BL60,IF(A61&lt;'Données projet'!$A$88,$BA$205^A61,IF(A61='Données projet'!$A$88,'Données projet'!$B$88,BD60+BC61-BL60)))</f>
        <v>186.20000000000007</v>
      </c>
      <c r="BE61" s="13">
        <f>BD61*VLOOKUP('Données projet'!$B$11,Paramètres!$A$1:$I$89,3,0)*VLOOKUP('Données projet'!$B$11,Paramètres!$A$1:$I$89,5,0)</f>
        <v>151.04544000000007</v>
      </c>
      <c r="BF61" s="13">
        <f t="shared" si="37"/>
        <v>38.816069491558714</v>
      </c>
      <c r="BG61" s="20">
        <f t="shared" si="7"/>
        <v>330.67546236446486</v>
      </c>
      <c r="BH61" s="59">
        <f t="shared" si="8"/>
        <v>624.00879569779818</v>
      </c>
      <c r="BI61" s="59">
        <f ca="1">AVERAGE(OFFSET($BH$3,0,0,'Données projet'!$E$11+1,1))-AVERAGE(OFFSET($H$3,0,0,'Données projet'!$E$11+1,1))</f>
        <v>181.20458942529478</v>
      </c>
      <c r="BJ61" s="59">
        <f t="shared" si="38"/>
        <v>144.05254691566421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20.311708454014802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20.311708454014802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214</v>
      </c>
      <c r="BZ61" s="13">
        <f>BY61*VLOOKUP('Données projet'!$B$12,Paramètres!$A$1:$I$89,3,0)*VLOOKUP('Données projet'!$B$12,Paramètres!$A$1:$I$89,5,0)</f>
        <v>186.95040000000003</v>
      </c>
      <c r="CA61" s="13">
        <f t="shared" si="39"/>
        <v>46.865095976617653</v>
      </c>
      <c r="CB61" s="20">
        <f t="shared" si="10"/>
        <v>407.22865549260911</v>
      </c>
      <c r="CC61" s="59">
        <f t="shared" si="11"/>
        <v>700.56198882594242</v>
      </c>
      <c r="CD61" s="59">
        <f ca="1">AVERAGE(OFFSET($CC$3,0,0,'Données projet'!$E$12+1,1))-AVERAGE(OFFSET($H$3,0,0,'Données projet'!$E$12+1,1))</f>
        <v>164.24405955980575</v>
      </c>
      <c r="CE61" s="59">
        <f t="shared" si="40"/>
        <v>379.20713858755209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148.39628895278571</v>
      </c>
      <c r="AO62" s="59">
        <f t="shared" si="36"/>
        <v>361.07991692964788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61.079003204326234</v>
      </c>
      <c r="AW62" s="21">
        <f>EXP(-LN(2)/2)*AW61+(1-EXP(-LN(2)/2))/(LN(2)/2)*AQ62*AT62*VLOOKUP('Données projet'!$B$10,Paramètres!$A$1:$I$89,3,0)*0.475*44/12</f>
        <v>1.9404870202732433E-6</v>
      </c>
      <c r="AX62" s="21">
        <f t="shared" si="6"/>
        <v>61.079005144813252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5.4</v>
      </c>
      <c r="BD62" s="12">
        <f>IF('Données projet'!$A$88&gt;35,BD61+BC62-BL61,IF(A62&lt;'Données projet'!$A$88,$BA$205^A62,IF(A62='Données projet'!$A$88,'Données projet'!$B$88,BD61+BC62-BL61)))</f>
        <v>191.60000000000008</v>
      </c>
      <c r="BE62" s="13">
        <f>BD62*VLOOKUP('Données projet'!$B$11,Paramètres!$A$1:$I$89,3,0)*VLOOKUP('Données projet'!$B$11,Paramètres!$A$1:$I$89,5,0)</f>
        <v>155.42592000000008</v>
      </c>
      <c r="BF62" s="13">
        <f t="shared" si="37"/>
        <v>39.809083793032812</v>
      </c>
      <c r="BG62" s="20">
        <f t="shared" si="7"/>
        <v>340.03429827286561</v>
      </c>
      <c r="BH62" s="59">
        <f t="shared" si="8"/>
        <v>633.36763160619898</v>
      </c>
      <c r="BI62" s="59">
        <f ca="1">AVERAGE(OFFSET($BH$3,0,0,'Données projet'!$E$11+1,1))-AVERAGE(OFFSET($H$3,0,0,'Données projet'!$E$11+1,1))</f>
        <v>181.20458942529478</v>
      </c>
      <c r="BJ62" s="59">
        <f t="shared" si="38"/>
        <v>144.05254691566421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19.913408240150424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19.913408240150424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214</v>
      </c>
      <c r="BZ62" s="13">
        <f>BY62*VLOOKUP('Données projet'!$B$12,Paramètres!$A$1:$I$89,3,0)*VLOOKUP('Données projet'!$B$12,Paramètres!$A$1:$I$89,5,0)</f>
        <v>186.95040000000003</v>
      </c>
      <c r="CA62" s="13">
        <f t="shared" si="39"/>
        <v>46.865095976617653</v>
      </c>
      <c r="CB62" s="20">
        <f t="shared" si="10"/>
        <v>407.22865549260911</v>
      </c>
      <c r="CC62" s="59">
        <f t="shared" si="11"/>
        <v>700.56198882594242</v>
      </c>
      <c r="CD62" s="59">
        <f ca="1">AVERAGE(OFFSET($CC$3,0,0,'Données projet'!$E$12+1,1))-AVERAGE(OFFSET($H$3,0,0,'Données projet'!$E$12+1,1))</f>
        <v>164.24405955980575</v>
      </c>
      <c r="CE62" s="59">
        <f t="shared" si="40"/>
        <v>379.20713858755209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148.39628895278571</v>
      </c>
      <c r="AO63" s="59">
        <f t="shared" si="36"/>
        <v>361.07991692964788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59.408794649698756</v>
      </c>
      <c r="AW63" s="21">
        <f>EXP(-LN(2)/2)*AW62+(1-EXP(-LN(2)/2))/(LN(2)/2)*AQ63*AT63*VLOOKUP('Données projet'!$B$10,Paramètres!$A$1:$I$89,3,0)*0.475*44/12</f>
        <v>1.3721315308396879E-6</v>
      </c>
      <c r="AX63" s="21">
        <f t="shared" si="6"/>
        <v>59.408796021830284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197</v>
      </c>
      <c r="BB63" s="12">
        <f>VLOOKUP(A63,'Données projet'!$A$87:$I$107,9,0)</f>
        <v>5.4</v>
      </c>
      <c r="BC63" s="12">
        <f t="array" ref="BC63">INDEX(BB:BB,MIN(IF(ISNUMBER(BB63:BB259),ROW(BB63:BB259),"")))</f>
        <v>5.4</v>
      </c>
      <c r="BD63" s="12">
        <f>IF('Données projet'!$A$88&gt;35,BD62+BC63-BL62,IF(A63&lt;'Données projet'!$A$88,$BA$205^A63,IF(A63='Données projet'!$A$88,'Données projet'!$B$88,BD62+BC63-BL62)))</f>
        <v>197.00000000000009</v>
      </c>
      <c r="BE63" s="13">
        <f>BD63*VLOOKUP('Données projet'!$B$11,Paramètres!$A$1:$I$89,3,0)*VLOOKUP('Données projet'!$B$11,Paramètres!$A$1:$I$89,5,0)</f>
        <v>159.80640000000008</v>
      </c>
      <c r="BF63" s="13">
        <f t="shared" si="37"/>
        <v>40.798845309789208</v>
      </c>
      <c r="BG63" s="20">
        <f t="shared" si="7"/>
        <v>349.38746891454963</v>
      </c>
      <c r="BH63" s="59">
        <f t="shared" si="8"/>
        <v>642.72080224788294</v>
      </c>
      <c r="BI63" s="59">
        <f ca="1">AVERAGE(OFFSET($BH$3,0,0,'Données projet'!$E$11+1,1))-AVERAGE(OFFSET($H$3,0,0,'Données projet'!$E$11+1,1))</f>
        <v>181.20458942529478</v>
      </c>
      <c r="BJ63" s="59">
        <f t="shared" si="38"/>
        <v>144.05254691566421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24.921399033241105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24.921399033241105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214</v>
      </c>
      <c r="BZ63" s="13">
        <f>BY63*VLOOKUP('Données projet'!$B$12,Paramètres!$A$1:$I$89,3,0)*VLOOKUP('Données projet'!$B$12,Paramètres!$A$1:$I$89,5,0)</f>
        <v>186.95040000000003</v>
      </c>
      <c r="CA63" s="13">
        <f t="shared" si="39"/>
        <v>46.865095976617653</v>
      </c>
      <c r="CB63" s="20">
        <f t="shared" si="10"/>
        <v>407.22865549260911</v>
      </c>
      <c r="CC63" s="59">
        <f t="shared" si="11"/>
        <v>700.56198882594242</v>
      </c>
      <c r="CD63" s="59">
        <f ca="1">AVERAGE(OFFSET($CC$3,0,0,'Données projet'!$E$12+1,1))-AVERAGE(OFFSET($H$3,0,0,'Données projet'!$E$12+1,1))</f>
        <v>164.24405955980575</v>
      </c>
      <c r="CE63" s="59">
        <f t="shared" si="40"/>
        <v>379.20713858755209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148.39628895278571</v>
      </c>
      <c r="AO64" s="59">
        <f t="shared" si="36"/>
        <v>361.07991692964788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57.784258035830014</v>
      </c>
      <c r="AW64" s="21">
        <f>EXP(-LN(2)/2)*AW63+(1-EXP(-LN(2)/2))/(LN(2)/2)*AQ64*AT64*VLOOKUP('Données projet'!$B$10,Paramètres!$A$1:$I$89,3,0)*0.475*44/12</f>
        <v>9.7024351013662166E-7</v>
      </c>
      <c r="AX64" s="21">
        <f t="shared" si="6"/>
        <v>57.784259006073526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</v>
      </c>
      <c r="BD64" s="12">
        <f>IF('Données projet'!$A$88&gt;35,BD63+BC64-BL63,IF(A64&lt;'Données projet'!$A$88,$BA$205^A64,IF(A64='Données projet'!$A$88,'Données projet'!$B$88,BD63+BC64-BL63)))</f>
        <v>188.00000000000009</v>
      </c>
      <c r="BE64" s="13">
        <f>BD64*VLOOKUP('Données projet'!$B$11,Paramètres!$A$1:$I$89,3,0)*VLOOKUP('Données projet'!$B$11,Paramètres!$A$1:$I$89,5,0)</f>
        <v>152.50560000000007</v>
      </c>
      <c r="BF64" s="13">
        <f t="shared" si="37"/>
        <v>39.147442061162252</v>
      </c>
      <c r="BG64" s="20">
        <f t="shared" si="7"/>
        <v>333.79571492319104</v>
      </c>
      <c r="BH64" s="59">
        <f t="shared" si="8"/>
        <v>627.12904825652436</v>
      </c>
      <c r="BI64" s="59">
        <f ca="1">AVERAGE(OFFSET($BH$3,0,0,'Données projet'!$E$11+1,1))-AVERAGE(OFFSET($H$3,0,0,'Données projet'!$E$11+1,1))</f>
        <v>181.20458942529478</v>
      </c>
      <c r="BJ64" s="59">
        <f t="shared" si="38"/>
        <v>144.05254691566421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24.432705598751728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24.432705598751728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214</v>
      </c>
      <c r="BZ64" s="13">
        <f>BY64*VLOOKUP('Données projet'!$B$12,Paramètres!$A$1:$I$89,3,0)*VLOOKUP('Données projet'!$B$12,Paramètres!$A$1:$I$89,5,0)</f>
        <v>186.95040000000003</v>
      </c>
      <c r="CA64" s="13">
        <f t="shared" si="39"/>
        <v>46.865095976617653</v>
      </c>
      <c r="CB64" s="20">
        <f t="shared" si="10"/>
        <v>407.22865549260911</v>
      </c>
      <c r="CC64" s="59">
        <f t="shared" si="11"/>
        <v>700.56198882594242</v>
      </c>
      <c r="CD64" s="59">
        <f ca="1">AVERAGE(OFFSET($CC$3,0,0,'Données projet'!$E$12+1,1))-AVERAGE(OFFSET($H$3,0,0,'Données projet'!$E$12+1,1))</f>
        <v>164.24405955980575</v>
      </c>
      <c r="CE64" s="59">
        <f t="shared" si="40"/>
        <v>379.20713858755209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148.39628895278571</v>
      </c>
      <c r="AO65" s="59">
        <f t="shared" si="36"/>
        <v>361.07991692964788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56.204144461098181</v>
      </c>
      <c r="AW65" s="21">
        <f>EXP(-LN(2)/2)*AW64+(1-EXP(-LN(2)/2))/(LN(2)/2)*AQ65*AT65*VLOOKUP('Données projet'!$B$10,Paramètres!$A$1:$I$89,3,0)*0.475*44/12</f>
        <v>6.8606576541984394E-7</v>
      </c>
      <c r="AX65" s="21">
        <f t="shared" si="6"/>
        <v>56.204145147163949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</v>
      </c>
      <c r="BD65" s="12">
        <f>IF('Données projet'!$A$88&gt;35,BD64+BC65-BL64,IF(A65&lt;'Données projet'!$A$88,$BA$205^A65,IF(A65='Données projet'!$A$88,'Données projet'!$B$88,BD64+BC65-BL64)))</f>
        <v>193.00000000000009</v>
      </c>
      <c r="BE65" s="13">
        <f>BD65*VLOOKUP('Données projet'!$B$11,Paramètres!$A$1:$I$89,3,0)*VLOOKUP('Données projet'!$B$11,Paramètres!$A$1:$I$89,5,0)</f>
        <v>156.56160000000008</v>
      </c>
      <c r="BF65" s="13">
        <f t="shared" si="37"/>
        <v>40.065996859746512</v>
      </c>
      <c r="BG65" s="20">
        <f t="shared" si="7"/>
        <v>342.45973119739205</v>
      </c>
      <c r="BH65" s="59">
        <f t="shared" si="8"/>
        <v>635.79306453072536</v>
      </c>
      <c r="BI65" s="59">
        <f ca="1">AVERAGE(OFFSET($BH$3,0,0,'Données projet'!$E$11+1,1))-AVERAGE(OFFSET($H$3,0,0,'Données projet'!$E$11+1,1))</f>
        <v>181.20458942529478</v>
      </c>
      <c r="BJ65" s="59">
        <f t="shared" si="38"/>
        <v>144.05254691566421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23.953595144439124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23.953595144439124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214</v>
      </c>
      <c r="BZ65" s="13">
        <f>BY65*VLOOKUP('Données projet'!$B$12,Paramètres!$A$1:$I$89,3,0)*VLOOKUP('Données projet'!$B$12,Paramètres!$A$1:$I$89,5,0)</f>
        <v>186.95040000000003</v>
      </c>
      <c r="CA65" s="13">
        <f t="shared" si="39"/>
        <v>46.865095976617653</v>
      </c>
      <c r="CB65" s="20">
        <f t="shared" si="10"/>
        <v>407.22865549260911</v>
      </c>
      <c r="CC65" s="59">
        <f t="shared" si="11"/>
        <v>700.56198882594242</v>
      </c>
      <c r="CD65" s="59">
        <f ca="1">AVERAGE(OFFSET($CC$3,0,0,'Données projet'!$E$12+1,1))-AVERAGE(OFFSET($H$3,0,0,'Données projet'!$E$12+1,1))</f>
        <v>164.24405955980575</v>
      </c>
      <c r="CE65" s="59">
        <f t="shared" si="40"/>
        <v>379.20713858755209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148.39628895278571</v>
      </c>
      <c r="AO66" s="59">
        <f t="shared" si="36"/>
        <v>361.07991692964788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54.667239175161953</v>
      </c>
      <c r="AW66" s="21">
        <f>EXP(-LN(2)/2)*AW65+(1-EXP(-LN(2)/2))/(LN(2)/2)*AQ66*AT66*VLOOKUP('Données projet'!$B$10,Paramètres!$A$1:$I$89,3,0)*0.475*44/12</f>
        <v>4.8512175506831083E-7</v>
      </c>
      <c r="AX66" s="21">
        <f t="shared" si="6"/>
        <v>54.667239660283705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</v>
      </c>
      <c r="BD66" s="12">
        <f>IF('Données projet'!$A$88&gt;35,BD65+BC66-BL65,IF(A66&lt;'Données projet'!$A$88,$BA$205^A66,IF(A66='Données projet'!$A$88,'Données projet'!$B$88,BD65+BC66-BL65)))</f>
        <v>198.00000000000009</v>
      </c>
      <c r="BE66" s="13">
        <f>BD66*VLOOKUP('Données projet'!$B$11,Paramètres!$A$1:$I$89,3,0)*VLOOKUP('Données projet'!$B$11,Paramètres!$A$1:$I$89,5,0)</f>
        <v>160.6176000000001</v>
      </c>
      <c r="BF66" s="13">
        <f t="shared" si="37"/>
        <v>40.981785561145109</v>
      </c>
      <c r="BG66" s="20">
        <f t="shared" si="7"/>
        <v>351.11892985232788</v>
      </c>
      <c r="BH66" s="59">
        <f t="shared" si="8"/>
        <v>644.4522631856612</v>
      </c>
      <c r="BI66" s="59">
        <f ca="1">AVERAGE(OFFSET($BH$3,0,0,'Données projet'!$E$11+1,1))-AVERAGE(OFFSET($H$3,0,0,'Données projet'!$E$11+1,1))</f>
        <v>181.20458942529478</v>
      </c>
      <c r="BJ66" s="59">
        <f t="shared" si="38"/>
        <v>144.05254691566421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23.483879753907068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23.483879753907068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214</v>
      </c>
      <c r="BZ66" s="13">
        <f>BY66*VLOOKUP('Données projet'!$B$12,Paramètres!$A$1:$I$89,3,0)*VLOOKUP('Données projet'!$B$12,Paramètres!$A$1:$I$89,5,0)</f>
        <v>186.95040000000003</v>
      </c>
      <c r="CA66" s="13">
        <f t="shared" si="39"/>
        <v>46.865095976617653</v>
      </c>
      <c r="CB66" s="20">
        <f t="shared" si="10"/>
        <v>407.22865549260911</v>
      </c>
      <c r="CC66" s="59">
        <f t="shared" si="11"/>
        <v>700.56198882594242</v>
      </c>
      <c r="CD66" s="59">
        <f ca="1">AVERAGE(OFFSET($CC$3,0,0,'Données projet'!$E$12+1,1))-AVERAGE(OFFSET($H$3,0,0,'Données projet'!$E$12+1,1))</f>
        <v>164.24405955980575</v>
      </c>
      <c r="CE66" s="59">
        <f t="shared" si="40"/>
        <v>379.20713858755209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148.39628895278571</v>
      </c>
      <c r="AO67" s="59">
        <f t="shared" si="36"/>
        <v>361.07991692964788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53.172360645091985</v>
      </c>
      <c r="AW67" s="21">
        <f>EXP(-LN(2)/2)*AW66+(1-EXP(-LN(2)/2))/(LN(2)/2)*AQ67*AT67*VLOOKUP('Données projet'!$B$10,Paramètres!$A$1:$I$89,3,0)*0.475*44/12</f>
        <v>3.4303288270992197E-7</v>
      </c>
      <c r="AX67" s="21">
        <f t="shared" si="6"/>
        <v>53.172360988124865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</v>
      </c>
      <c r="BD67" s="12">
        <f>IF('Données projet'!$A$88&gt;35,BD66+BC67-BL66,IF(A67&lt;'Données projet'!$A$88,$BA$205^A67,IF(A67='Données projet'!$A$88,'Données projet'!$B$88,BD66+BC67-BL66)))</f>
        <v>203.00000000000009</v>
      </c>
      <c r="BE67" s="13">
        <f>BD67*VLOOKUP('Données projet'!$B$11,Paramètres!$A$1:$I$89,3,0)*VLOOKUP('Données projet'!$B$11,Paramètres!$A$1:$I$89,5,0)</f>
        <v>164.67360000000008</v>
      </c>
      <c r="BF67" s="13">
        <f t="shared" si="37"/>
        <v>41.894886049197019</v>
      </c>
      <c r="BG67" s="20">
        <f t="shared" si="7"/>
        <v>359.77344653568497</v>
      </c>
      <c r="BH67" s="59">
        <f t="shared" si="8"/>
        <v>653.10677986901828</v>
      </c>
      <c r="BI67" s="59">
        <f ca="1">AVERAGE(OFFSET($BH$3,0,0,'Données projet'!$E$11+1,1))-AVERAGE(OFFSET($H$3,0,0,'Données projet'!$E$11+1,1))</f>
        <v>181.20458942529478</v>
      </c>
      <c r="BJ67" s="59">
        <f t="shared" si="38"/>
        <v>144.05254691566421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23.023375195685247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23.023375195685247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214</v>
      </c>
      <c r="BZ67" s="13">
        <f>BY67*VLOOKUP('Données projet'!$B$12,Paramètres!$A$1:$I$89,3,0)*VLOOKUP('Données projet'!$B$12,Paramètres!$A$1:$I$89,5,0)</f>
        <v>186.95040000000003</v>
      </c>
      <c r="CA67" s="13">
        <f t="shared" si="39"/>
        <v>46.865095976617653</v>
      </c>
      <c r="CB67" s="20">
        <f t="shared" si="10"/>
        <v>407.22865549260911</v>
      </c>
      <c r="CC67" s="59">
        <f t="shared" si="11"/>
        <v>700.56198882594242</v>
      </c>
      <c r="CD67" s="59">
        <f ca="1">AVERAGE(OFFSET($CC$3,0,0,'Données projet'!$E$12+1,1))-AVERAGE(OFFSET($H$3,0,0,'Données projet'!$E$12+1,1))</f>
        <v>164.24405955980575</v>
      </c>
      <c r="CE67" s="59">
        <f t="shared" si="40"/>
        <v>379.20713858755209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148.39628895278571</v>
      </c>
      <c r="AO68" s="59">
        <f t="shared" si="36"/>
        <v>361.07991692964788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51.718359647039023</v>
      </c>
      <c r="AW68" s="21">
        <f>EXP(-LN(2)/2)*AW67+(1-EXP(-LN(2)/2))/(LN(2)/2)*AQ68*AT68*VLOOKUP('Données projet'!$B$10,Paramètres!$A$1:$I$89,3,0)*0.475*44/12</f>
        <v>2.4256087753415542E-7</v>
      </c>
      <c r="AX68" s="21">
        <f t="shared" ref="AX68:AX131" si="60">SUM(AU68:AW68)</f>
        <v>51.718359889599903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208</v>
      </c>
      <c r="BB68" s="12">
        <f>VLOOKUP(A68,'Données projet'!$A$87:$I$107,9,0)</f>
        <v>5</v>
      </c>
      <c r="BC68" s="12">
        <f t="array" ref="BC68">INDEX(BB:BB,MIN(IF(ISNUMBER(BB68:BB264),ROW(BB68:BB264),"")))</f>
        <v>5</v>
      </c>
      <c r="BD68" s="12">
        <f>IF('Données projet'!$A$88&gt;35,BD67+BC68-BL67,IF(A68&lt;'Données projet'!$A$88,$BA$205^A68,IF(A68='Données projet'!$A$88,'Données projet'!$B$88,BD67+BC68-BL67)))</f>
        <v>208.00000000000009</v>
      </c>
      <c r="BE68" s="13">
        <f>BD68*VLOOKUP('Données projet'!$B$11,Paramètres!$A$1:$I$89,3,0)*VLOOKUP('Données projet'!$B$11,Paramètres!$A$1:$I$89,5,0)</f>
        <v>168.72960000000009</v>
      </c>
      <c r="BF68" s="13">
        <f t="shared" si="37"/>
        <v>42.805372152385111</v>
      </c>
      <c r="BG68" s="20">
        <f t="shared" ref="BG68:BG131" si="61">(BE68+BF68)*0.475*44/12</f>
        <v>368.42340983207083</v>
      </c>
      <c r="BH68" s="59">
        <f t="shared" ref="BH68:BH131" si="62">BG68+(AY68+AZ68)*44/12</f>
        <v>661.75674316540415</v>
      </c>
      <c r="BI68" s="59">
        <f ca="1">AVERAGE(OFFSET($BH$3,0,0,'Données projet'!$E$11+1,1))-AVERAGE(OFFSET($H$3,0,0,'Données projet'!$E$11+1,1))</f>
        <v>181.20458942529478</v>
      </c>
      <c r="BJ68" s="59">
        <f t="shared" si="38"/>
        <v>144.05254691566421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27.970381433670429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27.970381433670429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214</v>
      </c>
      <c r="BZ68" s="13">
        <f>BY68*VLOOKUP('Données projet'!$B$12,Paramètres!$A$1:$I$89,3,0)*VLOOKUP('Données projet'!$B$12,Paramètres!$A$1:$I$89,5,0)</f>
        <v>186.95040000000003</v>
      </c>
      <c r="CA68" s="13">
        <f t="shared" si="39"/>
        <v>46.865095976617653</v>
      </c>
      <c r="CB68" s="20">
        <f t="shared" ref="CB68:CB131" si="64">(BZ68+CA68)*0.475*44/12</f>
        <v>407.22865549260911</v>
      </c>
      <c r="CC68" s="59">
        <f t="shared" ref="CC68:CC131" si="65">CB68+(BT68+BU68)*44/12</f>
        <v>700.56198882594242</v>
      </c>
      <c r="CD68" s="59">
        <f ca="1">AVERAGE(OFFSET($CC$3,0,0,'Données projet'!$E$12+1,1))-AVERAGE(OFFSET($H$3,0,0,'Données projet'!$E$12+1,1))</f>
        <v>164.24405955980575</v>
      </c>
      <c r="CE68" s="59">
        <f t="shared" si="40"/>
        <v>379.20713858755209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148.39628895278571</v>
      </c>
      <c r="AO69" s="59">
        <f t="shared" ref="AO69:AO132" si="90">$AO$3</f>
        <v>361.07991692964788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50.304118382740413</v>
      </c>
      <c r="AW69" s="21">
        <f>EXP(-LN(2)/2)*AW68+(1-EXP(-LN(2)/2))/(LN(2)/2)*AQ69*AT69*VLOOKUP('Données projet'!$B$10,Paramètres!$A$1:$I$89,3,0)*0.475*44/12</f>
        <v>1.7151644135496099E-7</v>
      </c>
      <c r="AX69" s="21">
        <f t="shared" si="60"/>
        <v>50.304118554256853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4.8</v>
      </c>
      <c r="BD69" s="12">
        <f>IF('Données projet'!$A$88&gt;35,BD68+BC69-BL68,IF(A69&lt;'Données projet'!$A$88,$BA$205^A69,IF(A69='Données projet'!$A$88,'Données projet'!$B$88,BD68+BC69-BL68)))</f>
        <v>198.8000000000001</v>
      </c>
      <c r="BE69" s="13">
        <f>BD69*VLOOKUP('Données projet'!$B$11,Paramètres!$A$1:$I$89,3,0)*VLOOKUP('Données projet'!$B$11,Paramètres!$A$1:$I$89,5,0)</f>
        <v>161.26656000000008</v>
      </c>
      <c r="BF69" s="13">
        <f t="shared" ref="BF69:BF132" si="91">EXP(-1.0587+0.8836*LN(BE69)+0.284)</f>
        <v>41.128060321982552</v>
      </c>
      <c r="BG69" s="20">
        <f t="shared" si="61"/>
        <v>352.50396372745308</v>
      </c>
      <c r="BH69" s="59">
        <f t="shared" si="62"/>
        <v>645.83729706078634</v>
      </c>
      <c r="BI69" s="59">
        <f ca="1">AVERAGE(OFFSET($BH$3,0,0,'Données projet'!$E$11+1,1))-AVERAGE(OFFSET($H$3,0,0,'Données projet'!$E$11+1,1))</f>
        <v>181.20458942529478</v>
      </c>
      <c r="BJ69" s="59">
        <f t="shared" ref="BJ69:BJ132" si="92">$BJ$3</f>
        <v>144.05254691566421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27.421899314004268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27.421899314004268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214</v>
      </c>
      <c r="BZ69" s="13">
        <f>BY69*VLOOKUP('Données projet'!$B$12,Paramètres!$A$1:$I$89,3,0)*VLOOKUP('Données projet'!$B$12,Paramètres!$A$1:$I$89,5,0)</f>
        <v>186.95040000000003</v>
      </c>
      <c r="CA69" s="13">
        <f t="shared" ref="CA69:CA132" si="93">EXP(-1.0587+0.8836*LN(BZ69)+0.284)</f>
        <v>46.865095976617653</v>
      </c>
      <c r="CB69" s="20">
        <f t="shared" si="64"/>
        <v>407.22865549260911</v>
      </c>
      <c r="CC69" s="59">
        <f t="shared" si="65"/>
        <v>700.56198882594242</v>
      </c>
      <c r="CD69" s="59">
        <f ca="1">AVERAGE(OFFSET($CC$3,0,0,'Données projet'!$E$12+1,1))-AVERAGE(OFFSET($H$3,0,0,'Données projet'!$E$12+1,1))</f>
        <v>164.24405955980575</v>
      </c>
      <c r="CE69" s="59">
        <f t="shared" ref="CE69:CE132" si="94">$CE$3</f>
        <v>379.20713858755209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148.39628895278571</v>
      </c>
      <c r="AO70" s="59">
        <f t="shared" si="90"/>
        <v>361.07991692964788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48.928549620185763</v>
      </c>
      <c r="AW70" s="21">
        <f>EXP(-LN(2)/2)*AW69+(1-EXP(-LN(2)/2))/(LN(2)/2)*AQ70*AT70*VLOOKUP('Données projet'!$B$10,Paramètres!$A$1:$I$89,3,0)*0.475*44/12</f>
        <v>1.2128043876707771E-7</v>
      </c>
      <c r="AX70" s="21">
        <f t="shared" si="60"/>
        <v>48.928549741466199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4.8</v>
      </c>
      <c r="BD70" s="12">
        <f>IF('Données projet'!$A$88&gt;35,BD69+BC70-BL69,IF(A70&lt;'Données projet'!$A$88,$BA$205^A70,IF(A70='Données projet'!$A$88,'Données projet'!$B$88,BD69+BC70-BL69)))</f>
        <v>203.60000000000011</v>
      </c>
      <c r="BE70" s="13">
        <f>BD70*VLOOKUP('Données projet'!$B$11,Paramètres!$A$1:$I$89,3,0)*VLOOKUP('Données projet'!$B$11,Paramètres!$A$1:$I$89,5,0)</f>
        <v>165.1603200000001</v>
      </c>
      <c r="BF70" s="13">
        <f t="shared" si="91"/>
        <v>42.004281006119641</v>
      </c>
      <c r="BG70" s="20">
        <f t="shared" si="61"/>
        <v>360.81168008565851</v>
      </c>
      <c r="BH70" s="59">
        <f t="shared" si="62"/>
        <v>654.14501341899177</v>
      </c>
      <c r="BI70" s="59">
        <f ca="1">AVERAGE(OFFSET($BH$3,0,0,'Données projet'!$E$11+1,1))-AVERAGE(OFFSET($H$3,0,0,'Données projet'!$E$11+1,1))</f>
        <v>181.20458942529478</v>
      </c>
      <c r="BJ70" s="59">
        <f t="shared" si="92"/>
        <v>144.05254691566421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26.884172594163701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26.884172594163701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214</v>
      </c>
      <c r="BZ70" s="13">
        <f>BY70*VLOOKUP('Données projet'!$B$12,Paramètres!$A$1:$I$89,3,0)*VLOOKUP('Données projet'!$B$12,Paramètres!$A$1:$I$89,5,0)</f>
        <v>186.95040000000003</v>
      </c>
      <c r="CA70" s="13">
        <f t="shared" si="93"/>
        <v>46.865095976617653</v>
      </c>
      <c r="CB70" s="20">
        <f t="shared" si="64"/>
        <v>407.22865549260911</v>
      </c>
      <c r="CC70" s="59">
        <f t="shared" si="65"/>
        <v>700.56198882594242</v>
      </c>
      <c r="CD70" s="59">
        <f ca="1">AVERAGE(OFFSET($CC$3,0,0,'Données projet'!$E$12+1,1))-AVERAGE(OFFSET($H$3,0,0,'Données projet'!$E$12+1,1))</f>
        <v>164.24405955980575</v>
      </c>
      <c r="CE70" s="59">
        <f t="shared" si="94"/>
        <v>379.20713858755209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148.39628895278571</v>
      </c>
      <c r="AO71" s="59">
        <f t="shared" si="90"/>
        <v>361.07991692964788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47.590595857781189</v>
      </c>
      <c r="AW71" s="21">
        <f>EXP(-LN(2)/2)*AW70+(1-EXP(-LN(2)/2))/(LN(2)/2)*AQ71*AT71*VLOOKUP('Données projet'!$B$10,Paramètres!$A$1:$I$89,3,0)*0.475*44/12</f>
        <v>8.5758220677480493E-8</v>
      </c>
      <c r="AX71" s="21">
        <f t="shared" si="60"/>
        <v>47.590595943539412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4.8</v>
      </c>
      <c r="BD71" s="12">
        <f>IF('Données projet'!$A$88&gt;35,BD70+BC71-BL70,IF(A71&lt;'Données projet'!$A$88,$BA$205^A71,IF(A71='Données projet'!$A$88,'Données projet'!$B$88,BD70+BC71-BL70)))</f>
        <v>208.40000000000012</v>
      </c>
      <c r="BE71" s="13">
        <f>BD71*VLOOKUP('Données projet'!$B$11,Paramètres!$A$1:$I$89,3,0)*VLOOKUP('Données projet'!$B$11,Paramètres!$A$1:$I$89,5,0)</f>
        <v>169.05408000000011</v>
      </c>
      <c r="BF71" s="13">
        <f t="shared" si="91"/>
        <v>42.878100222794899</v>
      </c>
      <c r="BG71" s="20">
        <f t="shared" si="61"/>
        <v>369.1152138880347</v>
      </c>
      <c r="BH71" s="59">
        <f t="shared" si="62"/>
        <v>662.44854722136802</v>
      </c>
      <c r="BI71" s="59">
        <f ca="1">AVERAGE(OFFSET($BH$3,0,0,'Données projet'!$E$11+1,1))-AVERAGE(OFFSET($H$3,0,0,'Données projet'!$E$11+1,1))</f>
        <v>181.20458942529478</v>
      </c>
      <c r="BJ71" s="59">
        <f t="shared" si="92"/>
        <v>144.05254691566421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26.356990367318293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26.356990367318293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214</v>
      </c>
      <c r="BZ71" s="13">
        <f>BY71*VLOOKUP('Données projet'!$B$12,Paramètres!$A$1:$I$89,3,0)*VLOOKUP('Données projet'!$B$12,Paramètres!$A$1:$I$89,5,0)</f>
        <v>186.95040000000003</v>
      </c>
      <c r="CA71" s="13">
        <f t="shared" si="93"/>
        <v>46.865095976617653</v>
      </c>
      <c r="CB71" s="20">
        <f t="shared" si="64"/>
        <v>407.22865549260911</v>
      </c>
      <c r="CC71" s="59">
        <f t="shared" si="65"/>
        <v>700.56198882594242</v>
      </c>
      <c r="CD71" s="59">
        <f ca="1">AVERAGE(OFFSET($CC$3,0,0,'Données projet'!$E$12+1,1))-AVERAGE(OFFSET($H$3,0,0,'Données projet'!$E$12+1,1))</f>
        <v>164.24405955980575</v>
      </c>
      <c r="CE71" s="59">
        <f t="shared" si="94"/>
        <v>379.20713858755209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148.39628895278571</v>
      </c>
      <c r="AO72" s="59">
        <f t="shared" si="90"/>
        <v>361.07991692964788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46.289228511369494</v>
      </c>
      <c r="AW72" s="21">
        <f>EXP(-LN(2)/2)*AW71+(1-EXP(-LN(2)/2))/(LN(2)/2)*AQ72*AT72*VLOOKUP('Données projet'!$B$10,Paramètres!$A$1:$I$89,3,0)*0.475*44/12</f>
        <v>6.0640219383538854E-8</v>
      </c>
      <c r="AX72" s="21">
        <f t="shared" si="60"/>
        <v>46.289228572009712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4.8</v>
      </c>
      <c r="BD72" s="12">
        <f>IF('Données projet'!$A$88&gt;35,BD71+BC72-BL71,IF(A72&lt;'Données projet'!$A$88,$BA$205^A72,IF(A72='Données projet'!$A$88,'Données projet'!$B$88,BD71+BC72-BL71)))</f>
        <v>213.20000000000013</v>
      </c>
      <c r="BE72" s="13">
        <f>BD72*VLOOKUP('Données projet'!$B$11,Paramètres!$A$1:$I$89,3,0)*VLOOKUP('Données projet'!$B$11,Paramètres!$A$1:$I$89,5,0)</f>
        <v>172.94784000000013</v>
      </c>
      <c r="BF72" s="13">
        <f t="shared" si="91"/>
        <v>43.749579650768077</v>
      </c>
      <c r="BG72" s="20">
        <f t="shared" si="61"/>
        <v>377.41467255842127</v>
      </c>
      <c r="BH72" s="59">
        <f t="shared" si="62"/>
        <v>670.74800589175459</v>
      </c>
      <c r="BI72" s="59">
        <f ca="1">AVERAGE(OFFSET($BH$3,0,0,'Données projet'!$E$11+1,1))-AVERAGE(OFFSET($H$3,0,0,'Données projet'!$E$11+1,1))</f>
        <v>181.20458942529478</v>
      </c>
      <c r="BJ72" s="59">
        <f t="shared" si="92"/>
        <v>144.05254691566421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25.840145862391914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25.840145862391914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214</v>
      </c>
      <c r="BZ72" s="13">
        <f>BY72*VLOOKUP('Données projet'!$B$12,Paramètres!$A$1:$I$89,3,0)*VLOOKUP('Données projet'!$B$12,Paramètres!$A$1:$I$89,5,0)</f>
        <v>186.95040000000003</v>
      </c>
      <c r="CA72" s="13">
        <f t="shared" si="93"/>
        <v>46.865095976617653</v>
      </c>
      <c r="CB72" s="20">
        <f t="shared" si="64"/>
        <v>407.22865549260911</v>
      </c>
      <c r="CC72" s="59">
        <f t="shared" si="65"/>
        <v>700.56198882594242</v>
      </c>
      <c r="CD72" s="59">
        <f ca="1">AVERAGE(OFFSET($CC$3,0,0,'Données projet'!$E$12+1,1))-AVERAGE(OFFSET($H$3,0,0,'Données projet'!$E$12+1,1))</f>
        <v>164.24405955980575</v>
      </c>
      <c r="CE72" s="59">
        <f t="shared" si="94"/>
        <v>379.20713858755209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148.39628895278571</v>
      </c>
      <c r="AO73" s="59">
        <f t="shared" si="90"/>
        <v>361.07991692964788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45.023447123481361</v>
      </c>
      <c r="AW73" s="21">
        <f>EXP(-LN(2)/2)*AW72+(1-EXP(-LN(2)/2))/(LN(2)/2)*AQ73*AT73*VLOOKUP('Données projet'!$B$10,Paramètres!$A$1:$I$89,3,0)*0.475*44/12</f>
        <v>4.2879110338740246E-8</v>
      </c>
      <c r="AX73" s="21">
        <f t="shared" si="60"/>
        <v>45.023447166360469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218</v>
      </c>
      <c r="BB73" s="12">
        <f>VLOOKUP(A73,'Données projet'!$A$87:$I$107,9,0)</f>
        <v>4.8</v>
      </c>
      <c r="BC73" s="12">
        <f t="array" ref="BC73">INDEX(BB:BB,MIN(IF(ISNUMBER(BB73:BB269),ROW(BB73:BB269),"")))</f>
        <v>4.8</v>
      </c>
      <c r="BD73" s="12">
        <f>IF('Données projet'!$A$88&gt;35,BD72+BC73-BL72,IF(A73&lt;'Données projet'!$A$88,$BA$205^A73,IF(A73='Données projet'!$A$88,'Données projet'!$B$88,BD72+BC73-BL72)))</f>
        <v>218.00000000000014</v>
      </c>
      <c r="BE73" s="13">
        <f>BD73*VLOOKUP('Données projet'!$B$11,Paramètres!$A$1:$I$89,3,0)*VLOOKUP('Données projet'!$B$11,Paramètres!$A$1:$I$89,5,0)</f>
        <v>176.84160000000014</v>
      </c>
      <c r="BF73" s="13">
        <f t="shared" si="91"/>
        <v>44.618778032982952</v>
      </c>
      <c r="BG73" s="20">
        <f t="shared" si="61"/>
        <v>385.71015840744553</v>
      </c>
      <c r="BH73" s="59">
        <f t="shared" si="62"/>
        <v>679.04349174077879</v>
      </c>
      <c r="BI73" s="59">
        <f ca="1">AVERAGE(OFFSET($BH$3,0,0,'Données projet'!$E$11+1,1))-AVERAGE(OFFSET($H$3,0,0,'Données projet'!$E$11+1,1))</f>
        <v>181.20458942529478</v>
      </c>
      <c r="BJ73" s="59">
        <f t="shared" si="92"/>
        <v>144.05254691566421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30.731916945663443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30.731916945663443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214</v>
      </c>
      <c r="BZ73" s="13">
        <f>BY73*VLOOKUP('Données projet'!$B$12,Paramètres!$A$1:$I$89,3,0)*VLOOKUP('Données projet'!$B$12,Paramètres!$A$1:$I$89,5,0)</f>
        <v>186.95040000000003</v>
      </c>
      <c r="CA73" s="13">
        <f t="shared" si="93"/>
        <v>46.865095976617653</v>
      </c>
      <c r="CB73" s="20">
        <f t="shared" si="64"/>
        <v>407.22865549260911</v>
      </c>
      <c r="CC73" s="59">
        <f t="shared" si="65"/>
        <v>700.56198882594242</v>
      </c>
      <c r="CD73" s="59">
        <f ca="1">AVERAGE(OFFSET($CC$3,0,0,'Données projet'!$E$12+1,1))-AVERAGE(OFFSET($H$3,0,0,'Données projet'!$E$12+1,1))</f>
        <v>164.24405955980575</v>
      </c>
      <c r="CE73" s="59">
        <f t="shared" si="94"/>
        <v>379.20713858755209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148.39628895278571</v>
      </c>
      <c r="AO74" s="59">
        <f t="shared" si="90"/>
        <v>361.07991692964788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43.792278594209584</v>
      </c>
      <c r="AW74" s="21">
        <f>EXP(-LN(2)/2)*AW73+(1-EXP(-LN(2)/2))/(LN(2)/2)*AQ74*AT74*VLOOKUP('Données projet'!$B$10,Paramètres!$A$1:$I$89,3,0)*0.475*44/12</f>
        <v>3.0320109691769427E-8</v>
      </c>
      <c r="AX74" s="21">
        <f t="shared" si="60"/>
        <v>43.792278624529693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4.5999999999999996</v>
      </c>
      <c r="BD74" s="12">
        <f>IF('Données projet'!$A$88&gt;35,BD73+BC74-BL73,IF(A74&lt;'Données projet'!$A$88,$BA$205^A74,IF(A74='Données projet'!$A$88,'Données projet'!$B$88,BD73+BC74-BL73)))</f>
        <v>208.60000000000014</v>
      </c>
      <c r="BE74" s="13">
        <f>BD74*VLOOKUP('Données projet'!$B$11,Paramètres!$A$1:$I$89,3,0)*VLOOKUP('Données projet'!$B$11,Paramètres!$A$1:$I$89,5,0)</f>
        <v>169.21632000000014</v>
      </c>
      <c r="BF74" s="13">
        <f t="shared" si="91"/>
        <v>42.91445816325745</v>
      </c>
      <c r="BG74" s="20">
        <f t="shared" si="61"/>
        <v>369.46110530100697</v>
      </c>
      <c r="BH74" s="59">
        <f t="shared" si="62"/>
        <v>662.79443863434028</v>
      </c>
      <c r="BI74" s="59">
        <f ca="1">AVERAGE(OFFSET($BH$3,0,0,'Données projet'!$E$11+1,1))-AVERAGE(OFFSET($H$3,0,0,'Données projet'!$E$11+1,1))</f>
        <v>181.20458942529478</v>
      </c>
      <c r="BJ74" s="59">
        <f t="shared" si="92"/>
        <v>144.05254691566421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30.129282798977442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30.129282798977442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214</v>
      </c>
      <c r="BZ74" s="13">
        <f>BY74*VLOOKUP('Données projet'!$B$12,Paramètres!$A$1:$I$89,3,0)*VLOOKUP('Données projet'!$B$12,Paramètres!$A$1:$I$89,5,0)</f>
        <v>186.95040000000003</v>
      </c>
      <c r="CA74" s="13">
        <f t="shared" si="93"/>
        <v>46.865095976617653</v>
      </c>
      <c r="CB74" s="20">
        <f t="shared" si="64"/>
        <v>407.22865549260911</v>
      </c>
      <c r="CC74" s="59">
        <f t="shared" si="65"/>
        <v>700.56198882594242</v>
      </c>
      <c r="CD74" s="59">
        <f ca="1">AVERAGE(OFFSET($CC$3,0,0,'Données projet'!$E$12+1,1))-AVERAGE(OFFSET($H$3,0,0,'Données projet'!$E$12+1,1))</f>
        <v>164.24405955980575</v>
      </c>
      <c r="CE74" s="59">
        <f t="shared" si="94"/>
        <v>379.20713858755209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148.39628895278571</v>
      </c>
      <c r="AO75" s="59">
        <f t="shared" si="90"/>
        <v>361.07991692964788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42.594776433115079</v>
      </c>
      <c r="AW75" s="21">
        <f>EXP(-LN(2)/2)*AW74+(1-EXP(-LN(2)/2))/(LN(2)/2)*AQ75*AT75*VLOOKUP('Données projet'!$B$10,Paramètres!$A$1:$I$89,3,0)*0.475*44/12</f>
        <v>2.1439555169370123E-8</v>
      </c>
      <c r="AX75" s="21">
        <f t="shared" si="60"/>
        <v>42.594776454554633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4.5999999999999996</v>
      </c>
      <c r="BD75" s="12">
        <f>IF('Données projet'!$A$88&gt;35,BD74+BC75-BL74,IF(A75&lt;'Données projet'!$A$88,$BA$205^A75,IF(A75='Données projet'!$A$88,'Données projet'!$B$88,BD74+BC75-BL74)))</f>
        <v>213.20000000000013</v>
      </c>
      <c r="BE75" s="13">
        <f>BD75*VLOOKUP('Données projet'!$B$11,Paramètres!$A$1:$I$89,3,0)*VLOOKUP('Données projet'!$B$11,Paramètres!$A$1:$I$89,5,0)</f>
        <v>172.94784000000013</v>
      </c>
      <c r="BF75" s="13">
        <f t="shared" si="91"/>
        <v>43.749579650768077</v>
      </c>
      <c r="BG75" s="20">
        <f t="shared" si="61"/>
        <v>377.41467255842127</v>
      </c>
      <c r="BH75" s="59">
        <f t="shared" si="62"/>
        <v>670.74800589175459</v>
      </c>
      <c r="BI75" s="59">
        <f ca="1">AVERAGE(OFFSET($BH$3,0,0,'Données projet'!$E$11+1,1))-AVERAGE(OFFSET($H$3,0,0,'Données projet'!$E$11+1,1))</f>
        <v>181.20458942529478</v>
      </c>
      <c r="BJ75" s="59">
        <f t="shared" si="92"/>
        <v>144.05254691566421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29.538465940337421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29.538465940337421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214</v>
      </c>
      <c r="BZ75" s="13">
        <f>BY75*VLOOKUP('Données projet'!$B$12,Paramètres!$A$1:$I$89,3,0)*VLOOKUP('Données projet'!$B$12,Paramètres!$A$1:$I$89,5,0)</f>
        <v>186.95040000000003</v>
      </c>
      <c r="CA75" s="13">
        <f t="shared" si="93"/>
        <v>46.865095976617653</v>
      </c>
      <c r="CB75" s="20">
        <f t="shared" si="64"/>
        <v>407.22865549260911</v>
      </c>
      <c r="CC75" s="59">
        <f t="shared" si="65"/>
        <v>700.56198882594242</v>
      </c>
      <c r="CD75" s="59">
        <f ca="1">AVERAGE(OFFSET($CC$3,0,0,'Données projet'!$E$12+1,1))-AVERAGE(OFFSET($H$3,0,0,'Données projet'!$E$12+1,1))</f>
        <v>164.24405955980575</v>
      </c>
      <c r="CE75" s="59">
        <f t="shared" si="94"/>
        <v>379.20713858755209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148.39628895278571</v>
      </c>
      <c r="AO76" s="59">
        <f t="shared" si="90"/>
        <v>361.07991692964788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41.430020031589606</v>
      </c>
      <c r="AW76" s="21">
        <f>EXP(-LN(2)/2)*AW75+(1-EXP(-LN(2)/2))/(LN(2)/2)*AQ76*AT76*VLOOKUP('Données projet'!$B$10,Paramètres!$A$1:$I$89,3,0)*0.475*44/12</f>
        <v>1.5160054845884713E-8</v>
      </c>
      <c r="AX76" s="21">
        <f t="shared" si="60"/>
        <v>41.430020046749661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4.5999999999999996</v>
      </c>
      <c r="BD76" s="12">
        <f>IF('Données projet'!$A$88&gt;35,BD75+BC76-BL75,IF(A76&lt;'Données projet'!$A$88,$BA$205^A76,IF(A76='Données projet'!$A$88,'Données projet'!$B$88,BD75+BC76-BL75)))</f>
        <v>217.80000000000013</v>
      </c>
      <c r="BE76" s="13">
        <f>BD76*VLOOKUP('Données projet'!$B$11,Paramètres!$A$1:$I$89,3,0)*VLOOKUP('Données projet'!$B$11,Paramètres!$A$1:$I$89,5,0)</f>
        <v>176.67936000000012</v>
      </c>
      <c r="BF76" s="13">
        <f t="shared" si="91"/>
        <v>44.5826062365838</v>
      </c>
      <c r="BG76" s="20">
        <f t="shared" si="61"/>
        <v>385.36459119538364</v>
      </c>
      <c r="BH76" s="59">
        <f t="shared" si="62"/>
        <v>678.69792452871695</v>
      </c>
      <c r="BI76" s="59">
        <f ca="1">AVERAGE(OFFSET($BH$3,0,0,'Données projet'!$E$11+1,1))-AVERAGE(OFFSET($H$3,0,0,'Données projet'!$E$11+1,1))</f>
        <v>181.20458942529478</v>
      </c>
      <c r="BJ76" s="59">
        <f t="shared" si="92"/>
        <v>144.05254691566421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28.959234639932628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28.959234639932628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214</v>
      </c>
      <c r="BZ76" s="13">
        <f>BY76*VLOOKUP('Données projet'!$B$12,Paramètres!$A$1:$I$89,3,0)*VLOOKUP('Données projet'!$B$12,Paramètres!$A$1:$I$89,5,0)</f>
        <v>186.95040000000003</v>
      </c>
      <c r="CA76" s="13">
        <f t="shared" si="93"/>
        <v>46.865095976617653</v>
      </c>
      <c r="CB76" s="20">
        <f t="shared" si="64"/>
        <v>407.22865549260911</v>
      </c>
      <c r="CC76" s="59">
        <f t="shared" si="65"/>
        <v>700.56198882594242</v>
      </c>
      <c r="CD76" s="59">
        <f ca="1">AVERAGE(OFFSET($CC$3,0,0,'Données projet'!$E$12+1,1))-AVERAGE(OFFSET($H$3,0,0,'Données projet'!$E$12+1,1))</f>
        <v>164.24405955980575</v>
      </c>
      <c r="CE76" s="59">
        <f t="shared" si="94"/>
        <v>379.20713858755209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148.39628895278571</v>
      </c>
      <c r="AO77" s="59">
        <f t="shared" si="90"/>
        <v>361.07991692964788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40.297113955115726</v>
      </c>
      <c r="AW77" s="21">
        <f>EXP(-LN(2)/2)*AW76+(1-EXP(-LN(2)/2))/(LN(2)/2)*AQ77*AT77*VLOOKUP('Données projet'!$B$10,Paramètres!$A$1:$I$89,3,0)*0.475*44/12</f>
        <v>1.0719777584685062E-8</v>
      </c>
      <c r="AX77" s="21">
        <f t="shared" si="60"/>
        <v>40.297113965835507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4.5999999999999996</v>
      </c>
      <c r="BD77" s="12">
        <f>IF('Données projet'!$A$88&gt;35,BD76+BC77-BL76,IF(A77&lt;'Données projet'!$A$88,$BA$205^A77,IF(A77='Données projet'!$A$88,'Données projet'!$B$88,BD76+BC77-BL76)))</f>
        <v>222.40000000000012</v>
      </c>
      <c r="BE77" s="13">
        <f>BD77*VLOOKUP('Données projet'!$B$11,Paramètres!$A$1:$I$89,3,0)*VLOOKUP('Données projet'!$B$11,Paramètres!$A$1:$I$89,5,0)</f>
        <v>180.41088000000011</v>
      </c>
      <c r="BF77" s="13">
        <f t="shared" si="91"/>
        <v>45.413587262495575</v>
      </c>
      <c r="BG77" s="20">
        <f t="shared" si="61"/>
        <v>393.31094714884665</v>
      </c>
      <c r="BH77" s="59">
        <f t="shared" si="62"/>
        <v>686.64428048217997</v>
      </c>
      <c r="BI77" s="59">
        <f ca="1">AVERAGE(OFFSET($BH$3,0,0,'Données projet'!$E$11+1,1))-AVERAGE(OFFSET($H$3,0,0,'Données projet'!$E$11+1,1))</f>
        <v>181.20458942529478</v>
      </c>
      <c r="BJ77" s="59">
        <f t="shared" si="92"/>
        <v>144.05254691566421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28.391361712032566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28.391361712032566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214</v>
      </c>
      <c r="BZ77" s="13">
        <f>BY77*VLOOKUP('Données projet'!$B$12,Paramètres!$A$1:$I$89,3,0)*VLOOKUP('Données projet'!$B$12,Paramètres!$A$1:$I$89,5,0)</f>
        <v>186.95040000000003</v>
      </c>
      <c r="CA77" s="13">
        <f t="shared" si="93"/>
        <v>46.865095976617653</v>
      </c>
      <c r="CB77" s="20">
        <f t="shared" si="64"/>
        <v>407.22865549260911</v>
      </c>
      <c r="CC77" s="59">
        <f t="shared" si="65"/>
        <v>700.56198882594242</v>
      </c>
      <c r="CD77" s="59">
        <f ca="1">AVERAGE(OFFSET($CC$3,0,0,'Données projet'!$E$12+1,1))-AVERAGE(OFFSET($H$3,0,0,'Données projet'!$E$12+1,1))</f>
        <v>164.24405955980575</v>
      </c>
      <c r="CE77" s="59">
        <f t="shared" si="94"/>
        <v>379.20713858755209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148.39628895278571</v>
      </c>
      <c r="AO78" s="59">
        <f t="shared" si="90"/>
        <v>361.07991692964788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39.195187254879961</v>
      </c>
      <c r="AW78" s="21">
        <f>EXP(-LN(2)/2)*AW77+(1-EXP(-LN(2)/2))/(LN(2)/2)*AQ78*AT78*VLOOKUP('Données projet'!$B$10,Paramètres!$A$1:$I$89,3,0)*0.475*44/12</f>
        <v>7.5800274229423567E-9</v>
      </c>
      <c r="AX78" s="21">
        <f t="shared" si="60"/>
        <v>39.195187262459989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227</v>
      </c>
      <c r="BB78" s="12">
        <f>VLOOKUP(A78,'Données projet'!$A$87:$I$107,9,0)</f>
        <v>4.5999999999999996</v>
      </c>
      <c r="BC78" s="12">
        <f t="array" ref="BC78">INDEX(BB:BB,MIN(IF(ISNUMBER(BB78:BB274),ROW(BB78:BB274),"")))</f>
        <v>4.5999999999999996</v>
      </c>
      <c r="BD78" s="12">
        <f>IF('Données projet'!$A$88&gt;35,BD77+BC78-BL77,IF(A78&lt;'Données projet'!$A$88,$BA$205^A78,IF(A78='Données projet'!$A$88,'Données projet'!$B$88,BD77+BC78-BL77)))</f>
        <v>227.00000000000011</v>
      </c>
      <c r="BE78" s="13">
        <f>BD78*VLOOKUP('Données projet'!$B$11,Paramètres!$A$1:$I$89,3,0)*VLOOKUP('Données projet'!$B$11,Paramètres!$A$1:$I$89,5,0)</f>
        <v>184.14240000000009</v>
      </c>
      <c r="BF78" s="13">
        <f t="shared" si="91"/>
        <v>46.242569912520345</v>
      </c>
      <c r="BG78" s="20">
        <f t="shared" si="61"/>
        <v>401.25382259763973</v>
      </c>
      <c r="BH78" s="59">
        <f t="shared" si="62"/>
        <v>694.58715593097304</v>
      </c>
      <c r="BI78" s="59">
        <f ca="1">AVERAGE(OFFSET($BH$3,0,0,'Données projet'!$E$11+1,1))-AVERAGE(OFFSET($H$3,0,0,'Données projet'!$E$11+1,1))</f>
        <v>181.20458942529478</v>
      </c>
      <c r="BJ78" s="59">
        <f t="shared" si="92"/>
        <v>144.05254691566421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33.233105008580658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33.233105008580658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214</v>
      </c>
      <c r="BZ78" s="13">
        <f>BY78*VLOOKUP('Données projet'!$B$12,Paramètres!$A$1:$I$89,3,0)*VLOOKUP('Données projet'!$B$12,Paramètres!$A$1:$I$89,5,0)</f>
        <v>186.95040000000003</v>
      </c>
      <c r="CA78" s="13">
        <f t="shared" si="93"/>
        <v>46.865095976617653</v>
      </c>
      <c r="CB78" s="20">
        <f t="shared" si="64"/>
        <v>407.22865549260911</v>
      </c>
      <c r="CC78" s="59">
        <f t="shared" si="65"/>
        <v>700.56198882594242</v>
      </c>
      <c r="CD78" s="59">
        <f ca="1">AVERAGE(OFFSET($CC$3,0,0,'Données projet'!$E$12+1,1))-AVERAGE(OFFSET($H$3,0,0,'Données projet'!$E$12+1,1))</f>
        <v>164.24405955980575</v>
      </c>
      <c r="CE78" s="59">
        <f t="shared" si="94"/>
        <v>379.20713858755209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148.39628895278571</v>
      </c>
      <c r="AO79" s="59">
        <f t="shared" si="90"/>
        <v>361.07991692964788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38.123392798209956</v>
      </c>
      <c r="AW79" s="21">
        <f>EXP(-LN(2)/2)*AW78+(1-EXP(-LN(2)/2))/(LN(2)/2)*AQ79*AT79*VLOOKUP('Données projet'!$B$10,Paramètres!$A$1:$I$89,3,0)*0.475*44/12</f>
        <v>5.3598887923425308E-9</v>
      </c>
      <c r="AX79" s="21">
        <f t="shared" si="60"/>
        <v>38.123392803569843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4.2</v>
      </c>
      <c r="BD79" s="12">
        <f>IF('Données projet'!$A$88&gt;35,BD78+BC79-BL78,IF(A79&lt;'Données projet'!$A$88,$BA$205^A79,IF(A79='Données projet'!$A$88,'Données projet'!$B$88,BD78+BC79-BL78)))</f>
        <v>217.2000000000001</v>
      </c>
      <c r="BE79" s="13">
        <f>BD79*VLOOKUP('Données projet'!$B$11,Paramètres!$A$1:$I$89,3,0)*VLOOKUP('Données projet'!$B$11,Paramètres!$A$1:$I$89,5,0)</f>
        <v>176.1926400000001</v>
      </c>
      <c r="BF79" s="13">
        <f t="shared" si="91"/>
        <v>44.474067632484541</v>
      </c>
      <c r="BG79" s="20">
        <f t="shared" si="61"/>
        <v>384.32784912657735</v>
      </c>
      <c r="BH79" s="59">
        <f t="shared" si="62"/>
        <v>677.66118245991061</v>
      </c>
      <c r="BI79" s="59">
        <f ca="1">AVERAGE(OFFSET($BH$3,0,0,'Données projet'!$E$11+1,1))-AVERAGE(OFFSET($H$3,0,0,'Données projet'!$E$11+1,1))</f>
        <v>181.20458942529478</v>
      </c>
      <c r="BJ79" s="59">
        <f t="shared" si="92"/>
        <v>144.05254691566421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32.581424089554929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32.581424089554929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214</v>
      </c>
      <c r="BZ79" s="13">
        <f>BY79*VLOOKUP('Données projet'!$B$12,Paramètres!$A$1:$I$89,3,0)*VLOOKUP('Données projet'!$B$12,Paramètres!$A$1:$I$89,5,0)</f>
        <v>186.95040000000003</v>
      </c>
      <c r="CA79" s="13">
        <f t="shared" si="93"/>
        <v>46.865095976617653</v>
      </c>
      <c r="CB79" s="20">
        <f t="shared" si="64"/>
        <v>407.22865549260911</v>
      </c>
      <c r="CC79" s="59">
        <f t="shared" si="65"/>
        <v>700.56198882594242</v>
      </c>
      <c r="CD79" s="59">
        <f ca="1">AVERAGE(OFFSET($CC$3,0,0,'Données projet'!$E$12+1,1))-AVERAGE(OFFSET($H$3,0,0,'Données projet'!$E$12+1,1))</f>
        <v>164.24405955980575</v>
      </c>
      <c r="CE79" s="59">
        <f t="shared" si="94"/>
        <v>379.20713858755209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148.39628895278571</v>
      </c>
      <c r="AO80" s="59">
        <f t="shared" si="90"/>
        <v>361.07991692964788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37.080906617320807</v>
      </c>
      <c r="AW80" s="21">
        <f>EXP(-LN(2)/2)*AW79+(1-EXP(-LN(2)/2))/(LN(2)/2)*AQ80*AT80*VLOOKUP('Données projet'!$B$10,Paramètres!$A$1:$I$89,3,0)*0.475*44/12</f>
        <v>3.7900137114711784E-9</v>
      </c>
      <c r="AX80" s="21">
        <f t="shared" si="60"/>
        <v>37.08090662111082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4.2</v>
      </c>
      <c r="BD80" s="12">
        <f>IF('Données projet'!$A$88&gt;35,BD79+BC80-BL79,IF(A80&lt;'Données projet'!$A$88,$BA$205^A80,IF(A80='Données projet'!$A$88,'Données projet'!$B$88,BD79+BC80-BL79)))</f>
        <v>221.40000000000009</v>
      </c>
      <c r="BE80" s="13">
        <f>BD80*VLOOKUP('Données projet'!$B$11,Paramètres!$A$1:$I$89,3,0)*VLOOKUP('Données projet'!$B$11,Paramètres!$A$1:$I$89,5,0)</f>
        <v>179.59968000000009</v>
      </c>
      <c r="BF80" s="13">
        <f t="shared" si="91"/>
        <v>45.233110804333748</v>
      </c>
      <c r="BG80" s="20">
        <f t="shared" si="61"/>
        <v>391.58377731754808</v>
      </c>
      <c r="BH80" s="59">
        <f t="shared" si="62"/>
        <v>684.91711065088134</v>
      </c>
      <c r="BI80" s="59">
        <f ca="1">AVERAGE(OFFSET($BH$3,0,0,'Données projet'!$E$11+1,1))-AVERAGE(OFFSET($H$3,0,0,'Données projet'!$E$11+1,1))</f>
        <v>181.20458942529478</v>
      </c>
      <c r="BJ80" s="59">
        <f t="shared" si="92"/>
        <v>144.05254691566421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31.942522235865184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31.942522235865184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214</v>
      </c>
      <c r="BZ80" s="13">
        <f>BY80*VLOOKUP('Données projet'!$B$12,Paramètres!$A$1:$I$89,3,0)*VLOOKUP('Données projet'!$B$12,Paramètres!$A$1:$I$89,5,0)</f>
        <v>186.95040000000003</v>
      </c>
      <c r="CA80" s="13">
        <f t="shared" si="93"/>
        <v>46.865095976617653</v>
      </c>
      <c r="CB80" s="20">
        <f t="shared" si="64"/>
        <v>407.22865549260911</v>
      </c>
      <c r="CC80" s="59">
        <f t="shared" si="65"/>
        <v>700.56198882594242</v>
      </c>
      <c r="CD80" s="59">
        <f ca="1">AVERAGE(OFFSET($CC$3,0,0,'Données projet'!$E$12+1,1))-AVERAGE(OFFSET($H$3,0,0,'Données projet'!$E$12+1,1))</f>
        <v>164.24405955980575</v>
      </c>
      <c r="CE80" s="59">
        <f t="shared" si="94"/>
        <v>379.20713858755209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148.39628895278571</v>
      </c>
      <c r="AO81" s="59">
        <f t="shared" si="90"/>
        <v>361.07991692964788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36.066927275870043</v>
      </c>
      <c r="AW81" s="21">
        <f>EXP(-LN(2)/2)*AW80+(1-EXP(-LN(2)/2))/(LN(2)/2)*AQ81*AT81*VLOOKUP('Données projet'!$B$10,Paramètres!$A$1:$I$89,3,0)*0.475*44/12</f>
        <v>2.6799443961712654E-9</v>
      </c>
      <c r="AX81" s="21">
        <f t="shared" si="60"/>
        <v>36.06692727854999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4.2</v>
      </c>
      <c r="BD81" s="12">
        <f>IF('Données projet'!$A$88&gt;35,BD80+BC81-BL80,IF(A81&lt;'Données projet'!$A$88,$BA$205^A81,IF(A81='Données projet'!$A$88,'Données projet'!$B$88,BD80+BC81-BL80)))</f>
        <v>225.60000000000008</v>
      </c>
      <c r="BE81" s="13">
        <f>BD81*VLOOKUP('Données projet'!$B$11,Paramètres!$A$1:$I$89,3,0)*VLOOKUP('Données projet'!$B$11,Paramètres!$A$1:$I$89,5,0)</f>
        <v>183.00672000000006</v>
      </c>
      <c r="BF81" s="13">
        <f t="shared" si="91"/>
        <v>45.990479653087696</v>
      </c>
      <c r="BG81" s="20">
        <f t="shared" si="61"/>
        <v>398.83678939579448</v>
      </c>
      <c r="BH81" s="59">
        <f t="shared" si="62"/>
        <v>692.1701227291278</v>
      </c>
      <c r="BI81" s="59">
        <f ca="1">AVERAGE(OFFSET($BH$3,0,0,'Données projet'!$E$11+1,1))-AVERAGE(OFFSET($H$3,0,0,'Données projet'!$E$11+1,1))</f>
        <v>181.20458942529478</v>
      </c>
      <c r="BJ81" s="59">
        <f t="shared" si="92"/>
        <v>144.05254691566421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31.316148857834644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31.316148857834644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214</v>
      </c>
      <c r="BZ81" s="13">
        <f>BY81*VLOOKUP('Données projet'!$B$12,Paramètres!$A$1:$I$89,3,0)*VLOOKUP('Données projet'!$B$12,Paramètres!$A$1:$I$89,5,0)</f>
        <v>186.95040000000003</v>
      </c>
      <c r="CA81" s="13">
        <f t="shared" si="93"/>
        <v>46.865095976617653</v>
      </c>
      <c r="CB81" s="20">
        <f t="shared" si="64"/>
        <v>407.22865549260911</v>
      </c>
      <c r="CC81" s="59">
        <f t="shared" si="65"/>
        <v>700.56198882594242</v>
      </c>
      <c r="CD81" s="59">
        <f ca="1">AVERAGE(OFFSET($CC$3,0,0,'Données projet'!$E$12+1,1))-AVERAGE(OFFSET($H$3,0,0,'Données projet'!$E$12+1,1))</f>
        <v>164.24405955980575</v>
      </c>
      <c r="CE81" s="59">
        <f t="shared" si="94"/>
        <v>379.20713858755209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148.39628895278571</v>
      </c>
      <c r="AO82" s="59">
        <f t="shared" si="90"/>
        <v>361.07991692964788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35.080675252834105</v>
      </c>
      <c r="AW82" s="21">
        <f>EXP(-LN(2)/2)*AW81+(1-EXP(-LN(2)/2))/(LN(2)/2)*AQ82*AT82*VLOOKUP('Données projet'!$B$10,Paramètres!$A$1:$I$89,3,0)*0.475*44/12</f>
        <v>1.8950068557355892E-9</v>
      </c>
      <c r="AX82" s="21">
        <f t="shared" si="60"/>
        <v>35.080675254729115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4.2</v>
      </c>
      <c r="BD82" s="12">
        <f>IF('Données projet'!$A$88&gt;35,BD81+BC82-BL81,IF(A82&lt;'Données projet'!$A$88,$BA$205^A82,IF(A82='Données projet'!$A$88,'Données projet'!$B$88,BD81+BC82-BL81)))</f>
        <v>229.80000000000007</v>
      </c>
      <c r="BE82" s="13">
        <f>BD82*VLOOKUP('Données projet'!$B$11,Paramètres!$A$1:$I$89,3,0)*VLOOKUP('Données projet'!$B$11,Paramètres!$A$1:$I$89,5,0)</f>
        <v>186.41376000000005</v>
      </c>
      <c r="BF82" s="13">
        <f t="shared" si="91"/>
        <v>46.746208944321332</v>
      </c>
      <c r="BG82" s="20">
        <f t="shared" si="61"/>
        <v>406.08694591135969</v>
      </c>
      <c r="BH82" s="59">
        <f t="shared" si="62"/>
        <v>699.42027924469301</v>
      </c>
      <c r="BI82" s="59">
        <f ca="1">AVERAGE(OFFSET($BH$3,0,0,'Données projet'!$E$11+1,1))-AVERAGE(OFFSET($H$3,0,0,'Données projet'!$E$11+1,1))</f>
        <v>181.20458942529478</v>
      </c>
      <c r="BJ82" s="59">
        <f t="shared" si="92"/>
        <v>144.05254691566421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30.702058279697248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30.702058279697248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214</v>
      </c>
      <c r="BZ82" s="13">
        <f>BY82*VLOOKUP('Données projet'!$B$12,Paramètres!$A$1:$I$89,3,0)*VLOOKUP('Données projet'!$B$12,Paramètres!$A$1:$I$89,5,0)</f>
        <v>186.95040000000003</v>
      </c>
      <c r="CA82" s="13">
        <f t="shared" si="93"/>
        <v>46.865095976617653</v>
      </c>
      <c r="CB82" s="20">
        <f t="shared" si="64"/>
        <v>407.22865549260911</v>
      </c>
      <c r="CC82" s="59">
        <f t="shared" si="65"/>
        <v>700.56198882594242</v>
      </c>
      <c r="CD82" s="59">
        <f ca="1">AVERAGE(OFFSET($CC$3,0,0,'Données projet'!$E$12+1,1))-AVERAGE(OFFSET($H$3,0,0,'Données projet'!$E$12+1,1))</f>
        <v>164.24405955980575</v>
      </c>
      <c r="CE82" s="59">
        <f t="shared" si="94"/>
        <v>379.20713858755209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148.39628895278571</v>
      </c>
      <c r="AO83" s="59">
        <f t="shared" si="90"/>
        <v>361.07991692964788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34.12139234323282</v>
      </c>
      <c r="AW83" s="21">
        <f>EXP(-LN(2)/2)*AW82+(1-EXP(-LN(2)/2))/(LN(2)/2)*AQ83*AT83*VLOOKUP('Données projet'!$B$10,Paramètres!$A$1:$I$89,3,0)*0.475*44/12</f>
        <v>1.3399721980856327E-9</v>
      </c>
      <c r="AX83" s="21">
        <f t="shared" si="60"/>
        <v>34.12139234457279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234</v>
      </c>
      <c r="BB83" s="12">
        <f>VLOOKUP(A83,'Données projet'!$A$87:$I$107,9,0)</f>
        <v>4.2</v>
      </c>
      <c r="BC83" s="12">
        <f t="array" ref="BC83">INDEX(BB:BB,MIN(IF(ISNUMBER(BB83:BB279),ROW(BB83:BB279),"")))</f>
        <v>4.2</v>
      </c>
      <c r="BD83" s="12">
        <f>IF('Données projet'!$A$88&gt;35,BD82+BC83-BL82,IF(A83&lt;'Données projet'!$A$88,$BA$205^A83,IF(A83='Données projet'!$A$88,'Données projet'!$B$88,BD82+BC83-BL82)))</f>
        <v>234.00000000000006</v>
      </c>
      <c r="BE83" s="13">
        <f>BD83*VLOOKUP('Données projet'!$B$11,Paramètres!$A$1:$I$89,3,0)*VLOOKUP('Données projet'!$B$11,Paramètres!$A$1:$I$89,5,0)</f>
        <v>189.82080000000005</v>
      </c>
      <c r="BF83" s="13">
        <f t="shared" si="91"/>
        <v>47.500332100049796</v>
      </c>
      <c r="BG83" s="20">
        <f t="shared" si="61"/>
        <v>413.33430507425345</v>
      </c>
      <c r="BH83" s="59">
        <f t="shared" si="62"/>
        <v>706.66763840758676</v>
      </c>
      <c r="BI83" s="59">
        <f ca="1">AVERAGE(OFFSET($BH$3,0,0,'Données projet'!$E$11+1,1))-AVERAGE(OFFSET($H$3,0,0,'Données projet'!$E$11+1,1))</f>
        <v>181.20458942529478</v>
      </c>
      <c r="BJ83" s="59">
        <f t="shared" si="92"/>
        <v>144.05254691566421</v>
      </c>
      <c r="BK83" s="15">
        <f>IF(ISNA(VLOOKUP(A83,'Données projet'!$A$87:$I$107,3,0)),0,VLOOKUP(A83,'Données projet'!$A$87:$I$107,3,0))</f>
        <v>13</v>
      </c>
      <c r="BL83" s="21">
        <f>IF(ISNA(VLOOKUP(A83,'Données projet'!$A$87:$I$107,4,0)),0,VLOOKUP(A83,'Données projet'!$A$87:$I$107,4,0))</f>
        <v>13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35.112884470032007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35.112884470032007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214</v>
      </c>
      <c r="BZ83" s="13">
        <f>BY83*VLOOKUP('Données projet'!$B$12,Paramètres!$A$1:$I$89,3,0)*VLOOKUP('Données projet'!$B$12,Paramètres!$A$1:$I$89,5,0)</f>
        <v>186.95040000000003</v>
      </c>
      <c r="CA83" s="13">
        <f t="shared" si="93"/>
        <v>46.865095976617653</v>
      </c>
      <c r="CB83" s="20">
        <f t="shared" si="64"/>
        <v>407.22865549260911</v>
      </c>
      <c r="CC83" s="59">
        <f t="shared" si="65"/>
        <v>700.56198882594242</v>
      </c>
      <c r="CD83" s="59">
        <f ca="1">AVERAGE(OFFSET($CC$3,0,0,'Données projet'!$E$12+1,1))-AVERAGE(OFFSET($H$3,0,0,'Données projet'!$E$12+1,1))</f>
        <v>164.24405955980575</v>
      </c>
      <c r="CE83" s="59">
        <f t="shared" si="94"/>
        <v>379.20713858755209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148.39628895278571</v>
      </c>
      <c r="AO84" s="59">
        <f t="shared" si="90"/>
        <v>361.07991692964788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33.188341075241084</v>
      </c>
      <c r="AW84" s="21">
        <f>EXP(-LN(2)/2)*AW83+(1-EXP(-LN(2)/2))/(LN(2)/2)*AQ84*AT84*VLOOKUP('Données projet'!$B$10,Paramètres!$A$1:$I$89,3,0)*0.475*44/12</f>
        <v>9.4750342786779459E-10</v>
      </c>
      <c r="AX84" s="21">
        <f t="shared" si="60"/>
        <v>33.188341076188586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</v>
      </c>
      <c r="BD84" s="12">
        <f>IF('Données projet'!$A$88&gt;35,BD83+BC84-BL83,IF(A84&lt;'Données projet'!$A$88,$BA$205^A84,IF(A84='Données projet'!$A$88,'Données projet'!$B$88,BD83+BC84-BL83)))</f>
        <v>225.00000000000006</v>
      </c>
      <c r="BE84" s="13">
        <f>BD84*VLOOKUP('Données projet'!$B$11,Paramètres!$A$1:$I$89,3,0)*VLOOKUP('Données projet'!$B$11,Paramètres!$A$1:$I$89,5,0)</f>
        <v>182.52000000000004</v>
      </c>
      <c r="BF84" s="13">
        <f t="shared" si="91"/>
        <v>45.882385280285632</v>
      </c>
      <c r="BG84" s="20">
        <f t="shared" si="61"/>
        <v>397.80082102983084</v>
      </c>
      <c r="BH84" s="59">
        <f t="shared" si="62"/>
        <v>691.13415436316416</v>
      </c>
      <c r="BI84" s="59">
        <f ca="1">AVERAGE(OFFSET($BH$3,0,0,'Données projet'!$E$11+1,1))-AVERAGE(OFFSET($H$3,0,0,'Données projet'!$E$11+1,1))</f>
        <v>181.20458942529478</v>
      </c>
      <c r="BJ84" s="59">
        <f t="shared" si="92"/>
        <v>144.05254691566421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34.424342222319481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34.424342222319481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214</v>
      </c>
      <c r="BZ84" s="13">
        <f>BY84*VLOOKUP('Données projet'!$B$12,Paramètres!$A$1:$I$89,3,0)*VLOOKUP('Données projet'!$B$12,Paramètres!$A$1:$I$89,5,0)</f>
        <v>186.95040000000003</v>
      </c>
      <c r="CA84" s="13">
        <f t="shared" si="93"/>
        <v>46.865095976617653</v>
      </c>
      <c r="CB84" s="20">
        <f t="shared" si="64"/>
        <v>407.22865549260911</v>
      </c>
      <c r="CC84" s="59">
        <f t="shared" si="65"/>
        <v>700.56198882594242</v>
      </c>
      <c r="CD84" s="59">
        <f ca="1">AVERAGE(OFFSET($CC$3,0,0,'Données projet'!$E$12+1,1))-AVERAGE(OFFSET($H$3,0,0,'Données projet'!$E$12+1,1))</f>
        <v>164.24405955980575</v>
      </c>
      <c r="CE84" s="59">
        <f t="shared" si="94"/>
        <v>379.20713858755209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148.39628895278571</v>
      </c>
      <c r="AO85" s="59">
        <f t="shared" si="90"/>
        <v>361.07991692964788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32.280804143239614</v>
      </c>
      <c r="AW85" s="21">
        <f>EXP(-LN(2)/2)*AW84+(1-EXP(-LN(2)/2))/(LN(2)/2)*AQ85*AT85*VLOOKUP('Données projet'!$B$10,Paramètres!$A$1:$I$89,3,0)*0.475*44/12</f>
        <v>6.6998609904281635E-10</v>
      </c>
      <c r="AX85" s="21">
        <f t="shared" si="60"/>
        <v>32.280804143909599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</v>
      </c>
      <c r="BD85" s="12">
        <f>IF('Données projet'!$A$88&gt;35,BD84+BC85-BL84,IF(A85&lt;'Données projet'!$A$88,$BA$205^A85,IF(A85='Données projet'!$A$88,'Données projet'!$B$88,BD84+BC85-BL84)))</f>
        <v>229.00000000000006</v>
      </c>
      <c r="BE85" s="13">
        <f>BD85*VLOOKUP('Données projet'!$B$11,Paramètres!$A$1:$I$89,3,0)*VLOOKUP('Données projet'!$B$11,Paramètres!$A$1:$I$89,5,0)</f>
        <v>185.76480000000004</v>
      </c>
      <c r="BF85" s="13">
        <f t="shared" si="91"/>
        <v>46.602385341463361</v>
      </c>
      <c r="BG85" s="20">
        <f t="shared" si="61"/>
        <v>404.7061811363821</v>
      </c>
      <c r="BH85" s="59">
        <f t="shared" si="62"/>
        <v>698.03951446971541</v>
      </c>
      <c r="BI85" s="59">
        <f ca="1">AVERAGE(OFFSET($BH$3,0,0,'Données projet'!$E$11+1,1))-AVERAGE(OFFSET($H$3,0,0,'Données projet'!$E$11+1,1))</f>
        <v>181.20458942529478</v>
      </c>
      <c r="BJ85" s="59">
        <f t="shared" si="92"/>
        <v>144.05254691566421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33.749301868115289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33.749301868115289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214</v>
      </c>
      <c r="BZ85" s="13">
        <f>BY85*VLOOKUP('Données projet'!$B$12,Paramètres!$A$1:$I$89,3,0)*VLOOKUP('Données projet'!$B$12,Paramètres!$A$1:$I$89,5,0)</f>
        <v>186.95040000000003</v>
      </c>
      <c r="CA85" s="13">
        <f t="shared" si="93"/>
        <v>46.865095976617653</v>
      </c>
      <c r="CB85" s="20">
        <f t="shared" si="64"/>
        <v>407.22865549260911</v>
      </c>
      <c r="CC85" s="59">
        <f t="shared" si="65"/>
        <v>700.56198882594242</v>
      </c>
      <c r="CD85" s="59">
        <f ca="1">AVERAGE(OFFSET($CC$3,0,0,'Données projet'!$E$12+1,1))-AVERAGE(OFFSET($H$3,0,0,'Données projet'!$E$12+1,1))</f>
        <v>164.24405955980575</v>
      </c>
      <c r="CE85" s="59">
        <f t="shared" si="94"/>
        <v>379.20713858755209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148.39628895278571</v>
      </c>
      <c r="AO86" s="59">
        <f t="shared" si="90"/>
        <v>361.07991692964788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31.398083856369016</v>
      </c>
      <c r="AW86" s="21">
        <f>EXP(-LN(2)/2)*AW85+(1-EXP(-LN(2)/2))/(LN(2)/2)*AQ86*AT86*VLOOKUP('Données projet'!$B$10,Paramètres!$A$1:$I$89,3,0)*0.475*44/12</f>
        <v>4.737517139338973E-10</v>
      </c>
      <c r="AX86" s="21">
        <f t="shared" si="60"/>
        <v>31.398083856842767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</v>
      </c>
      <c r="BD86" s="12">
        <f>IF('Données projet'!$A$88&gt;35,BD85+BC86-BL85,IF(A86&lt;'Données projet'!$A$88,$BA$205^A86,IF(A86='Données projet'!$A$88,'Données projet'!$B$88,BD85+BC86-BL85)))</f>
        <v>233.00000000000006</v>
      </c>
      <c r="BE86" s="13">
        <f>BD86*VLOOKUP('Données projet'!$B$11,Paramètres!$A$1:$I$89,3,0)*VLOOKUP('Données projet'!$B$11,Paramètres!$A$1:$I$89,5,0)</f>
        <v>189.00960000000006</v>
      </c>
      <c r="BF86" s="13">
        <f t="shared" si="91"/>
        <v>47.320922915876508</v>
      </c>
      <c r="BG86" s="20">
        <f t="shared" si="61"/>
        <v>411.60899407848501</v>
      </c>
      <c r="BH86" s="59">
        <f t="shared" si="62"/>
        <v>704.94232741181827</v>
      </c>
      <c r="BI86" s="59">
        <f ca="1">AVERAGE(OFFSET($BH$3,0,0,'Données projet'!$E$11+1,1))-AVERAGE(OFFSET($H$3,0,0,'Données projet'!$E$11+1,1))</f>
        <v>181.20458942529478</v>
      </c>
      <c r="BJ86" s="59">
        <f t="shared" si="92"/>
        <v>144.05254691566421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33.087498643523084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33.087498643523084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214</v>
      </c>
      <c r="BZ86" s="13">
        <f>BY86*VLOOKUP('Données projet'!$B$12,Paramètres!$A$1:$I$89,3,0)*VLOOKUP('Données projet'!$B$12,Paramètres!$A$1:$I$89,5,0)</f>
        <v>186.95040000000003</v>
      </c>
      <c r="CA86" s="13">
        <f t="shared" si="93"/>
        <v>46.865095976617653</v>
      </c>
      <c r="CB86" s="20">
        <f t="shared" si="64"/>
        <v>407.22865549260911</v>
      </c>
      <c r="CC86" s="59">
        <f t="shared" si="65"/>
        <v>700.56198882594242</v>
      </c>
      <c r="CD86" s="59">
        <f ca="1">AVERAGE(OFFSET($CC$3,0,0,'Données projet'!$E$12+1,1))-AVERAGE(OFFSET($H$3,0,0,'Données projet'!$E$12+1,1))</f>
        <v>164.24405955980575</v>
      </c>
      <c r="CE86" s="59">
        <f t="shared" si="94"/>
        <v>379.20713858755209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148.39628895278571</v>
      </c>
      <c r="AO87" s="59">
        <f t="shared" si="90"/>
        <v>361.07991692964788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30.539501602163138</v>
      </c>
      <c r="AW87" s="21">
        <f>EXP(-LN(2)/2)*AW86+(1-EXP(-LN(2)/2))/(LN(2)/2)*AQ87*AT87*VLOOKUP('Données projet'!$B$10,Paramètres!$A$1:$I$89,3,0)*0.475*44/12</f>
        <v>3.3499304952140817E-10</v>
      </c>
      <c r="AX87" s="21">
        <f t="shared" si="60"/>
        <v>30.539501602498131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</v>
      </c>
      <c r="BD87" s="12">
        <f>IF('Données projet'!$A$88&gt;35,BD86+BC87-BL86,IF(A87&lt;'Données projet'!$A$88,$BA$205^A87,IF(A87='Données projet'!$A$88,'Données projet'!$B$88,BD86+BC87-BL86)))</f>
        <v>237.00000000000006</v>
      </c>
      <c r="BE87" s="13">
        <f>BD87*VLOOKUP('Données projet'!$B$11,Paramètres!$A$1:$I$89,3,0)*VLOOKUP('Données projet'!$B$11,Paramètres!$A$1:$I$89,5,0)</f>
        <v>192.25440000000006</v>
      </c>
      <c r="BF87" s="13">
        <f t="shared" si="91"/>
        <v>48.038026007842433</v>
      </c>
      <c r="BG87" s="20">
        <f t="shared" si="61"/>
        <v>418.50930863032568</v>
      </c>
      <c r="BH87" s="59">
        <f t="shared" si="62"/>
        <v>711.84264196365893</v>
      </c>
      <c r="BI87" s="59">
        <f ca="1">AVERAGE(OFFSET($BH$3,0,0,'Données projet'!$E$11+1,1))-AVERAGE(OFFSET($H$3,0,0,'Données projet'!$E$11+1,1))</f>
        <v>181.20458942529478</v>
      </c>
      <c r="BJ87" s="59">
        <f t="shared" si="92"/>
        <v>144.05254691566421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32.438672976505025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32.438672976505025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214</v>
      </c>
      <c r="BZ87" s="13">
        <f>BY87*VLOOKUP('Données projet'!$B$12,Paramètres!$A$1:$I$89,3,0)*VLOOKUP('Données projet'!$B$12,Paramètres!$A$1:$I$89,5,0)</f>
        <v>186.95040000000003</v>
      </c>
      <c r="CA87" s="13">
        <f t="shared" si="93"/>
        <v>46.865095976617653</v>
      </c>
      <c r="CB87" s="20">
        <f t="shared" si="64"/>
        <v>407.22865549260911</v>
      </c>
      <c r="CC87" s="59">
        <f t="shared" si="65"/>
        <v>700.56198882594242</v>
      </c>
      <c r="CD87" s="59">
        <f ca="1">AVERAGE(OFFSET($CC$3,0,0,'Données projet'!$E$12+1,1))-AVERAGE(OFFSET($H$3,0,0,'Données projet'!$E$12+1,1))</f>
        <v>164.24405955980575</v>
      </c>
      <c r="CE87" s="59">
        <f t="shared" si="94"/>
        <v>379.20713858755209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148.39628895278571</v>
      </c>
      <c r="AO88" s="59">
        <f t="shared" si="90"/>
        <v>361.07991692964788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29.704397324849396</v>
      </c>
      <c r="AW88" s="21">
        <f>EXP(-LN(2)/2)*AW87+(1-EXP(-LN(2)/2))/(LN(2)/2)*AQ88*AT88*VLOOKUP('Données projet'!$B$10,Paramètres!$A$1:$I$89,3,0)*0.475*44/12</f>
        <v>2.3687585696694865E-10</v>
      </c>
      <c r="AX88" s="21">
        <f t="shared" si="60"/>
        <v>29.704397325086273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241</v>
      </c>
      <c r="BB88" s="12">
        <f>VLOOKUP(A88,'Données projet'!$A$87:$I$107,9,0)</f>
        <v>4</v>
      </c>
      <c r="BC88" s="12">
        <f t="array" ref="BC88">INDEX(BB:BB,MIN(IF(ISNUMBER(BB88:BB284),ROW(BB88:BB284),"")))</f>
        <v>4</v>
      </c>
      <c r="BD88" s="12">
        <f>IF('Données projet'!$A$88&gt;35,BD87+BC88-BL87,IF(A88&lt;'Données projet'!$A$88,$BA$205^A88,IF(A88='Données projet'!$A$88,'Données projet'!$B$88,BD87+BC88-BL87)))</f>
        <v>241.00000000000006</v>
      </c>
      <c r="BE88" s="13">
        <f>BD88*VLOOKUP('Données projet'!$B$11,Paramètres!$A$1:$I$89,3,0)*VLOOKUP('Données projet'!$B$11,Paramètres!$A$1:$I$89,5,0)</f>
        <v>195.49920000000006</v>
      </c>
      <c r="BF88" s="13">
        <f t="shared" si="91"/>
        <v>48.753721622209305</v>
      </c>
      <c r="BG88" s="20">
        <f t="shared" si="61"/>
        <v>425.40717182534792</v>
      </c>
      <c r="BH88" s="59">
        <f t="shared" si="62"/>
        <v>718.74050515868123</v>
      </c>
      <c r="BI88" s="59">
        <f ca="1">AVERAGE(OFFSET($BH$3,0,0,'Données projet'!$E$11+1,1))-AVERAGE(OFFSET($H$3,0,0,'Données projet'!$E$11+1,1))</f>
        <v>181.20458942529478</v>
      </c>
      <c r="BJ88" s="59">
        <f t="shared" si="92"/>
        <v>144.05254691566421</v>
      </c>
      <c r="BK88" s="15">
        <f>IF(ISNA(VLOOKUP(A88,'Données projet'!$A$87:$I$107,3,0)),0,VLOOKUP(A88,'Données projet'!$A$87:$I$107,3,0))</f>
        <v>14</v>
      </c>
      <c r="BL88" s="15">
        <f>IF(ISNA(VLOOKUP(A88,'Données projet'!$A$87:$I$107,4,0)),0,VLOOKUP(A88,'Données projet'!$A$87:$I$107,4,0))</f>
        <v>13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36.815445211865757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36.815445211865757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214</v>
      </c>
      <c r="BZ88" s="13">
        <f>BY88*VLOOKUP('Données projet'!$B$12,Paramètres!$A$1:$I$89,3,0)*VLOOKUP('Données projet'!$B$12,Paramètres!$A$1:$I$89,5,0)</f>
        <v>186.95040000000003</v>
      </c>
      <c r="CA88" s="13">
        <f t="shared" si="93"/>
        <v>46.865095976617653</v>
      </c>
      <c r="CB88" s="20">
        <f t="shared" si="64"/>
        <v>407.22865549260911</v>
      </c>
      <c r="CC88" s="59">
        <f t="shared" si="65"/>
        <v>700.56198882594242</v>
      </c>
      <c r="CD88" s="59">
        <f ca="1">AVERAGE(OFFSET($CC$3,0,0,'Données projet'!$E$12+1,1))-AVERAGE(OFFSET($H$3,0,0,'Données projet'!$E$12+1,1))</f>
        <v>164.24405955980575</v>
      </c>
      <c r="CE88" s="59">
        <f t="shared" si="94"/>
        <v>379.20713858755209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148.39628895278571</v>
      </c>
      <c r="AO89" s="59">
        <f t="shared" si="90"/>
        <v>361.07991692964788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28.892129017915025</v>
      </c>
      <c r="AW89" s="21">
        <f>EXP(-LN(2)/2)*AW88+(1-EXP(-LN(2)/2))/(LN(2)/2)*AQ89*AT89*VLOOKUP('Données projet'!$B$10,Paramètres!$A$1:$I$89,3,0)*0.475*44/12</f>
        <v>1.6749652476070409E-10</v>
      </c>
      <c r="AX89" s="21">
        <f t="shared" si="60"/>
        <v>28.892129018082521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3.6</v>
      </c>
      <c r="BD89" s="12">
        <f>IF('Données projet'!$A$88&gt;35,BD88+BC89-BL88,IF(A89&lt;'Données projet'!$A$88,$BA$205^A89,IF(A89='Données projet'!$A$88,'Données projet'!$B$88,BD88+BC89-BL88)))</f>
        <v>231.60000000000005</v>
      </c>
      <c r="BE89" s="13">
        <f>BD89*VLOOKUP('Données projet'!$B$11,Paramètres!$A$1:$I$89,3,0)*VLOOKUP('Données projet'!$B$11,Paramètres!$A$1:$I$89,5,0)</f>
        <v>187.87392000000006</v>
      </c>
      <c r="BF89" s="13">
        <f t="shared" si="91"/>
        <v>47.069599349044694</v>
      </c>
      <c r="BG89" s="20">
        <f t="shared" si="61"/>
        <v>409.19329619958626</v>
      </c>
      <c r="BH89" s="59">
        <f t="shared" si="62"/>
        <v>702.52662953291951</v>
      </c>
      <c r="BI89" s="59">
        <f ca="1">AVERAGE(OFFSET($BH$3,0,0,'Données projet'!$E$11+1,1))-AVERAGE(OFFSET($H$3,0,0,'Données projet'!$E$11+1,1))</f>
        <v>181.20458942529478</v>
      </c>
      <c r="BJ89" s="59">
        <f t="shared" si="92"/>
        <v>144.05254691566421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36.093516786465379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36.093516786465379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214</v>
      </c>
      <c r="BZ89" s="13">
        <f>BY89*VLOOKUP('Données projet'!$B$12,Paramètres!$A$1:$I$89,3,0)*VLOOKUP('Données projet'!$B$12,Paramètres!$A$1:$I$89,5,0)</f>
        <v>186.95040000000003</v>
      </c>
      <c r="CA89" s="13">
        <f t="shared" si="93"/>
        <v>46.865095976617653</v>
      </c>
      <c r="CB89" s="20">
        <f t="shared" si="64"/>
        <v>407.22865549260911</v>
      </c>
      <c r="CC89" s="59">
        <f t="shared" si="65"/>
        <v>700.56198882594242</v>
      </c>
      <c r="CD89" s="59">
        <f ca="1">AVERAGE(OFFSET($CC$3,0,0,'Données projet'!$E$12+1,1))-AVERAGE(OFFSET($H$3,0,0,'Données projet'!$E$12+1,1))</f>
        <v>164.24405955980575</v>
      </c>
      <c r="CE89" s="59">
        <f t="shared" si="94"/>
        <v>379.20713858755209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148.39628895278571</v>
      </c>
      <c r="AO90" s="59">
        <f t="shared" si="90"/>
        <v>361.07991692964788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28.102072230549108</v>
      </c>
      <c r="AW90" s="21">
        <f>EXP(-LN(2)/2)*AW89+(1-EXP(-LN(2)/2))/(LN(2)/2)*AQ90*AT90*VLOOKUP('Données projet'!$B$10,Paramètres!$A$1:$I$89,3,0)*0.475*44/12</f>
        <v>1.1843792848347432E-10</v>
      </c>
      <c r="AX90" s="21">
        <f t="shared" si="60"/>
        <v>28.102072230667545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3.6</v>
      </c>
      <c r="BD90" s="12">
        <f>IF('Données projet'!$A$88&gt;35,BD89+BC90-BL89,IF(A90&lt;'Données projet'!$A$88,$BA$205^A90,IF(A90='Données projet'!$A$88,'Données projet'!$B$88,BD89+BC90-BL89)))</f>
        <v>235.20000000000005</v>
      </c>
      <c r="BE90" s="13">
        <f>BD90*VLOOKUP('Données projet'!$B$11,Paramètres!$A$1:$I$89,3,0)*VLOOKUP('Données projet'!$B$11,Paramètres!$A$1:$I$89,5,0)</f>
        <v>190.79424000000006</v>
      </c>
      <c r="BF90" s="13">
        <f t="shared" si="91"/>
        <v>47.715505384501149</v>
      </c>
      <c r="BG90" s="20">
        <f t="shared" si="61"/>
        <v>415.40447321133956</v>
      </c>
      <c r="BH90" s="59">
        <f t="shared" si="62"/>
        <v>708.73780654467282</v>
      </c>
      <c r="BI90" s="59">
        <f ca="1">AVERAGE(OFFSET($BH$3,0,0,'Données projet'!$E$11+1,1))-AVERAGE(OFFSET($H$3,0,0,'Données projet'!$E$11+1,1))</f>
        <v>181.20458942529478</v>
      </c>
      <c r="BJ90" s="59">
        <f t="shared" si="92"/>
        <v>144.05254691566421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35.385744937154243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35.385744937154243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214</v>
      </c>
      <c r="BZ90" s="13">
        <f>BY90*VLOOKUP('Données projet'!$B$12,Paramètres!$A$1:$I$89,3,0)*VLOOKUP('Données projet'!$B$12,Paramètres!$A$1:$I$89,5,0)</f>
        <v>186.95040000000003</v>
      </c>
      <c r="CA90" s="13">
        <f t="shared" si="93"/>
        <v>46.865095976617653</v>
      </c>
      <c r="CB90" s="20">
        <f t="shared" si="64"/>
        <v>407.22865549260911</v>
      </c>
      <c r="CC90" s="59">
        <f t="shared" si="65"/>
        <v>700.56198882594242</v>
      </c>
      <c r="CD90" s="59">
        <f ca="1">AVERAGE(OFFSET($CC$3,0,0,'Données projet'!$E$12+1,1))-AVERAGE(OFFSET($H$3,0,0,'Données projet'!$E$12+1,1))</f>
        <v>164.24405955980575</v>
      </c>
      <c r="CE90" s="59">
        <f t="shared" si="94"/>
        <v>379.20713858755209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148.39628895278571</v>
      </c>
      <c r="AO91" s="59">
        <f t="shared" si="90"/>
        <v>361.07991692964788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27.333619587580994</v>
      </c>
      <c r="AW91" s="21">
        <f>EXP(-LN(2)/2)*AW90+(1-EXP(-LN(2)/2))/(LN(2)/2)*AQ91*AT91*VLOOKUP('Données projet'!$B$10,Paramètres!$A$1:$I$89,3,0)*0.475*44/12</f>
        <v>8.3748262380352044E-11</v>
      </c>
      <c r="AX91" s="21">
        <f t="shared" si="60"/>
        <v>27.333619587664742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3.6</v>
      </c>
      <c r="BD91" s="12">
        <f>IF('Données projet'!$A$88&gt;35,BD90+BC91-BL90,IF(A91&lt;'Données projet'!$A$88,$BA$205^A91,IF(A91='Données projet'!$A$88,'Données projet'!$B$88,BD90+BC91-BL90)))</f>
        <v>238.80000000000004</v>
      </c>
      <c r="BE91" s="13">
        <f>BD91*VLOOKUP('Données projet'!$B$11,Paramètres!$A$1:$I$89,3,0)*VLOOKUP('Données projet'!$B$11,Paramètres!$A$1:$I$89,5,0)</f>
        <v>193.71456000000006</v>
      </c>
      <c r="BF91" s="13">
        <f t="shared" si="91"/>
        <v>48.360261629719496</v>
      </c>
      <c r="BG91" s="20">
        <f t="shared" si="61"/>
        <v>421.61364767176156</v>
      </c>
      <c r="BH91" s="59">
        <f t="shared" si="62"/>
        <v>714.94698100509481</v>
      </c>
      <c r="BI91" s="59">
        <f ca="1">AVERAGE(OFFSET($BH$3,0,0,'Données projet'!$E$11+1,1))-AVERAGE(OFFSET($H$3,0,0,'Données projet'!$E$11+1,1))</f>
        <v>181.20458942529478</v>
      </c>
      <c r="BJ91" s="59">
        <f t="shared" si="92"/>
        <v>144.05254691566421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34.691852062109902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34.691852062109902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214</v>
      </c>
      <c r="BZ91" s="13">
        <f>BY91*VLOOKUP('Données projet'!$B$12,Paramètres!$A$1:$I$89,3,0)*VLOOKUP('Données projet'!$B$12,Paramètres!$A$1:$I$89,5,0)</f>
        <v>186.95040000000003</v>
      </c>
      <c r="CA91" s="13">
        <f t="shared" si="93"/>
        <v>46.865095976617653</v>
      </c>
      <c r="CB91" s="20">
        <f t="shared" si="64"/>
        <v>407.22865549260911</v>
      </c>
      <c r="CC91" s="59">
        <f t="shared" si="65"/>
        <v>700.56198882594242</v>
      </c>
      <c r="CD91" s="59">
        <f ca="1">AVERAGE(OFFSET($CC$3,0,0,'Données projet'!$E$12+1,1))-AVERAGE(OFFSET($H$3,0,0,'Données projet'!$E$12+1,1))</f>
        <v>164.24405955980575</v>
      </c>
      <c r="CE91" s="59">
        <f t="shared" si="94"/>
        <v>379.20713858755209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148.39628895278571</v>
      </c>
      <c r="AO92" s="59">
        <f t="shared" si="90"/>
        <v>361.07991692964788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26.58618032254601</v>
      </c>
      <c r="AW92" s="21">
        <f>EXP(-LN(2)/2)*AW91+(1-EXP(-LN(2)/2))/(LN(2)/2)*AQ92*AT92*VLOOKUP('Données projet'!$B$10,Paramètres!$A$1:$I$89,3,0)*0.475*44/12</f>
        <v>5.9218964241737162E-11</v>
      </c>
      <c r="AX92" s="21">
        <f t="shared" si="60"/>
        <v>26.58618032260523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3.6</v>
      </c>
      <c r="BD92" s="12">
        <f>IF('Données projet'!$A$88&gt;35,BD91+BC92-BL91,IF(A92&lt;'Données projet'!$A$88,$BA$205^A92,IF(A92='Données projet'!$A$88,'Données projet'!$B$88,BD91+BC92-BL91)))</f>
        <v>242.40000000000003</v>
      </c>
      <c r="BE92" s="13">
        <f>BD92*VLOOKUP('Données projet'!$B$11,Paramètres!$A$1:$I$89,3,0)*VLOOKUP('Données projet'!$B$11,Paramètres!$A$1:$I$89,5,0)</f>
        <v>196.63488000000004</v>
      </c>
      <c r="BF92" s="13">
        <f t="shared" si="91"/>
        <v>49.003887420349095</v>
      </c>
      <c r="BG92" s="20">
        <f t="shared" si="61"/>
        <v>427.82085325710801</v>
      </c>
      <c r="BH92" s="59">
        <f t="shared" si="62"/>
        <v>721.15418659044133</v>
      </c>
      <c r="BI92" s="59">
        <f ca="1">AVERAGE(OFFSET($BH$3,0,0,'Données projet'!$E$11+1,1))-AVERAGE(OFFSET($H$3,0,0,'Données projet'!$E$11+1,1))</f>
        <v>181.20458942529478</v>
      </c>
      <c r="BJ92" s="59">
        <f t="shared" si="92"/>
        <v>144.05254691566421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34.011566003112314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34.011566003112314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214</v>
      </c>
      <c r="BZ92" s="13">
        <f>BY92*VLOOKUP('Données projet'!$B$12,Paramètres!$A$1:$I$89,3,0)*VLOOKUP('Données projet'!$B$12,Paramètres!$A$1:$I$89,5,0)</f>
        <v>186.95040000000003</v>
      </c>
      <c r="CA92" s="13">
        <f t="shared" si="93"/>
        <v>46.865095976617653</v>
      </c>
      <c r="CB92" s="20">
        <f t="shared" si="64"/>
        <v>407.22865549260911</v>
      </c>
      <c r="CC92" s="59">
        <f t="shared" si="65"/>
        <v>700.56198882594242</v>
      </c>
      <c r="CD92" s="59">
        <f ca="1">AVERAGE(OFFSET($CC$3,0,0,'Données projet'!$E$12+1,1))-AVERAGE(OFFSET($H$3,0,0,'Données projet'!$E$12+1,1))</f>
        <v>164.24405955980575</v>
      </c>
      <c r="CE92" s="59">
        <f t="shared" si="94"/>
        <v>379.20713858755209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148.39628895278571</v>
      </c>
      <c r="AO93" s="59">
        <f t="shared" si="90"/>
        <v>361.07991692964788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25.859179823519529</v>
      </c>
      <c r="AW93" s="21">
        <f>EXP(-LN(2)/2)*AW92+(1-EXP(-LN(2)/2))/(LN(2)/2)*AQ93*AT93*VLOOKUP('Données projet'!$B$10,Paramètres!$A$1:$I$89,3,0)*0.475*44/12</f>
        <v>4.1874131190176022E-11</v>
      </c>
      <c r="AX93" s="21">
        <f t="shared" si="60"/>
        <v>25.859179823561405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246</v>
      </c>
      <c r="BB93" s="12">
        <f>VLOOKUP(A93,'Données projet'!$A$87:$I$107,9,0)</f>
        <v>3.6</v>
      </c>
      <c r="BC93" s="12">
        <f t="array" ref="BC93">INDEX(BB:BB,MIN(IF(ISNUMBER(BB93:BB289),ROW(BB93:BB289),"")))</f>
        <v>3.6</v>
      </c>
      <c r="BD93" s="12">
        <f>IF('Données projet'!$A$88&gt;35,BD92+BC93-BL92,IF(A93&lt;'Données projet'!$A$88,$BA$205^A93,IF(A93='Données projet'!$A$88,'Données projet'!$B$88,BD92+BC93-BL92)))</f>
        <v>246.00000000000003</v>
      </c>
      <c r="BE93" s="13">
        <f>BD93*VLOOKUP('Données projet'!$B$11,Paramètres!$A$1:$I$89,3,0)*VLOOKUP('Données projet'!$B$11,Paramètres!$A$1:$I$89,5,0)</f>
        <v>199.55520000000004</v>
      </c>
      <c r="BF93" s="13">
        <f t="shared" si="91"/>
        <v>49.646401484745567</v>
      </c>
      <c r="BG93" s="20">
        <f t="shared" si="61"/>
        <v>434.02612258593189</v>
      </c>
      <c r="BH93" s="59">
        <f t="shared" si="62"/>
        <v>727.3594559192652</v>
      </c>
      <c r="BI93" s="59">
        <f ca="1">AVERAGE(OFFSET($BH$3,0,0,'Données projet'!$E$11+1,1))-AVERAGE(OFFSET($H$3,0,0,'Données projet'!$E$11+1,1))</f>
        <v>181.20458942529478</v>
      </c>
      <c r="BJ93" s="59">
        <f t="shared" si="92"/>
        <v>144.05254691566421</v>
      </c>
      <c r="BK93" s="15">
        <f>IF(ISNA(VLOOKUP(A93,'Données projet'!$A$87:$I$107,3,0)),0,VLOOKUP(A93,'Données projet'!$A$87:$I$107,3,0))</f>
        <v>15</v>
      </c>
      <c r="BL93" s="15">
        <f>IF(ISNA(VLOOKUP(A93,'Données projet'!$A$87:$I$107,4,0)),0,VLOOKUP(A93,'Données projet'!$A$87:$I$107,4,0))</f>
        <v>12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37.971889009684133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37.971889009684133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214</v>
      </c>
      <c r="BZ93" s="13">
        <f>BY93*VLOOKUP('Données projet'!$B$12,Paramètres!$A$1:$I$89,3,0)*VLOOKUP('Données projet'!$B$12,Paramètres!$A$1:$I$89,5,0)</f>
        <v>186.95040000000003</v>
      </c>
      <c r="CA93" s="13">
        <f t="shared" si="93"/>
        <v>46.865095976617653</v>
      </c>
      <c r="CB93" s="20">
        <f t="shared" si="64"/>
        <v>407.22865549260911</v>
      </c>
      <c r="CC93" s="59">
        <f t="shared" si="65"/>
        <v>700.56198882594242</v>
      </c>
      <c r="CD93" s="59">
        <f ca="1">AVERAGE(OFFSET($CC$3,0,0,'Données projet'!$E$12+1,1))-AVERAGE(OFFSET($H$3,0,0,'Données projet'!$E$12+1,1))</f>
        <v>164.24405955980575</v>
      </c>
      <c r="CE93" s="59">
        <f t="shared" si="94"/>
        <v>379.20713858755209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148.39628895278571</v>
      </c>
      <c r="AO94" s="59">
        <f t="shared" si="90"/>
        <v>361.07991692964788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25.152059191370224</v>
      </c>
      <c r="AW94" s="21">
        <f>EXP(-LN(2)/2)*AW93+(1-EXP(-LN(2)/2))/(LN(2)/2)*AQ94*AT94*VLOOKUP('Données projet'!$B$10,Paramètres!$A$1:$I$89,3,0)*0.475*44/12</f>
        <v>2.9609482120868581E-11</v>
      </c>
      <c r="AX94" s="21">
        <f t="shared" si="60"/>
        <v>25.152059191399832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234.00000000000003</v>
      </c>
      <c r="BE94" s="13">
        <f>BD94*VLOOKUP('Données projet'!$B$11,Paramètres!$A$1:$I$89,3,0)*VLOOKUP('Données projet'!$B$11,Paramètres!$A$1:$I$89,5,0)</f>
        <v>189.82080000000005</v>
      </c>
      <c r="BF94" s="13">
        <f t="shared" si="91"/>
        <v>47.500332100049796</v>
      </c>
      <c r="BG94" s="20">
        <f t="shared" si="61"/>
        <v>413.33430507425345</v>
      </c>
      <c r="BH94" s="59">
        <f t="shared" si="62"/>
        <v>706.66763840758676</v>
      </c>
      <c r="BI94" s="59">
        <f ca="1">AVERAGE(OFFSET($BH$3,0,0,'Données projet'!$E$11+1,1))-AVERAGE(OFFSET($H$3,0,0,'Données projet'!$E$11+1,1))</f>
        <v>181.20458942529478</v>
      </c>
      <c r="BJ94" s="59">
        <f t="shared" si="92"/>
        <v>144.05254691566421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37.22728342676961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37.22728342676961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214</v>
      </c>
      <c r="BZ94" s="13">
        <f>BY94*VLOOKUP('Données projet'!$B$12,Paramètres!$A$1:$I$89,3,0)*VLOOKUP('Données projet'!$B$12,Paramètres!$A$1:$I$89,5,0)</f>
        <v>186.95040000000003</v>
      </c>
      <c r="CA94" s="13">
        <f t="shared" si="93"/>
        <v>46.865095976617653</v>
      </c>
      <c r="CB94" s="20">
        <f t="shared" si="64"/>
        <v>407.22865549260911</v>
      </c>
      <c r="CC94" s="59">
        <f t="shared" si="65"/>
        <v>700.56198882594242</v>
      </c>
      <c r="CD94" s="59">
        <f ca="1">AVERAGE(OFFSET($CC$3,0,0,'Données projet'!$E$12+1,1))-AVERAGE(OFFSET($H$3,0,0,'Données projet'!$E$12+1,1))</f>
        <v>164.24405955980575</v>
      </c>
      <c r="CE94" s="59">
        <f t="shared" si="94"/>
        <v>379.20713858755209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148.39628895278571</v>
      </c>
      <c r="AO95" s="59">
        <f t="shared" si="90"/>
        <v>361.07991692964788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24.464274810092899</v>
      </c>
      <c r="AW95" s="21">
        <f>EXP(-LN(2)/2)*AW94+(1-EXP(-LN(2)/2))/(LN(2)/2)*AQ95*AT95*VLOOKUP('Données projet'!$B$10,Paramètres!$A$1:$I$89,3,0)*0.475*44/12</f>
        <v>2.0937065595088011E-11</v>
      </c>
      <c r="AX95" s="21">
        <f t="shared" si="60"/>
        <v>24.464274810113835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234.00000000000003</v>
      </c>
      <c r="BE95" s="13">
        <f>BD95*VLOOKUP('Données projet'!$B$11,Paramètres!$A$1:$I$89,3,0)*VLOOKUP('Données projet'!$B$11,Paramètres!$A$1:$I$89,5,0)</f>
        <v>189.82080000000005</v>
      </c>
      <c r="BF95" s="13">
        <f t="shared" si="91"/>
        <v>47.500332100049796</v>
      </c>
      <c r="BG95" s="20">
        <f t="shared" si="61"/>
        <v>413.33430507425345</v>
      </c>
      <c r="BH95" s="59">
        <f t="shared" si="62"/>
        <v>706.66763840758676</v>
      </c>
      <c r="BI95" s="59">
        <f ca="1">AVERAGE(OFFSET($BH$3,0,0,'Données projet'!$E$11+1,1))-AVERAGE(OFFSET($H$3,0,0,'Données projet'!$E$11+1,1))</f>
        <v>181.20458942529478</v>
      </c>
      <c r="BJ95" s="59">
        <f t="shared" si="92"/>
        <v>144.05254691566421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36.497279105171479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36.497279105171479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214</v>
      </c>
      <c r="BZ95" s="13">
        <f>BY95*VLOOKUP('Données projet'!$B$12,Paramètres!$A$1:$I$89,3,0)*VLOOKUP('Données projet'!$B$12,Paramètres!$A$1:$I$89,5,0)</f>
        <v>186.95040000000003</v>
      </c>
      <c r="CA95" s="13">
        <f t="shared" si="93"/>
        <v>46.865095976617653</v>
      </c>
      <c r="CB95" s="20">
        <f t="shared" si="64"/>
        <v>407.22865549260911</v>
      </c>
      <c r="CC95" s="59">
        <f t="shared" si="65"/>
        <v>700.56198882594242</v>
      </c>
      <c r="CD95" s="59">
        <f ca="1">AVERAGE(OFFSET($CC$3,0,0,'Données projet'!$E$12+1,1))-AVERAGE(OFFSET($H$3,0,0,'Données projet'!$E$12+1,1))</f>
        <v>164.24405955980575</v>
      </c>
      <c r="CE95" s="59">
        <f t="shared" si="94"/>
        <v>379.20713858755209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148.39628895278571</v>
      </c>
      <c r="AO96" s="59">
        <f t="shared" si="90"/>
        <v>361.07991692964788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23.795297928890609</v>
      </c>
      <c r="AW96" s="21">
        <f>EXP(-LN(2)/2)*AW95+(1-EXP(-LN(2)/2))/(LN(2)/2)*AQ96*AT96*VLOOKUP('Données projet'!$B$10,Paramètres!$A$1:$I$89,3,0)*0.475*44/12</f>
        <v>1.480474106043429E-11</v>
      </c>
      <c r="AX96" s="21">
        <f t="shared" si="60"/>
        <v>23.795297928905413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234.00000000000003</v>
      </c>
      <c r="BE96" s="13">
        <f>BD96*VLOOKUP('Données projet'!$B$11,Paramètres!$A$1:$I$89,3,0)*VLOOKUP('Données projet'!$B$11,Paramètres!$A$1:$I$89,5,0)</f>
        <v>189.82080000000005</v>
      </c>
      <c r="BF96" s="13">
        <f t="shared" si="91"/>
        <v>47.500332100049796</v>
      </c>
      <c r="BG96" s="20">
        <f t="shared" si="61"/>
        <v>413.33430507425345</v>
      </c>
      <c r="BH96" s="59">
        <f t="shared" si="62"/>
        <v>706.66763840758676</v>
      </c>
      <c r="BI96" s="59">
        <f ca="1">AVERAGE(OFFSET($BH$3,0,0,'Données projet'!$E$11+1,1))-AVERAGE(OFFSET($H$3,0,0,'Données projet'!$E$11+1,1))</f>
        <v>181.20458942529478</v>
      </c>
      <c r="BJ96" s="59">
        <f t="shared" si="92"/>
        <v>144.05254691566421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35.781589723061217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35.781589723061217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214</v>
      </c>
      <c r="BZ96" s="13">
        <f>BY96*VLOOKUP('Données projet'!$B$12,Paramètres!$A$1:$I$89,3,0)*VLOOKUP('Données projet'!$B$12,Paramètres!$A$1:$I$89,5,0)</f>
        <v>186.95040000000003</v>
      </c>
      <c r="CA96" s="13">
        <f t="shared" si="93"/>
        <v>46.865095976617653</v>
      </c>
      <c r="CB96" s="20">
        <f t="shared" si="64"/>
        <v>407.22865549260911</v>
      </c>
      <c r="CC96" s="59">
        <f t="shared" si="65"/>
        <v>700.56198882594242</v>
      </c>
      <c r="CD96" s="59">
        <f ca="1">AVERAGE(OFFSET($CC$3,0,0,'Données projet'!$E$12+1,1))-AVERAGE(OFFSET($H$3,0,0,'Données projet'!$E$12+1,1))</f>
        <v>164.24405955980575</v>
      </c>
      <c r="CE96" s="59">
        <f t="shared" si="94"/>
        <v>379.20713858755209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148.39628895278571</v>
      </c>
      <c r="AO97" s="59">
        <f t="shared" si="90"/>
        <v>361.07991692964788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23.144614255684761</v>
      </c>
      <c r="AW97" s="21">
        <f>EXP(-LN(2)/2)*AW96+(1-EXP(-LN(2)/2))/(LN(2)/2)*AQ97*AT97*VLOOKUP('Données projet'!$B$10,Paramètres!$A$1:$I$89,3,0)*0.475*44/12</f>
        <v>1.0468532797544005E-11</v>
      </c>
      <c r="AX97" s="21">
        <f t="shared" si="60"/>
        <v>23.144614255695231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234.00000000000003</v>
      </c>
      <c r="BE97" s="13">
        <f>BD97*VLOOKUP('Données projet'!$B$11,Paramètres!$A$1:$I$89,3,0)*VLOOKUP('Données projet'!$B$11,Paramètres!$A$1:$I$89,5,0)</f>
        <v>189.82080000000005</v>
      </c>
      <c r="BF97" s="13">
        <f t="shared" si="91"/>
        <v>47.500332100049796</v>
      </c>
      <c r="BG97" s="20">
        <f t="shared" si="61"/>
        <v>413.33430507425345</v>
      </c>
      <c r="BH97" s="59">
        <f t="shared" si="62"/>
        <v>706.66763840758676</v>
      </c>
      <c r="BI97" s="59">
        <f ca="1">AVERAGE(OFFSET($BH$3,0,0,'Données projet'!$E$11+1,1))-AVERAGE(OFFSET($H$3,0,0,'Données projet'!$E$11+1,1))</f>
        <v>181.20458942529478</v>
      </c>
      <c r="BJ97" s="59">
        <f t="shared" si="92"/>
        <v>144.05254691566421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35.079934573206714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35.079934573206714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214</v>
      </c>
      <c r="BZ97" s="13">
        <f>BY97*VLOOKUP('Données projet'!$B$12,Paramètres!$A$1:$I$89,3,0)*VLOOKUP('Données projet'!$B$12,Paramètres!$A$1:$I$89,5,0)</f>
        <v>186.95040000000003</v>
      </c>
      <c r="CA97" s="13">
        <f t="shared" si="93"/>
        <v>46.865095976617653</v>
      </c>
      <c r="CB97" s="20">
        <f t="shared" si="64"/>
        <v>407.22865549260911</v>
      </c>
      <c r="CC97" s="59">
        <f t="shared" si="65"/>
        <v>700.56198882594242</v>
      </c>
      <c r="CD97" s="59">
        <f ca="1">AVERAGE(OFFSET($CC$3,0,0,'Données projet'!$E$12+1,1))-AVERAGE(OFFSET($H$3,0,0,'Données projet'!$E$12+1,1))</f>
        <v>164.24405955980575</v>
      </c>
      <c r="CE97" s="59">
        <f t="shared" si="94"/>
        <v>379.20713858755209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148.39628895278571</v>
      </c>
      <c r="AO98" s="59">
        <f t="shared" si="90"/>
        <v>361.07991692964788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22.511723561740695</v>
      </c>
      <c r="AW98" s="21">
        <f>EXP(-LN(2)/2)*AW97+(1-EXP(-LN(2)/2))/(LN(2)/2)*AQ98*AT98*VLOOKUP('Données projet'!$B$10,Paramètres!$A$1:$I$89,3,0)*0.475*44/12</f>
        <v>7.4023705302171452E-12</v>
      </c>
      <c r="AX98" s="21">
        <f t="shared" si="60"/>
        <v>22.511723561748099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234.00000000000003</v>
      </c>
      <c r="BE98" s="13">
        <f>BD98*VLOOKUP('Données projet'!$B$11,Paramètres!$A$1:$I$89,3,0)*VLOOKUP('Données projet'!$B$11,Paramètres!$A$1:$I$89,5,0)</f>
        <v>189.82080000000005</v>
      </c>
      <c r="BF98" s="13">
        <f t="shared" si="91"/>
        <v>47.500332100049796</v>
      </c>
      <c r="BG98" s="20">
        <f t="shared" si="61"/>
        <v>413.33430507425345</v>
      </c>
      <c r="BH98" s="59">
        <f t="shared" si="62"/>
        <v>706.66763840758676</v>
      </c>
      <c r="BI98" s="59">
        <f ca="1">AVERAGE(OFFSET($BH$3,0,0,'Données projet'!$E$11+1,1))-AVERAGE(OFFSET($H$3,0,0,'Données projet'!$E$11+1,1))</f>
        <v>181.20458942529478</v>
      </c>
      <c r="BJ98" s="59">
        <f t="shared" si="92"/>
        <v>144.05254691566421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34.392038452873479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34.392038452873479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214</v>
      </c>
      <c r="BZ98" s="13">
        <f>BY98*VLOOKUP('Données projet'!$B$12,Paramètres!$A$1:$I$89,3,0)*VLOOKUP('Données projet'!$B$12,Paramètres!$A$1:$I$89,5,0)</f>
        <v>186.95040000000003</v>
      </c>
      <c r="CA98" s="13">
        <f t="shared" si="93"/>
        <v>46.865095976617653</v>
      </c>
      <c r="CB98" s="20">
        <f t="shared" si="64"/>
        <v>407.22865549260911</v>
      </c>
      <c r="CC98" s="59">
        <f t="shared" si="65"/>
        <v>700.56198882594242</v>
      </c>
      <c r="CD98" s="59">
        <f ca="1">AVERAGE(OFFSET($CC$3,0,0,'Données projet'!$E$12+1,1))-AVERAGE(OFFSET($H$3,0,0,'Données projet'!$E$12+1,1))</f>
        <v>164.24405955980575</v>
      </c>
      <c r="CE98" s="59">
        <f t="shared" si="94"/>
        <v>379.20713858755209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148.39628895278571</v>
      </c>
      <c r="AO99" s="59">
        <f t="shared" si="90"/>
        <v>361.07991692964788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21.896139297104806</v>
      </c>
      <c r="AW99" s="21">
        <f>EXP(-LN(2)/2)*AW98+(1-EXP(-LN(2)/2))/(LN(2)/2)*AQ99*AT99*VLOOKUP('Données projet'!$B$10,Paramètres!$A$1:$I$89,3,0)*0.475*44/12</f>
        <v>5.2342663987720027E-12</v>
      </c>
      <c r="AX99" s="21">
        <f t="shared" si="60"/>
        <v>21.896139297110039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234.00000000000003</v>
      </c>
      <c r="BE99" s="13">
        <f>BD99*VLOOKUP('Données projet'!$B$11,Paramètres!$A$1:$I$89,3,0)*VLOOKUP('Données projet'!$B$11,Paramètres!$A$1:$I$89,5,0)</f>
        <v>189.82080000000005</v>
      </c>
      <c r="BF99" s="13">
        <f t="shared" si="91"/>
        <v>47.500332100049796</v>
      </c>
      <c r="BG99" s="20">
        <f t="shared" si="61"/>
        <v>413.33430507425345</v>
      </c>
      <c r="BH99" s="59">
        <f t="shared" si="62"/>
        <v>706.66763840758676</v>
      </c>
      <c r="BI99" s="59">
        <f ca="1">AVERAGE(OFFSET($BH$3,0,0,'Données projet'!$E$11+1,1))-AVERAGE(OFFSET($H$3,0,0,'Données projet'!$E$11+1,1))</f>
        <v>181.20458942529478</v>
      </c>
      <c r="BJ99" s="59">
        <f t="shared" si="92"/>
        <v>144.05254691566421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33.717631555884772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33.717631555884772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214</v>
      </c>
      <c r="BZ99" s="13">
        <f>BY99*VLOOKUP('Données projet'!$B$12,Paramètres!$A$1:$I$89,3,0)*VLOOKUP('Données projet'!$B$12,Paramètres!$A$1:$I$89,5,0)</f>
        <v>186.95040000000003</v>
      </c>
      <c r="CA99" s="13">
        <f t="shared" si="93"/>
        <v>46.865095976617653</v>
      </c>
      <c r="CB99" s="20">
        <f t="shared" si="64"/>
        <v>407.22865549260911</v>
      </c>
      <c r="CC99" s="59">
        <f t="shared" si="65"/>
        <v>700.56198882594242</v>
      </c>
      <c r="CD99" s="59">
        <f ca="1">AVERAGE(OFFSET($CC$3,0,0,'Données projet'!$E$12+1,1))-AVERAGE(OFFSET($H$3,0,0,'Données projet'!$E$12+1,1))</f>
        <v>164.24405955980575</v>
      </c>
      <c r="CE99" s="59">
        <f t="shared" si="94"/>
        <v>379.20713858755209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148.39628895278571</v>
      </c>
      <c r="AO100" s="59">
        <f t="shared" si="90"/>
        <v>361.07991692964788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21.297388216557554</v>
      </c>
      <c r="AW100" s="21">
        <f>EXP(-LN(2)/2)*AW99+(1-EXP(-LN(2)/2))/(LN(2)/2)*AQ100*AT100*VLOOKUP('Données projet'!$B$10,Paramètres!$A$1:$I$89,3,0)*0.475*44/12</f>
        <v>3.7011852651085726E-12</v>
      </c>
      <c r="AX100" s="21">
        <f t="shared" si="60"/>
        <v>21.297388216561256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234.00000000000003</v>
      </c>
      <c r="BE100" s="13">
        <f>BD100*VLOOKUP('Données projet'!$B$11,Paramètres!$A$1:$I$89,3,0)*VLOOKUP('Données projet'!$B$11,Paramètres!$A$1:$I$89,5,0)</f>
        <v>189.82080000000005</v>
      </c>
      <c r="BF100" s="13">
        <f t="shared" si="91"/>
        <v>47.500332100049796</v>
      </c>
      <c r="BG100" s="20">
        <f t="shared" si="61"/>
        <v>413.33430507425345</v>
      </c>
      <c r="BH100" s="59">
        <f t="shared" si="62"/>
        <v>706.66763840758676</v>
      </c>
      <c r="BI100" s="59">
        <f ca="1">AVERAGE(OFFSET($BH$3,0,0,'Données projet'!$E$11+1,1))-AVERAGE(OFFSET($H$3,0,0,'Données projet'!$E$11+1,1))</f>
        <v>181.20458942529478</v>
      </c>
      <c r="BJ100" s="59">
        <f t="shared" si="92"/>
        <v>144.05254691566421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33.056449366798425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33.056449366798425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214</v>
      </c>
      <c r="BZ100" s="13">
        <f>BY100*VLOOKUP('Données projet'!$B$12,Paramètres!$A$1:$I$89,3,0)*VLOOKUP('Données projet'!$B$12,Paramètres!$A$1:$I$89,5,0)</f>
        <v>186.95040000000003</v>
      </c>
      <c r="CA100" s="13">
        <f t="shared" si="93"/>
        <v>46.865095976617653</v>
      </c>
      <c r="CB100" s="20">
        <f t="shared" si="64"/>
        <v>407.22865549260911</v>
      </c>
      <c r="CC100" s="59">
        <f t="shared" si="65"/>
        <v>700.56198882594242</v>
      </c>
      <c r="CD100" s="59">
        <f ca="1">AVERAGE(OFFSET($CC$3,0,0,'Données projet'!$E$12+1,1))-AVERAGE(OFFSET($H$3,0,0,'Données projet'!$E$12+1,1))</f>
        <v>164.24405955980575</v>
      </c>
      <c r="CE100" s="59">
        <f t="shared" si="94"/>
        <v>379.20713858755209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148.39628895278571</v>
      </c>
      <c r="AO101" s="59">
        <f t="shared" si="90"/>
        <v>361.07991692964788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20.715010015794817</v>
      </c>
      <c r="AW101" s="21">
        <f>EXP(-LN(2)/2)*AW100+(1-EXP(-LN(2)/2))/(LN(2)/2)*AQ101*AT101*VLOOKUP('Données projet'!$B$10,Paramètres!$A$1:$I$89,3,0)*0.475*44/12</f>
        <v>2.6171331993860014E-12</v>
      </c>
      <c r="AX101" s="21">
        <f t="shared" si="60"/>
        <v>20.715010015797436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234.00000000000003</v>
      </c>
      <c r="BE101" s="13">
        <f>BD101*VLOOKUP('Données projet'!$B$11,Paramètres!$A$1:$I$89,3,0)*VLOOKUP('Données projet'!$B$11,Paramètres!$A$1:$I$89,5,0)</f>
        <v>189.82080000000005</v>
      </c>
      <c r="BF101" s="13">
        <f t="shared" si="91"/>
        <v>47.500332100049796</v>
      </c>
      <c r="BG101" s="20">
        <f t="shared" si="61"/>
        <v>413.33430507425345</v>
      </c>
      <c r="BH101" s="59">
        <f t="shared" si="62"/>
        <v>706.66763840758676</v>
      </c>
      <c r="BI101" s="59">
        <f ca="1">AVERAGE(OFFSET($BH$3,0,0,'Données projet'!$E$11+1,1))-AVERAGE(OFFSET($H$3,0,0,'Données projet'!$E$11+1,1))</f>
        <v>181.20458942529478</v>
      </c>
      <c r="BJ101" s="59">
        <f t="shared" si="92"/>
        <v>144.05254691566421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32.408232557158748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32.408232557158748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214</v>
      </c>
      <c r="BZ101" s="13">
        <f>BY101*VLOOKUP('Données projet'!$B$12,Paramètres!$A$1:$I$89,3,0)*VLOOKUP('Données projet'!$B$12,Paramètres!$A$1:$I$89,5,0)</f>
        <v>186.95040000000003</v>
      </c>
      <c r="CA101" s="13">
        <f t="shared" si="93"/>
        <v>46.865095976617653</v>
      </c>
      <c r="CB101" s="20">
        <f t="shared" si="64"/>
        <v>407.22865549260911</v>
      </c>
      <c r="CC101" s="59">
        <f t="shared" si="65"/>
        <v>700.56198882594242</v>
      </c>
      <c r="CD101" s="59">
        <f ca="1">AVERAGE(OFFSET($CC$3,0,0,'Données projet'!$E$12+1,1))-AVERAGE(OFFSET($H$3,0,0,'Données projet'!$E$12+1,1))</f>
        <v>164.24405955980575</v>
      </c>
      <c r="CE101" s="59">
        <f t="shared" si="94"/>
        <v>379.20713858755209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148.39628895278571</v>
      </c>
      <c r="AO102" s="59">
        <f t="shared" si="90"/>
        <v>361.07991692964788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20.148556977557877</v>
      </c>
      <c r="AW102" s="21">
        <f>EXP(-LN(2)/2)*AW101+(1-EXP(-LN(2)/2))/(LN(2)/2)*AQ102*AT102*VLOOKUP('Données projet'!$B$10,Paramètres!$A$1:$I$89,3,0)*0.475*44/12</f>
        <v>1.8505926325542863E-12</v>
      </c>
      <c r="AX102" s="21">
        <f t="shared" si="60"/>
        <v>20.148556977559728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234.00000000000003</v>
      </c>
      <c r="BE102" s="13">
        <f>BD102*VLOOKUP('Données projet'!$B$11,Paramètres!$A$1:$I$89,3,0)*VLOOKUP('Données projet'!$B$11,Paramètres!$A$1:$I$89,5,0)</f>
        <v>189.82080000000005</v>
      </c>
      <c r="BF102" s="13">
        <f t="shared" si="91"/>
        <v>47.500332100049796</v>
      </c>
      <c r="BG102" s="20">
        <f t="shared" si="61"/>
        <v>413.33430507425345</v>
      </c>
      <c r="BH102" s="59">
        <f t="shared" si="62"/>
        <v>706.66763840758676</v>
      </c>
      <c r="BI102" s="59">
        <f ca="1">AVERAGE(OFFSET($BH$3,0,0,'Données projet'!$E$11+1,1))-AVERAGE(OFFSET($H$3,0,0,'Données projet'!$E$11+1,1))</f>
        <v>181.20458942529478</v>
      </c>
      <c r="BJ102" s="59">
        <f t="shared" si="92"/>
        <v>144.05254691566421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31.772726883782887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31.772726883782887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214</v>
      </c>
      <c r="BZ102" s="13">
        <f>BY102*VLOOKUP('Données projet'!$B$12,Paramètres!$A$1:$I$89,3,0)*VLOOKUP('Données projet'!$B$12,Paramètres!$A$1:$I$89,5,0)</f>
        <v>186.95040000000003</v>
      </c>
      <c r="CA102" s="13">
        <f t="shared" si="93"/>
        <v>46.865095976617653</v>
      </c>
      <c r="CB102" s="20">
        <f t="shared" si="64"/>
        <v>407.22865549260911</v>
      </c>
      <c r="CC102" s="59">
        <f t="shared" si="65"/>
        <v>700.56198882594242</v>
      </c>
      <c r="CD102" s="59">
        <f ca="1">AVERAGE(OFFSET($CC$3,0,0,'Données projet'!$E$12+1,1))-AVERAGE(OFFSET($H$3,0,0,'Données projet'!$E$12+1,1))</f>
        <v>164.24405955980575</v>
      </c>
      <c r="CE102" s="59">
        <f t="shared" si="94"/>
        <v>379.20713858755209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148.39628895278571</v>
      </c>
      <c r="AO103" s="59">
        <f t="shared" si="90"/>
        <v>361.07991692964788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19.597593627439995</v>
      </c>
      <c r="AW103" s="21">
        <f>EXP(-LN(2)/2)*AW102+(1-EXP(-LN(2)/2))/(LN(2)/2)*AQ103*AT103*VLOOKUP('Données projet'!$B$10,Paramètres!$A$1:$I$89,3,0)*0.475*44/12</f>
        <v>1.3085665996930007E-12</v>
      </c>
      <c r="AX103" s="21">
        <f t="shared" si="60"/>
        <v>19.597593627441302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234.00000000000003</v>
      </c>
      <c r="BE103" s="13">
        <f>BD103*VLOOKUP('Données projet'!$B$11,Paramètres!$A$1:$I$89,3,0)*VLOOKUP('Données projet'!$B$11,Paramètres!$A$1:$I$89,5,0)</f>
        <v>189.82080000000005</v>
      </c>
      <c r="BF103" s="13">
        <f t="shared" si="91"/>
        <v>47.500332100049796</v>
      </c>
      <c r="BG103" s="20">
        <f t="shared" si="61"/>
        <v>413.33430507425345</v>
      </c>
      <c r="BH103" s="59">
        <f t="shared" si="62"/>
        <v>706.66763840758676</v>
      </c>
      <c r="BI103" s="59">
        <f ca="1">AVERAGE(OFFSET($BH$3,0,0,'Données projet'!$E$11+1,1))-AVERAGE(OFFSET($H$3,0,0,'Données projet'!$E$11+1,1))</f>
        <v>181.20458942529478</v>
      </c>
      <c r="BJ103" s="59">
        <f t="shared" si="92"/>
        <v>144.05254691566421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31.149683089041741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31.149683089041741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214</v>
      </c>
      <c r="BZ103" s="13">
        <f>BY103*VLOOKUP('Données projet'!$B$12,Paramètres!$A$1:$I$89,3,0)*VLOOKUP('Données projet'!$B$12,Paramètres!$A$1:$I$89,5,0)</f>
        <v>186.95040000000003</v>
      </c>
      <c r="CA103" s="13">
        <f t="shared" si="93"/>
        <v>46.865095976617653</v>
      </c>
      <c r="CB103" s="20">
        <f t="shared" si="64"/>
        <v>407.22865549260911</v>
      </c>
      <c r="CC103" s="59">
        <f t="shared" si="65"/>
        <v>700.56198882594242</v>
      </c>
      <c r="CD103" s="59">
        <f ca="1">AVERAGE(OFFSET($CC$3,0,0,'Données projet'!$E$12+1,1))-AVERAGE(OFFSET($H$3,0,0,'Données projet'!$E$12+1,1))</f>
        <v>164.24405955980575</v>
      </c>
      <c r="CE103" s="59">
        <f t="shared" si="94"/>
        <v>379.20713858755209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148.39628895278571</v>
      </c>
      <c r="AO104" s="59">
        <f t="shared" si="90"/>
        <v>361.07991692964788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19.061696399104989</v>
      </c>
      <c r="AW104" s="21">
        <f>EXP(-LN(2)/2)*AW103+(1-EXP(-LN(2)/2))/(LN(2)/2)*AQ104*AT104*VLOOKUP('Données projet'!$B$10,Paramètres!$A$1:$I$89,3,0)*0.475*44/12</f>
        <v>9.2529631627714316E-13</v>
      </c>
      <c r="AX104" s="21">
        <f t="shared" si="60"/>
        <v>19.061696399105912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234.00000000000003</v>
      </c>
      <c r="BE104" s="13">
        <f>BD104*VLOOKUP('Données projet'!$B$11,Paramètres!$A$1:$I$89,3,0)*VLOOKUP('Données projet'!$B$11,Paramètres!$A$1:$I$89,5,0)</f>
        <v>189.82080000000005</v>
      </c>
      <c r="BF104" s="13">
        <f t="shared" si="91"/>
        <v>47.500332100049796</v>
      </c>
      <c r="BG104" s="20">
        <f t="shared" si="61"/>
        <v>413.33430507425345</v>
      </c>
      <c r="BH104" s="59">
        <f t="shared" si="62"/>
        <v>706.66763840758676</v>
      </c>
      <c r="BI104" s="59">
        <f ca="1">AVERAGE(OFFSET($BH$3,0,0,'Données projet'!$E$11+1,1))-AVERAGE(OFFSET($H$3,0,0,'Données projet'!$E$11+1,1))</f>
        <v>181.20458942529478</v>
      </c>
      <c r="BJ104" s="59">
        <f t="shared" si="92"/>
        <v>144.05254691566421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30.53885680309628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30.53885680309628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214</v>
      </c>
      <c r="BZ104" s="13">
        <f>BY104*VLOOKUP('Données projet'!$B$12,Paramètres!$A$1:$I$89,3,0)*VLOOKUP('Données projet'!$B$12,Paramètres!$A$1:$I$89,5,0)</f>
        <v>186.95040000000003</v>
      </c>
      <c r="CA104" s="13">
        <f t="shared" si="93"/>
        <v>46.865095976617653</v>
      </c>
      <c r="CB104" s="20">
        <f t="shared" si="64"/>
        <v>407.22865549260911</v>
      </c>
      <c r="CC104" s="59">
        <f t="shared" si="65"/>
        <v>700.56198882594242</v>
      </c>
      <c r="CD104" s="59">
        <f ca="1">AVERAGE(OFFSET($CC$3,0,0,'Données projet'!$E$12+1,1))-AVERAGE(OFFSET($H$3,0,0,'Données projet'!$E$12+1,1))</f>
        <v>164.24405955980575</v>
      </c>
      <c r="CE104" s="59">
        <f t="shared" si="94"/>
        <v>379.20713858755209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148.39628895278571</v>
      </c>
      <c r="AO105" s="59">
        <f t="shared" si="90"/>
        <v>361.07991692964788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18.540453308660414</v>
      </c>
      <c r="AW105" s="21">
        <f>EXP(-LN(2)/2)*AW104+(1-EXP(-LN(2)/2))/(LN(2)/2)*AQ105*AT105*VLOOKUP('Données projet'!$B$10,Paramètres!$A$1:$I$89,3,0)*0.475*44/12</f>
        <v>6.5428329984650034E-13</v>
      </c>
      <c r="AX105" s="21">
        <f t="shared" si="60"/>
        <v>18.540453308661068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234.00000000000003</v>
      </c>
      <c r="BE105" s="13">
        <f>BD105*VLOOKUP('Données projet'!$B$11,Paramètres!$A$1:$I$89,3,0)*VLOOKUP('Données projet'!$B$11,Paramètres!$A$1:$I$89,5,0)</f>
        <v>189.82080000000005</v>
      </c>
      <c r="BF105" s="13">
        <f t="shared" si="91"/>
        <v>47.500332100049796</v>
      </c>
      <c r="BG105" s="20">
        <f t="shared" si="61"/>
        <v>413.33430507425345</v>
      </c>
      <c r="BH105" s="59">
        <f t="shared" si="62"/>
        <v>706.66763840758676</v>
      </c>
      <c r="BI105" s="59">
        <f ca="1">AVERAGE(OFFSET($BH$3,0,0,'Données projet'!$E$11+1,1))-AVERAGE(OFFSET($H$3,0,0,'Données projet'!$E$11+1,1))</f>
        <v>181.20458942529478</v>
      </c>
      <c r="BJ105" s="59">
        <f t="shared" si="92"/>
        <v>144.05254691566421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29.940008448050961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29.940008448050961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214</v>
      </c>
      <c r="BZ105" s="13">
        <f>BY105*VLOOKUP('Données projet'!$B$12,Paramètres!$A$1:$I$89,3,0)*VLOOKUP('Données projet'!$B$12,Paramètres!$A$1:$I$89,5,0)</f>
        <v>186.95040000000003</v>
      </c>
      <c r="CA105" s="13">
        <f t="shared" si="93"/>
        <v>46.865095976617653</v>
      </c>
      <c r="CB105" s="20">
        <f t="shared" si="64"/>
        <v>407.22865549260911</v>
      </c>
      <c r="CC105" s="59">
        <f t="shared" si="65"/>
        <v>700.56198882594242</v>
      </c>
      <c r="CD105" s="59">
        <f ca="1">AVERAGE(OFFSET($CC$3,0,0,'Données projet'!$E$12+1,1))-AVERAGE(OFFSET($H$3,0,0,'Données projet'!$E$12+1,1))</f>
        <v>164.24405955980575</v>
      </c>
      <c r="CE105" s="59">
        <f t="shared" si="94"/>
        <v>379.20713858755209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148.39628895278571</v>
      </c>
      <c r="AO106" s="59">
        <f t="shared" si="90"/>
        <v>361.07991692964788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18.033463637935029</v>
      </c>
      <c r="AW106" s="21">
        <f>EXP(-LN(2)/2)*AW105+(1-EXP(-LN(2)/2))/(LN(2)/2)*AQ106*AT106*VLOOKUP('Données projet'!$B$10,Paramètres!$A$1:$I$89,3,0)*0.475*44/12</f>
        <v>4.6264815813857158E-13</v>
      </c>
      <c r="AX106" s="21">
        <f t="shared" si="60"/>
        <v>18.03346363793549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234.00000000000003</v>
      </c>
      <c r="BE106" s="13">
        <f>BD106*VLOOKUP('Données projet'!$B$11,Paramètres!$A$1:$I$89,3,0)*VLOOKUP('Données projet'!$B$11,Paramètres!$A$1:$I$89,5,0)</f>
        <v>189.82080000000005</v>
      </c>
      <c r="BF106" s="13">
        <f t="shared" si="91"/>
        <v>47.500332100049796</v>
      </c>
      <c r="BG106" s="20">
        <f t="shared" si="61"/>
        <v>413.33430507425345</v>
      </c>
      <c r="BH106" s="59">
        <f t="shared" si="62"/>
        <v>706.66763840758676</v>
      </c>
      <c r="BI106" s="59">
        <f ca="1">AVERAGE(OFFSET($BH$3,0,0,'Données projet'!$E$11+1,1))-AVERAGE(OFFSET($H$3,0,0,'Données projet'!$E$11+1,1))</f>
        <v>181.20458942529478</v>
      </c>
      <c r="BJ106" s="59">
        <f t="shared" si="92"/>
        <v>144.05254691566421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29.352903143986651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29.352903143986651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214</v>
      </c>
      <c r="BZ106" s="13">
        <f>BY106*VLOOKUP('Données projet'!$B$12,Paramètres!$A$1:$I$89,3,0)*VLOOKUP('Données projet'!$B$12,Paramètres!$A$1:$I$89,5,0)</f>
        <v>186.95040000000003</v>
      </c>
      <c r="CA106" s="13">
        <f t="shared" si="93"/>
        <v>46.865095976617653</v>
      </c>
      <c r="CB106" s="20">
        <f t="shared" si="64"/>
        <v>407.22865549260911</v>
      </c>
      <c r="CC106" s="59">
        <f t="shared" si="65"/>
        <v>700.56198882594242</v>
      </c>
      <c r="CD106" s="59">
        <f ca="1">AVERAGE(OFFSET($CC$3,0,0,'Données projet'!$E$12+1,1))-AVERAGE(OFFSET($H$3,0,0,'Données projet'!$E$12+1,1))</f>
        <v>164.24405955980575</v>
      </c>
      <c r="CE106" s="59">
        <f t="shared" si="94"/>
        <v>379.20713858755209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148.39628895278571</v>
      </c>
      <c r="AO107" s="59">
        <f t="shared" si="90"/>
        <v>361.07991692964788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17.54033762641706</v>
      </c>
      <c r="AW107" s="21">
        <f>EXP(-LN(2)/2)*AW106+(1-EXP(-LN(2)/2))/(LN(2)/2)*AQ107*AT107*VLOOKUP('Données projet'!$B$10,Paramètres!$A$1:$I$89,3,0)*0.475*44/12</f>
        <v>3.2714164992325017E-13</v>
      </c>
      <c r="AX107" s="21">
        <f t="shared" si="60"/>
        <v>17.540337626417386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234.00000000000003</v>
      </c>
      <c r="BE107" s="13">
        <f>BD107*VLOOKUP('Données projet'!$B$11,Paramètres!$A$1:$I$89,3,0)*VLOOKUP('Données projet'!$B$11,Paramètres!$A$1:$I$89,5,0)</f>
        <v>189.82080000000005</v>
      </c>
      <c r="BF107" s="13">
        <f t="shared" si="91"/>
        <v>47.500332100049796</v>
      </c>
      <c r="BG107" s="20">
        <f t="shared" si="61"/>
        <v>413.33430507425345</v>
      </c>
      <c r="BH107" s="59">
        <f t="shared" si="62"/>
        <v>706.66763840758676</v>
      </c>
      <c r="BI107" s="59">
        <f ca="1">AVERAGE(OFFSET($BH$3,0,0,'Données projet'!$E$11+1,1))-AVERAGE(OFFSET($H$3,0,0,'Données projet'!$E$11+1,1))</f>
        <v>181.20458942529478</v>
      </c>
      <c r="BJ107" s="59">
        <f t="shared" si="92"/>
        <v>144.05254691566421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28.777310616836168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28.777310616836168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214</v>
      </c>
      <c r="BZ107" s="13">
        <f>BY107*VLOOKUP('Données projet'!$B$12,Paramètres!$A$1:$I$89,3,0)*VLOOKUP('Données projet'!$B$12,Paramètres!$A$1:$I$89,5,0)</f>
        <v>186.95040000000003</v>
      </c>
      <c r="CA107" s="13">
        <f t="shared" si="93"/>
        <v>46.865095976617653</v>
      </c>
      <c r="CB107" s="20">
        <f t="shared" si="64"/>
        <v>407.22865549260911</v>
      </c>
      <c r="CC107" s="59">
        <f t="shared" si="65"/>
        <v>700.56198882594242</v>
      </c>
      <c r="CD107" s="59">
        <f ca="1">AVERAGE(OFFSET($CC$3,0,0,'Données projet'!$E$12+1,1))-AVERAGE(OFFSET($H$3,0,0,'Données projet'!$E$12+1,1))</f>
        <v>164.24405955980575</v>
      </c>
      <c r="CE107" s="59">
        <f t="shared" si="94"/>
        <v>379.20713858755209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148.39628895278571</v>
      </c>
      <c r="AO108" s="59">
        <f t="shared" si="90"/>
        <v>361.07991692964788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17.060696171616417</v>
      </c>
      <c r="AW108" s="21">
        <f>EXP(-LN(2)/2)*AW107+(1-EXP(-LN(2)/2))/(LN(2)/2)*AQ108*AT108*VLOOKUP('Données projet'!$B$10,Paramètres!$A$1:$I$89,3,0)*0.475*44/12</f>
        <v>2.3132407906928579E-13</v>
      </c>
      <c r="AX108" s="21">
        <f t="shared" si="60"/>
        <v>17.060696171616648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234.00000000000003</v>
      </c>
      <c r="BE108" s="13">
        <f>BD108*VLOOKUP('Données projet'!$B$11,Paramètres!$A$1:$I$89,3,0)*VLOOKUP('Données projet'!$B$11,Paramètres!$A$1:$I$89,5,0)</f>
        <v>189.82080000000005</v>
      </c>
      <c r="BF108" s="13">
        <f t="shared" si="91"/>
        <v>47.500332100049796</v>
      </c>
      <c r="BG108" s="20">
        <f t="shared" si="61"/>
        <v>413.33430507425345</v>
      </c>
      <c r="BH108" s="59">
        <f t="shared" si="62"/>
        <v>706.66763840758676</v>
      </c>
      <c r="BI108" s="59">
        <f ca="1">AVERAGE(OFFSET($BH$3,0,0,'Données projet'!$E$11+1,1))-AVERAGE(OFFSET($H$3,0,0,'Données projet'!$E$11+1,1))</f>
        <v>181.20458942529478</v>
      </c>
      <c r="BJ108" s="59">
        <f t="shared" si="92"/>
        <v>144.05254691566421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28.21300510806633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28.21300510806633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214</v>
      </c>
      <c r="BZ108" s="13">
        <f>BY108*VLOOKUP('Données projet'!$B$12,Paramètres!$A$1:$I$89,3,0)*VLOOKUP('Données projet'!$B$12,Paramètres!$A$1:$I$89,5,0)</f>
        <v>186.95040000000003</v>
      </c>
      <c r="CA108" s="13">
        <f t="shared" si="93"/>
        <v>46.865095976617653</v>
      </c>
      <c r="CB108" s="20">
        <f t="shared" si="64"/>
        <v>407.22865549260911</v>
      </c>
      <c r="CC108" s="59">
        <f t="shared" si="65"/>
        <v>700.56198882594242</v>
      </c>
      <c r="CD108" s="59">
        <f ca="1">AVERAGE(OFFSET($CC$3,0,0,'Données projet'!$E$12+1,1))-AVERAGE(OFFSET($H$3,0,0,'Données projet'!$E$12+1,1))</f>
        <v>164.24405955980575</v>
      </c>
      <c r="CE108" s="59">
        <f t="shared" si="94"/>
        <v>379.20713858755209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148.39628895278571</v>
      </c>
      <c r="AO109" s="59">
        <f t="shared" si="90"/>
        <v>361.07991692964788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16.594170537620549</v>
      </c>
      <c r="AW109" s="21">
        <f>EXP(-LN(2)/2)*AW108+(1-EXP(-LN(2)/2))/(LN(2)/2)*AQ109*AT109*VLOOKUP('Données projet'!$B$10,Paramètres!$A$1:$I$89,3,0)*0.475*44/12</f>
        <v>1.6357082496162509E-13</v>
      </c>
      <c r="AX109" s="21">
        <f t="shared" si="60"/>
        <v>16.594170537620712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234.00000000000003</v>
      </c>
      <c r="BE109" s="13">
        <f>BD109*VLOOKUP('Données projet'!$B$11,Paramètres!$A$1:$I$89,3,0)*VLOOKUP('Données projet'!$B$11,Paramètres!$A$1:$I$89,5,0)</f>
        <v>189.82080000000005</v>
      </c>
      <c r="BF109" s="13">
        <f t="shared" si="91"/>
        <v>47.500332100049796</v>
      </c>
      <c r="BG109" s="20">
        <f t="shared" si="61"/>
        <v>413.33430507425345</v>
      </c>
      <c r="BH109" s="59">
        <f t="shared" si="62"/>
        <v>706.66763840758676</v>
      </c>
      <c r="BI109" s="59">
        <f ca="1">AVERAGE(OFFSET($BH$3,0,0,'Données projet'!$E$11+1,1))-AVERAGE(OFFSET($H$3,0,0,'Données projet'!$E$11+1,1))</f>
        <v>181.20458942529478</v>
      </c>
      <c r="BJ109" s="59">
        <f t="shared" si="92"/>
        <v>144.05254691566421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27.659765286131094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27.659765286131094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214</v>
      </c>
      <c r="BZ109" s="13">
        <f>BY109*VLOOKUP('Données projet'!$B$12,Paramètres!$A$1:$I$89,3,0)*VLOOKUP('Données projet'!$B$12,Paramètres!$A$1:$I$89,5,0)</f>
        <v>186.95040000000003</v>
      </c>
      <c r="CA109" s="13">
        <f t="shared" si="93"/>
        <v>46.865095976617653</v>
      </c>
      <c r="CB109" s="20">
        <f t="shared" si="64"/>
        <v>407.22865549260911</v>
      </c>
      <c r="CC109" s="59">
        <f t="shared" si="65"/>
        <v>700.56198882594242</v>
      </c>
      <c r="CD109" s="59">
        <f ca="1">AVERAGE(OFFSET($CC$3,0,0,'Données projet'!$E$12+1,1))-AVERAGE(OFFSET($H$3,0,0,'Données projet'!$E$12+1,1))</f>
        <v>164.24405955980575</v>
      </c>
      <c r="CE109" s="59">
        <f t="shared" si="94"/>
        <v>379.20713858755209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148.39628895278571</v>
      </c>
      <c r="AO110" s="59">
        <f t="shared" si="90"/>
        <v>361.07991692964788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16.140402071619814</v>
      </c>
      <c r="AW110" s="21">
        <f>EXP(-LN(2)/2)*AW109+(1-EXP(-LN(2)/2))/(LN(2)/2)*AQ110*AT110*VLOOKUP('Données projet'!$B$10,Paramètres!$A$1:$I$89,3,0)*0.475*44/12</f>
        <v>1.1566203953464289E-13</v>
      </c>
      <c r="AX110" s="21">
        <f t="shared" si="60"/>
        <v>16.140402071619931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234.00000000000003</v>
      </c>
      <c r="BE110" s="13">
        <f>BD110*VLOOKUP('Données projet'!$B$11,Paramètres!$A$1:$I$89,3,0)*VLOOKUP('Données projet'!$B$11,Paramètres!$A$1:$I$89,5,0)</f>
        <v>189.82080000000005</v>
      </c>
      <c r="BF110" s="13">
        <f t="shared" si="91"/>
        <v>47.500332100049796</v>
      </c>
      <c r="BG110" s="20">
        <f t="shared" si="61"/>
        <v>413.33430507425345</v>
      </c>
      <c r="BH110" s="59">
        <f t="shared" si="62"/>
        <v>706.66763840758676</v>
      </c>
      <c r="BI110" s="59">
        <f ca="1">AVERAGE(OFFSET($BH$3,0,0,'Données projet'!$E$11+1,1))-AVERAGE(OFFSET($H$3,0,0,'Données projet'!$E$11+1,1))</f>
        <v>181.20458942529478</v>
      </c>
      <c r="BJ110" s="59">
        <f t="shared" si="92"/>
        <v>144.05254691566421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27.117374159661036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27.117374159661036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214</v>
      </c>
      <c r="BZ110" s="13">
        <f>BY110*VLOOKUP('Données projet'!$B$12,Paramètres!$A$1:$I$89,3,0)*VLOOKUP('Données projet'!$B$12,Paramètres!$A$1:$I$89,5,0)</f>
        <v>186.95040000000003</v>
      </c>
      <c r="CA110" s="13">
        <f t="shared" si="93"/>
        <v>46.865095976617653</v>
      </c>
      <c r="CB110" s="20">
        <f t="shared" si="64"/>
        <v>407.22865549260911</v>
      </c>
      <c r="CC110" s="59">
        <f t="shared" si="65"/>
        <v>700.56198882594242</v>
      </c>
      <c r="CD110" s="59">
        <f ca="1">AVERAGE(OFFSET($CC$3,0,0,'Données projet'!$E$12+1,1))-AVERAGE(OFFSET($H$3,0,0,'Données projet'!$E$12+1,1))</f>
        <v>164.24405955980575</v>
      </c>
      <c r="CE110" s="59">
        <f t="shared" si="94"/>
        <v>379.20713858755209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148.39628895278571</v>
      </c>
      <c r="AO111" s="59">
        <f t="shared" si="90"/>
        <v>361.07991692964788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15.699041928184515</v>
      </c>
      <c r="AW111" s="21">
        <f>EXP(-LN(2)/2)*AW110+(1-EXP(-LN(2)/2))/(LN(2)/2)*AQ111*AT111*VLOOKUP('Données projet'!$B$10,Paramètres!$A$1:$I$89,3,0)*0.475*44/12</f>
        <v>8.1785412480812543E-14</v>
      </c>
      <c r="AX111" s="21">
        <f t="shared" si="60"/>
        <v>15.699041928184597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234.00000000000003</v>
      </c>
      <c r="BE111" s="13">
        <f>BD111*VLOOKUP('Données projet'!$B$11,Paramètres!$A$1:$I$89,3,0)*VLOOKUP('Données projet'!$B$11,Paramètres!$A$1:$I$89,5,0)</f>
        <v>189.82080000000005</v>
      </c>
      <c r="BF111" s="13">
        <f t="shared" si="91"/>
        <v>47.500332100049796</v>
      </c>
      <c r="BG111" s="20">
        <f t="shared" si="61"/>
        <v>413.33430507425345</v>
      </c>
      <c r="BH111" s="59">
        <f t="shared" si="62"/>
        <v>706.66763840758676</v>
      </c>
      <c r="BI111" s="59">
        <f ca="1">AVERAGE(OFFSET($BH$3,0,0,'Données projet'!$E$11+1,1))-AVERAGE(OFFSET($H$3,0,0,'Données projet'!$E$11+1,1))</f>
        <v>181.20458942529478</v>
      </c>
      <c r="BJ111" s="59">
        <f t="shared" si="92"/>
        <v>144.05254691566421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26.585618992355133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26.585618992355133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214</v>
      </c>
      <c r="BZ111" s="13">
        <f>BY111*VLOOKUP('Données projet'!$B$12,Paramètres!$A$1:$I$89,3,0)*VLOOKUP('Données projet'!$B$12,Paramètres!$A$1:$I$89,5,0)</f>
        <v>186.95040000000003</v>
      </c>
      <c r="CA111" s="13">
        <f t="shared" si="93"/>
        <v>46.865095976617653</v>
      </c>
      <c r="CB111" s="20">
        <f t="shared" si="64"/>
        <v>407.22865549260911</v>
      </c>
      <c r="CC111" s="59">
        <f t="shared" si="65"/>
        <v>700.56198882594242</v>
      </c>
      <c r="CD111" s="59">
        <f ca="1">AVERAGE(OFFSET($CC$3,0,0,'Données projet'!$E$12+1,1))-AVERAGE(OFFSET($H$3,0,0,'Données projet'!$E$12+1,1))</f>
        <v>164.24405955980575</v>
      </c>
      <c r="CE111" s="59">
        <f t="shared" si="94"/>
        <v>379.20713858755209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148.39628895278571</v>
      </c>
      <c r="AO112" s="59">
        <f t="shared" si="90"/>
        <v>361.07991692964788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15.269750801081575</v>
      </c>
      <c r="AW112" s="21">
        <f>EXP(-LN(2)/2)*AW111+(1-EXP(-LN(2)/2))/(LN(2)/2)*AQ112*AT112*VLOOKUP('Données projet'!$B$10,Paramètres!$A$1:$I$89,3,0)*0.475*44/12</f>
        <v>5.7831019767321447E-14</v>
      </c>
      <c r="AX112" s="21">
        <f t="shared" si="60"/>
        <v>15.269750801081633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234.00000000000003</v>
      </c>
      <c r="BE112" s="13">
        <f>BD112*VLOOKUP('Données projet'!$B$11,Paramètres!$A$1:$I$89,3,0)*VLOOKUP('Données projet'!$B$11,Paramètres!$A$1:$I$89,5,0)</f>
        <v>189.82080000000005</v>
      </c>
      <c r="BF112" s="13">
        <f t="shared" si="91"/>
        <v>47.500332100049796</v>
      </c>
      <c r="BG112" s="20">
        <f t="shared" si="61"/>
        <v>413.33430507425345</v>
      </c>
      <c r="BH112" s="59">
        <f t="shared" si="62"/>
        <v>706.66763840758676</v>
      </c>
      <c r="BI112" s="59">
        <f ca="1">AVERAGE(OFFSET($BH$3,0,0,'Données projet'!$E$11+1,1))-AVERAGE(OFFSET($H$3,0,0,'Données projet'!$E$11+1,1))</f>
        <v>181.20458942529478</v>
      </c>
      <c r="BJ112" s="59">
        <f t="shared" si="92"/>
        <v>144.05254691566421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26.064291219541474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26.064291219541474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214</v>
      </c>
      <c r="BZ112" s="13">
        <f>BY112*VLOOKUP('Données projet'!$B$12,Paramètres!$A$1:$I$89,3,0)*VLOOKUP('Données projet'!$B$12,Paramètres!$A$1:$I$89,5,0)</f>
        <v>186.95040000000003</v>
      </c>
      <c r="CA112" s="13">
        <f t="shared" si="93"/>
        <v>46.865095976617653</v>
      </c>
      <c r="CB112" s="20">
        <f t="shared" si="64"/>
        <v>407.22865549260911</v>
      </c>
      <c r="CC112" s="59">
        <f t="shared" si="65"/>
        <v>700.56198882594242</v>
      </c>
      <c r="CD112" s="59">
        <f ca="1">AVERAGE(OFFSET($CC$3,0,0,'Données projet'!$E$12+1,1))-AVERAGE(OFFSET($H$3,0,0,'Données projet'!$E$12+1,1))</f>
        <v>164.24405955980575</v>
      </c>
      <c r="CE112" s="59">
        <f t="shared" si="94"/>
        <v>379.20713858755209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148.39628895278571</v>
      </c>
      <c r="AO113" s="59">
        <f t="shared" si="90"/>
        <v>361.07991692964788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14.852198662424703</v>
      </c>
      <c r="AW113" s="21">
        <f>EXP(-LN(2)/2)*AW112+(1-EXP(-LN(2)/2))/(LN(2)/2)*AQ113*AT113*VLOOKUP('Données projet'!$B$10,Paramètres!$A$1:$I$89,3,0)*0.475*44/12</f>
        <v>4.0892706240406271E-14</v>
      </c>
      <c r="AX113" s="21">
        <f t="shared" si="60"/>
        <v>14.852198662424744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234.00000000000003</v>
      </c>
      <c r="BE113" s="13">
        <f>BD113*VLOOKUP('Données projet'!$B$11,Paramètres!$A$1:$I$89,3,0)*VLOOKUP('Données projet'!$B$11,Paramètres!$A$1:$I$89,5,0)</f>
        <v>189.82080000000005</v>
      </c>
      <c r="BF113" s="13">
        <f t="shared" si="91"/>
        <v>47.500332100049796</v>
      </c>
      <c r="BG113" s="20">
        <f t="shared" si="61"/>
        <v>413.33430507425345</v>
      </c>
      <c r="BH113" s="59">
        <f t="shared" si="62"/>
        <v>706.66763840758676</v>
      </c>
      <c r="BI113" s="59">
        <f ca="1">AVERAGE(OFFSET($BH$3,0,0,'Données projet'!$E$11+1,1))-AVERAGE(OFFSET($H$3,0,0,'Données projet'!$E$11+1,1))</f>
        <v>181.20458942529478</v>
      </c>
      <c r="BJ113" s="59">
        <f t="shared" si="92"/>
        <v>144.05254691566421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25.553186366374145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25.553186366374145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214</v>
      </c>
      <c r="BZ113" s="13">
        <f>BY113*VLOOKUP('Données projet'!$B$12,Paramètres!$A$1:$I$89,3,0)*VLOOKUP('Données projet'!$B$12,Paramètres!$A$1:$I$89,5,0)</f>
        <v>186.95040000000003</v>
      </c>
      <c r="CA113" s="13">
        <f t="shared" si="93"/>
        <v>46.865095976617653</v>
      </c>
      <c r="CB113" s="20">
        <f t="shared" si="64"/>
        <v>407.22865549260911</v>
      </c>
      <c r="CC113" s="59">
        <f t="shared" si="65"/>
        <v>700.56198882594242</v>
      </c>
      <c r="CD113" s="59">
        <f ca="1">AVERAGE(OFFSET($CC$3,0,0,'Données projet'!$E$12+1,1))-AVERAGE(OFFSET($H$3,0,0,'Données projet'!$E$12+1,1))</f>
        <v>164.24405955980575</v>
      </c>
      <c r="CE113" s="59">
        <f t="shared" si="94"/>
        <v>379.20713858755209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148.39628895278571</v>
      </c>
      <c r="AO114" s="59">
        <f t="shared" si="90"/>
        <v>361.07991692964788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14.446064508957518</v>
      </c>
      <c r="AW114" s="21">
        <f>EXP(-LN(2)/2)*AW113+(1-EXP(-LN(2)/2))/(LN(2)/2)*AQ114*AT114*VLOOKUP('Données projet'!$B$10,Paramètres!$A$1:$I$89,3,0)*0.475*44/12</f>
        <v>2.8915509883660724E-14</v>
      </c>
      <c r="AX114" s="21">
        <f t="shared" si="60"/>
        <v>14.446064508957546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234.00000000000003</v>
      </c>
      <c r="BE114" s="13">
        <f>BD114*VLOOKUP('Données projet'!$B$11,Paramètres!$A$1:$I$89,3,0)*VLOOKUP('Données projet'!$B$11,Paramètres!$A$1:$I$89,5,0)</f>
        <v>189.82080000000005</v>
      </c>
      <c r="BF114" s="13">
        <f t="shared" si="91"/>
        <v>47.500332100049796</v>
      </c>
      <c r="BG114" s="20">
        <f t="shared" si="61"/>
        <v>413.33430507425345</v>
      </c>
      <c r="BH114" s="59">
        <f t="shared" si="62"/>
        <v>706.66763840758676</v>
      </c>
      <c r="BI114" s="59">
        <f ca="1">AVERAGE(OFFSET($BH$3,0,0,'Données projet'!$E$11+1,1))-AVERAGE(OFFSET($H$3,0,0,'Données projet'!$E$11+1,1))</f>
        <v>181.20458942529478</v>
      </c>
      <c r="BJ114" s="59">
        <f t="shared" si="92"/>
        <v>144.05254691566421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25.052103967634253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25.052103967634253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214</v>
      </c>
      <c r="BZ114" s="13">
        <f>BY114*VLOOKUP('Données projet'!$B$12,Paramètres!$A$1:$I$89,3,0)*VLOOKUP('Données projet'!$B$12,Paramètres!$A$1:$I$89,5,0)</f>
        <v>186.95040000000003</v>
      </c>
      <c r="CA114" s="13">
        <f t="shared" si="93"/>
        <v>46.865095976617653</v>
      </c>
      <c r="CB114" s="20">
        <f t="shared" si="64"/>
        <v>407.22865549260911</v>
      </c>
      <c r="CC114" s="59">
        <f t="shared" si="65"/>
        <v>700.56198882594242</v>
      </c>
      <c r="CD114" s="59">
        <f ca="1">AVERAGE(OFFSET($CC$3,0,0,'Données projet'!$E$12+1,1))-AVERAGE(OFFSET($H$3,0,0,'Données projet'!$E$12+1,1))</f>
        <v>164.24405955980575</v>
      </c>
      <c r="CE114" s="59">
        <f t="shared" si="94"/>
        <v>379.20713858755209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148.39628895278571</v>
      </c>
      <c r="AO115" s="59">
        <f t="shared" si="90"/>
        <v>361.07991692964788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14.05103611527456</v>
      </c>
      <c r="AW115" s="21">
        <f>EXP(-LN(2)/2)*AW114+(1-EXP(-LN(2)/2))/(LN(2)/2)*AQ115*AT115*VLOOKUP('Données projet'!$B$10,Paramètres!$A$1:$I$89,3,0)*0.475*44/12</f>
        <v>2.0446353120203136E-14</v>
      </c>
      <c r="AX115" s="21">
        <f t="shared" si="60"/>
        <v>14.051036115274581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234.00000000000003</v>
      </c>
      <c r="BE115" s="13">
        <f>BD115*VLOOKUP('Données projet'!$B$11,Paramètres!$A$1:$I$89,3,0)*VLOOKUP('Données projet'!$B$11,Paramètres!$A$1:$I$89,5,0)</f>
        <v>189.82080000000005</v>
      </c>
      <c r="BF115" s="13">
        <f t="shared" si="91"/>
        <v>47.500332100049796</v>
      </c>
      <c r="BG115" s="20">
        <f t="shared" si="61"/>
        <v>413.33430507425345</v>
      </c>
      <c r="BH115" s="59">
        <f t="shared" si="62"/>
        <v>706.66763840758676</v>
      </c>
      <c r="BI115" s="59">
        <f ca="1">AVERAGE(OFFSET($BH$3,0,0,'Données projet'!$E$11+1,1))-AVERAGE(OFFSET($H$3,0,0,'Données projet'!$E$11+1,1))</f>
        <v>181.20458942529478</v>
      </c>
      <c r="BJ115" s="59">
        <f t="shared" si="92"/>
        <v>144.05254691566421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24.560847489103562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24.560847489103562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214</v>
      </c>
      <c r="BZ115" s="13">
        <f>BY115*VLOOKUP('Données projet'!$B$12,Paramètres!$A$1:$I$89,3,0)*VLOOKUP('Données projet'!$B$12,Paramètres!$A$1:$I$89,5,0)</f>
        <v>186.95040000000003</v>
      </c>
      <c r="CA115" s="13">
        <f t="shared" si="93"/>
        <v>46.865095976617653</v>
      </c>
      <c r="CB115" s="20">
        <f t="shared" si="64"/>
        <v>407.22865549260911</v>
      </c>
      <c r="CC115" s="59">
        <f t="shared" si="65"/>
        <v>700.56198882594242</v>
      </c>
      <c r="CD115" s="59">
        <f ca="1">AVERAGE(OFFSET($CC$3,0,0,'Données projet'!$E$12+1,1))-AVERAGE(OFFSET($H$3,0,0,'Données projet'!$E$12+1,1))</f>
        <v>164.24405955980575</v>
      </c>
      <c r="CE115" s="59">
        <f t="shared" si="94"/>
        <v>379.20713858755209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148.39628895278571</v>
      </c>
      <c r="AO116" s="59">
        <f t="shared" si="90"/>
        <v>361.07991692964788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13.666809793790501</v>
      </c>
      <c r="AW116" s="21">
        <f>EXP(-LN(2)/2)*AW115+(1-EXP(-LN(2)/2))/(LN(2)/2)*AQ116*AT116*VLOOKUP('Données projet'!$B$10,Paramètres!$A$1:$I$89,3,0)*0.475*44/12</f>
        <v>1.4457754941830362E-14</v>
      </c>
      <c r="AX116" s="21">
        <f t="shared" si="60"/>
        <v>13.666809793790515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234.00000000000003</v>
      </c>
      <c r="BE116" s="13">
        <f>BD116*VLOOKUP('Données projet'!$B$11,Paramètres!$A$1:$I$89,3,0)*VLOOKUP('Données projet'!$B$11,Paramètres!$A$1:$I$89,5,0)</f>
        <v>189.82080000000005</v>
      </c>
      <c r="BF116" s="13">
        <f t="shared" si="91"/>
        <v>47.500332100049796</v>
      </c>
      <c r="BG116" s="20">
        <f t="shared" si="61"/>
        <v>413.33430507425345</v>
      </c>
      <c r="BH116" s="59">
        <f t="shared" si="62"/>
        <v>706.66763840758676</v>
      </c>
      <c r="BI116" s="59">
        <f ca="1">AVERAGE(OFFSET($BH$3,0,0,'Données projet'!$E$11+1,1))-AVERAGE(OFFSET($H$3,0,0,'Données projet'!$E$11+1,1))</f>
        <v>181.20458942529478</v>
      </c>
      <c r="BJ116" s="59">
        <f t="shared" si="92"/>
        <v>144.05254691566421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24.079224250479996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24.079224250479996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214</v>
      </c>
      <c r="BZ116" s="13">
        <f>BY116*VLOOKUP('Données projet'!$B$12,Paramètres!$A$1:$I$89,3,0)*VLOOKUP('Données projet'!$B$12,Paramètres!$A$1:$I$89,5,0)</f>
        <v>186.95040000000003</v>
      </c>
      <c r="CA116" s="13">
        <f t="shared" si="93"/>
        <v>46.865095976617653</v>
      </c>
      <c r="CB116" s="20">
        <f t="shared" si="64"/>
        <v>407.22865549260911</v>
      </c>
      <c r="CC116" s="59">
        <f t="shared" si="65"/>
        <v>700.56198882594242</v>
      </c>
      <c r="CD116" s="59">
        <f ca="1">AVERAGE(OFFSET($CC$3,0,0,'Données projet'!$E$12+1,1))-AVERAGE(OFFSET($H$3,0,0,'Données projet'!$E$12+1,1))</f>
        <v>164.24405955980575</v>
      </c>
      <c r="CE116" s="59">
        <f t="shared" si="94"/>
        <v>379.20713858755209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148.39628895278571</v>
      </c>
      <c r="AO117" s="59">
        <f t="shared" si="90"/>
        <v>361.07991692964788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13.293090161273009</v>
      </c>
      <c r="AW117" s="21">
        <f>EXP(-LN(2)/2)*AW116+(1-EXP(-LN(2)/2))/(LN(2)/2)*AQ117*AT117*VLOOKUP('Données projet'!$B$10,Paramètres!$A$1:$I$89,3,0)*0.475*44/12</f>
        <v>1.0223176560101568E-14</v>
      </c>
      <c r="AX117" s="21">
        <f t="shared" si="60"/>
        <v>13.293090161273019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234.00000000000003</v>
      </c>
      <c r="BE117" s="13">
        <f>BD117*VLOOKUP('Données projet'!$B$11,Paramètres!$A$1:$I$89,3,0)*VLOOKUP('Données projet'!$B$11,Paramètres!$A$1:$I$89,5,0)</f>
        <v>189.82080000000005</v>
      </c>
      <c r="BF117" s="13">
        <f t="shared" si="91"/>
        <v>47.500332100049796</v>
      </c>
      <c r="BG117" s="20">
        <f t="shared" si="61"/>
        <v>413.33430507425345</v>
      </c>
      <c r="BH117" s="59">
        <f t="shared" si="62"/>
        <v>706.66763840758676</v>
      </c>
      <c r="BI117" s="59">
        <f ca="1">AVERAGE(OFFSET($BH$3,0,0,'Données projet'!$E$11+1,1))-AVERAGE(OFFSET($H$3,0,0,'Données projet'!$E$11+1,1))</f>
        <v>181.20458942529478</v>
      </c>
      <c r="BJ117" s="59">
        <f t="shared" si="92"/>
        <v>144.05254691566421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23.607045349804668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23.607045349804668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214</v>
      </c>
      <c r="BZ117" s="13">
        <f>BY117*VLOOKUP('Données projet'!$B$12,Paramètres!$A$1:$I$89,3,0)*VLOOKUP('Données projet'!$B$12,Paramètres!$A$1:$I$89,5,0)</f>
        <v>186.95040000000003</v>
      </c>
      <c r="CA117" s="13">
        <f t="shared" si="93"/>
        <v>46.865095976617653</v>
      </c>
      <c r="CB117" s="20">
        <f t="shared" si="64"/>
        <v>407.22865549260911</v>
      </c>
      <c r="CC117" s="59">
        <f t="shared" si="65"/>
        <v>700.56198882594242</v>
      </c>
      <c r="CD117" s="59">
        <f ca="1">AVERAGE(OFFSET($CC$3,0,0,'Données projet'!$E$12+1,1))-AVERAGE(OFFSET($H$3,0,0,'Données projet'!$E$12+1,1))</f>
        <v>164.24405955980575</v>
      </c>
      <c r="CE117" s="59">
        <f t="shared" si="94"/>
        <v>379.20713858755209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148.39628895278571</v>
      </c>
      <c r="AO118" s="59">
        <f t="shared" si="90"/>
        <v>361.07991692964788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12.929589911759768</v>
      </c>
      <c r="AW118" s="21">
        <f>EXP(-LN(2)/2)*AW117+(1-EXP(-LN(2)/2))/(LN(2)/2)*AQ118*AT118*VLOOKUP('Données projet'!$B$10,Paramètres!$A$1:$I$89,3,0)*0.475*44/12</f>
        <v>7.2288774709151809E-15</v>
      </c>
      <c r="AX118" s="21">
        <f t="shared" si="60"/>
        <v>12.929589911759775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234.00000000000003</v>
      </c>
      <c r="BE118" s="13">
        <f>BD118*VLOOKUP('Données projet'!$B$11,Paramètres!$A$1:$I$89,3,0)*VLOOKUP('Données projet'!$B$11,Paramètres!$A$1:$I$89,5,0)</f>
        <v>189.82080000000005</v>
      </c>
      <c r="BF118" s="13">
        <f t="shared" si="91"/>
        <v>47.500332100049796</v>
      </c>
      <c r="BG118" s="20">
        <f t="shared" si="61"/>
        <v>413.33430507425345</v>
      </c>
      <c r="BH118" s="59">
        <f t="shared" si="62"/>
        <v>706.66763840758676</v>
      </c>
      <c r="BI118" s="59">
        <f ca="1">AVERAGE(OFFSET($BH$3,0,0,'Données projet'!$E$11+1,1))-AVERAGE(OFFSET($H$3,0,0,'Données projet'!$E$11+1,1))</f>
        <v>181.20458942529478</v>
      </c>
      <c r="BJ118" s="59">
        <f t="shared" si="92"/>
        <v>144.05254691566421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23.144125589370891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23.144125589370891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214</v>
      </c>
      <c r="BZ118" s="13">
        <f>BY118*VLOOKUP('Données projet'!$B$12,Paramètres!$A$1:$I$89,3,0)*VLOOKUP('Données projet'!$B$12,Paramètres!$A$1:$I$89,5,0)</f>
        <v>186.95040000000003</v>
      </c>
      <c r="CA118" s="13">
        <f t="shared" si="93"/>
        <v>46.865095976617653</v>
      </c>
      <c r="CB118" s="20">
        <f t="shared" si="64"/>
        <v>407.22865549260911</v>
      </c>
      <c r="CC118" s="59">
        <f t="shared" si="65"/>
        <v>700.56198882594242</v>
      </c>
      <c r="CD118" s="59">
        <f ca="1">AVERAGE(OFFSET($CC$3,0,0,'Données projet'!$E$12+1,1))-AVERAGE(OFFSET($H$3,0,0,'Données projet'!$E$12+1,1))</f>
        <v>164.24405955980575</v>
      </c>
      <c r="CE118" s="59">
        <f t="shared" si="94"/>
        <v>379.20713858755209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148.39628895278571</v>
      </c>
      <c r="AO119" s="59">
        <f t="shared" si="90"/>
        <v>361.07991692964788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12.576029595685116</v>
      </c>
      <c r="AW119" s="21">
        <f>EXP(-LN(2)/2)*AW118+(1-EXP(-LN(2)/2))/(LN(2)/2)*AQ119*AT119*VLOOKUP('Données projet'!$B$10,Paramètres!$A$1:$I$89,3,0)*0.475*44/12</f>
        <v>5.1115882800507839E-15</v>
      </c>
      <c r="AX119" s="21">
        <f t="shared" si="60"/>
        <v>12.576029595685121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234.00000000000003</v>
      </c>
      <c r="BE119" s="13">
        <f>BD119*VLOOKUP('Données projet'!$B$11,Paramètres!$A$1:$I$89,3,0)*VLOOKUP('Données projet'!$B$11,Paramètres!$A$1:$I$89,5,0)</f>
        <v>189.82080000000005</v>
      </c>
      <c r="BF119" s="13">
        <f t="shared" si="91"/>
        <v>47.500332100049796</v>
      </c>
      <c r="BG119" s="20">
        <f t="shared" si="61"/>
        <v>413.33430507425345</v>
      </c>
      <c r="BH119" s="59">
        <f t="shared" si="62"/>
        <v>706.66763840758676</v>
      </c>
      <c r="BI119" s="59">
        <f ca="1">AVERAGE(OFFSET($BH$3,0,0,'Données projet'!$E$11+1,1))-AVERAGE(OFFSET($H$3,0,0,'Données projet'!$E$11+1,1))</f>
        <v>181.20458942529478</v>
      </c>
      <c r="BJ119" s="59">
        <f t="shared" si="92"/>
        <v>144.05254691566421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22.690283403086045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22.690283403086045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214</v>
      </c>
      <c r="BZ119" s="13">
        <f>BY119*VLOOKUP('Données projet'!$B$12,Paramètres!$A$1:$I$89,3,0)*VLOOKUP('Données projet'!$B$12,Paramètres!$A$1:$I$89,5,0)</f>
        <v>186.95040000000003</v>
      </c>
      <c r="CA119" s="13">
        <f t="shared" si="93"/>
        <v>46.865095976617653</v>
      </c>
      <c r="CB119" s="20">
        <f t="shared" si="64"/>
        <v>407.22865549260911</v>
      </c>
      <c r="CC119" s="59">
        <f t="shared" si="65"/>
        <v>700.56198882594242</v>
      </c>
      <c r="CD119" s="59">
        <f ca="1">AVERAGE(OFFSET($CC$3,0,0,'Données projet'!$E$12+1,1))-AVERAGE(OFFSET($H$3,0,0,'Données projet'!$E$12+1,1))</f>
        <v>164.24405955980575</v>
      </c>
      <c r="CE119" s="59">
        <f t="shared" si="94"/>
        <v>379.20713858755209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148.39628895278571</v>
      </c>
      <c r="AO120" s="59">
        <f t="shared" si="90"/>
        <v>361.07991692964788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12.232137405046453</v>
      </c>
      <c r="AW120" s="21">
        <f>EXP(-LN(2)/2)*AW119+(1-EXP(-LN(2)/2))/(LN(2)/2)*AQ120*AT120*VLOOKUP('Données projet'!$B$10,Paramètres!$A$1:$I$89,3,0)*0.475*44/12</f>
        <v>3.6144387354575905E-15</v>
      </c>
      <c r="AX120" s="21">
        <f t="shared" si="60"/>
        <v>12.232137405046457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234.00000000000003</v>
      </c>
      <c r="BE120" s="13">
        <f>BD120*VLOOKUP('Données projet'!$B$11,Paramètres!$A$1:$I$89,3,0)*VLOOKUP('Données projet'!$B$11,Paramètres!$A$1:$I$89,5,0)</f>
        <v>189.82080000000005</v>
      </c>
      <c r="BF120" s="13">
        <f t="shared" si="91"/>
        <v>47.500332100049796</v>
      </c>
      <c r="BG120" s="20">
        <f t="shared" si="61"/>
        <v>413.33430507425345</v>
      </c>
      <c r="BH120" s="59">
        <f t="shared" si="62"/>
        <v>706.66763840758676</v>
      </c>
      <c r="BI120" s="59">
        <f ca="1">AVERAGE(OFFSET($BH$3,0,0,'Données projet'!$E$11+1,1))-AVERAGE(OFFSET($H$3,0,0,'Données projet'!$E$11+1,1))</f>
        <v>181.20458942529478</v>
      </c>
      <c r="BJ120" s="59">
        <f t="shared" si="92"/>
        <v>144.05254691566421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22.245340785257845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22.245340785257845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214</v>
      </c>
      <c r="BZ120" s="13">
        <f>BY120*VLOOKUP('Données projet'!$B$12,Paramètres!$A$1:$I$89,3,0)*VLOOKUP('Données projet'!$B$12,Paramètres!$A$1:$I$89,5,0)</f>
        <v>186.95040000000003</v>
      </c>
      <c r="CA120" s="13">
        <f t="shared" si="93"/>
        <v>46.865095976617653</v>
      </c>
      <c r="CB120" s="20">
        <f t="shared" si="64"/>
        <v>407.22865549260911</v>
      </c>
      <c r="CC120" s="59">
        <f t="shared" si="65"/>
        <v>700.56198882594242</v>
      </c>
      <c r="CD120" s="59">
        <f ca="1">AVERAGE(OFFSET($CC$3,0,0,'Données projet'!$E$12+1,1))-AVERAGE(OFFSET($H$3,0,0,'Données projet'!$E$12+1,1))</f>
        <v>164.24405955980575</v>
      </c>
      <c r="CE120" s="59">
        <f t="shared" si="94"/>
        <v>379.20713858755209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148.39628895278571</v>
      </c>
      <c r="AO121" s="59">
        <f t="shared" si="90"/>
        <v>361.07991692964788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11.897648964445308</v>
      </c>
      <c r="AW121" s="21">
        <f>EXP(-LN(2)/2)*AW120+(1-EXP(-LN(2)/2))/(LN(2)/2)*AQ121*AT121*VLOOKUP('Données projet'!$B$10,Paramètres!$A$1:$I$89,3,0)*0.475*44/12</f>
        <v>2.555794140025392E-15</v>
      </c>
      <c r="AX121" s="21">
        <f t="shared" si="60"/>
        <v>11.89764896444531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234.00000000000003</v>
      </c>
      <c r="BE121" s="13">
        <f>BD121*VLOOKUP('Données projet'!$B$11,Paramètres!$A$1:$I$89,3,0)*VLOOKUP('Données projet'!$B$11,Paramètres!$A$1:$I$89,5,0)</f>
        <v>189.82080000000005</v>
      </c>
      <c r="BF121" s="13">
        <f t="shared" si="91"/>
        <v>47.500332100049796</v>
      </c>
      <c r="BG121" s="20">
        <f t="shared" si="61"/>
        <v>413.33430507425345</v>
      </c>
      <c r="BH121" s="59">
        <f t="shared" si="62"/>
        <v>706.66763840758676</v>
      </c>
      <c r="BI121" s="59">
        <f ca="1">AVERAGE(OFFSET($BH$3,0,0,'Données projet'!$E$11+1,1))-AVERAGE(OFFSET($H$3,0,0,'Données projet'!$E$11+1,1))</f>
        <v>181.20458942529478</v>
      </c>
      <c r="BJ121" s="59">
        <f t="shared" si="92"/>
        <v>144.05254691566421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21.809123220777057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21.809123220777057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214</v>
      </c>
      <c r="BZ121" s="13">
        <f>BY121*VLOOKUP('Données projet'!$B$12,Paramètres!$A$1:$I$89,3,0)*VLOOKUP('Données projet'!$B$12,Paramètres!$A$1:$I$89,5,0)</f>
        <v>186.95040000000003</v>
      </c>
      <c r="CA121" s="13">
        <f t="shared" si="93"/>
        <v>46.865095976617653</v>
      </c>
      <c r="CB121" s="20">
        <f t="shared" si="64"/>
        <v>407.22865549260911</v>
      </c>
      <c r="CC121" s="59">
        <f t="shared" si="65"/>
        <v>700.56198882594242</v>
      </c>
      <c r="CD121" s="59">
        <f ca="1">AVERAGE(OFFSET($CC$3,0,0,'Données projet'!$E$12+1,1))-AVERAGE(OFFSET($H$3,0,0,'Données projet'!$E$12+1,1))</f>
        <v>164.24405955980575</v>
      </c>
      <c r="CE121" s="59">
        <f t="shared" si="94"/>
        <v>379.20713858755209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148.39628895278571</v>
      </c>
      <c r="AO122" s="59">
        <f t="shared" si="90"/>
        <v>361.07991692964788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11.572307127842384</v>
      </c>
      <c r="AW122" s="21">
        <f>EXP(-LN(2)/2)*AW121+(1-EXP(-LN(2)/2))/(LN(2)/2)*AQ122*AT122*VLOOKUP('Données projet'!$B$10,Paramètres!$A$1:$I$89,3,0)*0.475*44/12</f>
        <v>1.8072193677287952E-15</v>
      </c>
      <c r="AX122" s="21">
        <f t="shared" si="60"/>
        <v>11.572307127842386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234.00000000000003</v>
      </c>
      <c r="BE122" s="13">
        <f>BD122*VLOOKUP('Données projet'!$B$11,Paramètres!$A$1:$I$89,3,0)*VLOOKUP('Données projet'!$B$11,Paramètres!$A$1:$I$89,5,0)</f>
        <v>189.82080000000005</v>
      </c>
      <c r="BF122" s="13">
        <f t="shared" si="91"/>
        <v>47.500332100049796</v>
      </c>
      <c r="BG122" s="20">
        <f t="shared" si="61"/>
        <v>413.33430507425345</v>
      </c>
      <c r="BH122" s="59">
        <f t="shared" si="62"/>
        <v>706.66763840758676</v>
      </c>
      <c r="BI122" s="59">
        <f ca="1">AVERAGE(OFFSET($BH$3,0,0,'Données projet'!$E$11+1,1))-AVERAGE(OFFSET($H$3,0,0,'Données projet'!$E$11+1,1))</f>
        <v>181.20458942529478</v>
      </c>
      <c r="BJ122" s="59">
        <f t="shared" si="92"/>
        <v>144.05254691566421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21.381459616669297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21.381459616669297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214</v>
      </c>
      <c r="BZ122" s="13">
        <f>BY122*VLOOKUP('Données projet'!$B$12,Paramètres!$A$1:$I$89,3,0)*VLOOKUP('Données projet'!$B$12,Paramètres!$A$1:$I$89,5,0)</f>
        <v>186.95040000000003</v>
      </c>
      <c r="CA122" s="13">
        <f t="shared" si="93"/>
        <v>46.865095976617653</v>
      </c>
      <c r="CB122" s="20">
        <f t="shared" si="64"/>
        <v>407.22865549260911</v>
      </c>
      <c r="CC122" s="59">
        <f t="shared" si="65"/>
        <v>700.56198882594242</v>
      </c>
      <c r="CD122" s="59">
        <f ca="1">AVERAGE(OFFSET($CC$3,0,0,'Données projet'!$E$12+1,1))-AVERAGE(OFFSET($H$3,0,0,'Données projet'!$E$12+1,1))</f>
        <v>164.24405955980575</v>
      </c>
      <c r="CE122" s="59">
        <f t="shared" si="94"/>
        <v>379.20713858755209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148.39628895278571</v>
      </c>
      <c r="AO123" s="59">
        <f t="shared" si="90"/>
        <v>361.07991692964788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11.255861780870351</v>
      </c>
      <c r="AW123" s="21">
        <f>EXP(-LN(2)/2)*AW122+(1-EXP(-LN(2)/2))/(LN(2)/2)*AQ123*AT123*VLOOKUP('Données projet'!$B$10,Paramètres!$A$1:$I$89,3,0)*0.475*44/12</f>
        <v>1.277897070012696E-15</v>
      </c>
      <c r="AX123" s="21">
        <f t="shared" si="60"/>
        <v>11.255861780870353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234.00000000000003</v>
      </c>
      <c r="BE123" s="13">
        <f>BD123*VLOOKUP('Données projet'!$B$11,Paramètres!$A$1:$I$89,3,0)*VLOOKUP('Données projet'!$B$11,Paramètres!$A$1:$I$89,5,0)</f>
        <v>189.82080000000005</v>
      </c>
      <c r="BF123" s="13">
        <f t="shared" si="91"/>
        <v>47.500332100049796</v>
      </c>
      <c r="BG123" s="20">
        <f t="shared" si="61"/>
        <v>413.33430507425345</v>
      </c>
      <c r="BH123" s="59">
        <f t="shared" si="62"/>
        <v>706.66763840758676</v>
      </c>
      <c r="BI123" s="59">
        <f ca="1">AVERAGE(OFFSET($BH$3,0,0,'Données projet'!$E$11+1,1))-AVERAGE(OFFSET($H$3,0,0,'Données projet'!$E$11+1,1))</f>
        <v>181.20458942529478</v>
      </c>
      <c r="BJ123" s="59">
        <f t="shared" si="92"/>
        <v>144.05254691566421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20.962182234989047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20.962182234989047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214</v>
      </c>
      <c r="BZ123" s="13">
        <f>BY123*VLOOKUP('Données projet'!$B$12,Paramètres!$A$1:$I$89,3,0)*VLOOKUP('Données projet'!$B$12,Paramètres!$A$1:$I$89,5,0)</f>
        <v>186.95040000000003</v>
      </c>
      <c r="CA123" s="13">
        <f t="shared" si="93"/>
        <v>46.865095976617653</v>
      </c>
      <c r="CB123" s="20">
        <f t="shared" si="64"/>
        <v>407.22865549260911</v>
      </c>
      <c r="CC123" s="59">
        <f t="shared" si="65"/>
        <v>700.56198882594242</v>
      </c>
      <c r="CD123" s="59">
        <f ca="1">AVERAGE(OFFSET($CC$3,0,0,'Données projet'!$E$12+1,1))-AVERAGE(OFFSET($H$3,0,0,'Données projet'!$E$12+1,1))</f>
        <v>164.24405955980575</v>
      </c>
      <c r="CE123" s="59">
        <f t="shared" si="94"/>
        <v>379.20713858755209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148.39628895278571</v>
      </c>
      <c r="AO124" s="59">
        <f t="shared" si="90"/>
        <v>361.07991692964788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10.948069648552405</v>
      </c>
      <c r="AW124" s="21">
        <f>EXP(-LN(2)/2)*AW123+(1-EXP(-LN(2)/2))/(LN(2)/2)*AQ124*AT124*VLOOKUP('Données projet'!$B$10,Paramètres!$A$1:$I$89,3,0)*0.475*44/12</f>
        <v>9.0360968386439761E-16</v>
      </c>
      <c r="AX124" s="21">
        <f t="shared" si="60"/>
        <v>10.948069648552407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234.00000000000003</v>
      </c>
      <c r="BE124" s="13">
        <f>BD124*VLOOKUP('Données projet'!$B$11,Paramètres!$A$1:$I$89,3,0)*VLOOKUP('Données projet'!$B$11,Paramètres!$A$1:$I$89,5,0)</f>
        <v>189.82080000000005</v>
      </c>
      <c r="BF124" s="13">
        <f t="shared" si="91"/>
        <v>47.500332100049796</v>
      </c>
      <c r="BG124" s="20">
        <f t="shared" si="61"/>
        <v>413.33430507425345</v>
      </c>
      <c r="BH124" s="59">
        <f t="shared" si="62"/>
        <v>706.66763840758676</v>
      </c>
      <c r="BI124" s="59">
        <f ca="1">AVERAGE(OFFSET($BH$3,0,0,'Données projet'!$E$11+1,1))-AVERAGE(OFFSET($H$3,0,0,'Données projet'!$E$11+1,1))</f>
        <v>181.20458942529478</v>
      </c>
      <c r="BJ124" s="59">
        <f t="shared" si="92"/>
        <v>144.05254691566421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20.551126627029596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20.551126627029596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214</v>
      </c>
      <c r="BZ124" s="13">
        <f>BY124*VLOOKUP('Données projet'!$B$12,Paramètres!$A$1:$I$89,3,0)*VLOOKUP('Données projet'!$B$12,Paramètres!$A$1:$I$89,5,0)</f>
        <v>186.95040000000003</v>
      </c>
      <c r="CA124" s="13">
        <f t="shared" si="93"/>
        <v>46.865095976617653</v>
      </c>
      <c r="CB124" s="20">
        <f t="shared" si="64"/>
        <v>407.22865549260911</v>
      </c>
      <c r="CC124" s="59">
        <f t="shared" si="65"/>
        <v>700.56198882594242</v>
      </c>
      <c r="CD124" s="59">
        <f ca="1">AVERAGE(OFFSET($CC$3,0,0,'Données projet'!$E$12+1,1))-AVERAGE(OFFSET($H$3,0,0,'Données projet'!$E$12+1,1))</f>
        <v>164.24405955980575</v>
      </c>
      <c r="CE124" s="59">
        <f t="shared" si="94"/>
        <v>379.20713858755209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148.39628895278571</v>
      </c>
      <c r="AO125" s="59">
        <f t="shared" si="90"/>
        <v>361.07991692964788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10.648694108278779</v>
      </c>
      <c r="AW125" s="21">
        <f>EXP(-LN(2)/2)*AW124+(1-EXP(-LN(2)/2))/(LN(2)/2)*AQ125*AT125*VLOOKUP('Données projet'!$B$10,Paramètres!$A$1:$I$89,3,0)*0.475*44/12</f>
        <v>6.3894853500634799E-16</v>
      </c>
      <c r="AX125" s="21">
        <f t="shared" si="60"/>
        <v>10.648694108278779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234.00000000000003</v>
      </c>
      <c r="BE125" s="13">
        <f>BD125*VLOOKUP('Données projet'!$B$11,Paramètres!$A$1:$I$89,3,0)*VLOOKUP('Données projet'!$B$11,Paramètres!$A$1:$I$89,5,0)</f>
        <v>189.82080000000005</v>
      </c>
      <c r="BF125" s="13">
        <f t="shared" si="91"/>
        <v>47.500332100049796</v>
      </c>
      <c r="BG125" s="20">
        <f t="shared" si="61"/>
        <v>413.33430507425345</v>
      </c>
      <c r="BH125" s="59">
        <f t="shared" si="62"/>
        <v>706.66763840758676</v>
      </c>
      <c r="BI125" s="59">
        <f ca="1">AVERAGE(OFFSET($BH$3,0,0,'Données projet'!$E$11+1,1))-AVERAGE(OFFSET($H$3,0,0,'Données projet'!$E$11+1,1))</f>
        <v>181.20458942529478</v>
      </c>
      <c r="BJ125" s="59">
        <f t="shared" si="92"/>
        <v>144.05254691566421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20.148131568823064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20.148131568823064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214</v>
      </c>
      <c r="BZ125" s="13">
        <f>BY125*VLOOKUP('Données projet'!$B$12,Paramètres!$A$1:$I$89,3,0)*VLOOKUP('Données projet'!$B$12,Paramètres!$A$1:$I$89,5,0)</f>
        <v>186.95040000000003</v>
      </c>
      <c r="CA125" s="13">
        <f t="shared" si="93"/>
        <v>46.865095976617653</v>
      </c>
      <c r="CB125" s="20">
        <f t="shared" si="64"/>
        <v>407.22865549260911</v>
      </c>
      <c r="CC125" s="59">
        <f t="shared" si="65"/>
        <v>700.56198882594242</v>
      </c>
      <c r="CD125" s="59">
        <f ca="1">AVERAGE(OFFSET($CC$3,0,0,'Données projet'!$E$12+1,1))-AVERAGE(OFFSET($H$3,0,0,'Données projet'!$E$12+1,1))</f>
        <v>164.24405955980575</v>
      </c>
      <c r="CE125" s="59">
        <f t="shared" si="94"/>
        <v>379.20713858755209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148.39628895278571</v>
      </c>
      <c r="AO126" s="59">
        <f t="shared" si="90"/>
        <v>361.07991692964788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10.35750500789741</v>
      </c>
      <c r="AW126" s="21">
        <f>EXP(-LN(2)/2)*AW125+(1-EXP(-LN(2)/2))/(LN(2)/2)*AQ126*AT126*VLOOKUP('Données projet'!$B$10,Paramètres!$A$1:$I$89,3,0)*0.475*44/12</f>
        <v>4.5180484193219881E-16</v>
      </c>
      <c r="AX126" s="21">
        <f t="shared" si="60"/>
        <v>10.35750500789741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234.00000000000003</v>
      </c>
      <c r="BE126" s="13">
        <f>BD126*VLOOKUP('Données projet'!$B$11,Paramètres!$A$1:$I$89,3,0)*VLOOKUP('Données projet'!$B$11,Paramètres!$A$1:$I$89,5,0)</f>
        <v>189.82080000000005</v>
      </c>
      <c r="BF126" s="13">
        <f t="shared" si="91"/>
        <v>47.500332100049796</v>
      </c>
      <c r="BG126" s="20">
        <f t="shared" si="61"/>
        <v>413.33430507425345</v>
      </c>
      <c r="BH126" s="59">
        <f t="shared" si="62"/>
        <v>706.66763840758676</v>
      </c>
      <c r="BI126" s="59">
        <f ca="1">AVERAGE(OFFSET($BH$3,0,0,'Données projet'!$E$11+1,1))-AVERAGE(OFFSET($H$3,0,0,'Données projet'!$E$11+1,1))</f>
        <v>181.20458942529478</v>
      </c>
      <c r="BJ126" s="59">
        <f t="shared" si="92"/>
        <v>144.05254691566421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19.75303899790525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19.75303899790525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214</v>
      </c>
      <c r="BZ126" s="13">
        <f>BY126*VLOOKUP('Données projet'!$B$12,Paramètres!$A$1:$I$89,3,0)*VLOOKUP('Données projet'!$B$12,Paramètres!$A$1:$I$89,5,0)</f>
        <v>186.95040000000003</v>
      </c>
      <c r="CA126" s="13">
        <f t="shared" si="93"/>
        <v>46.865095976617653</v>
      </c>
      <c r="CB126" s="20">
        <f t="shared" si="64"/>
        <v>407.22865549260911</v>
      </c>
      <c r="CC126" s="59">
        <f t="shared" si="65"/>
        <v>700.56198882594242</v>
      </c>
      <c r="CD126" s="59">
        <f ca="1">AVERAGE(OFFSET($CC$3,0,0,'Données projet'!$E$12+1,1))-AVERAGE(OFFSET($H$3,0,0,'Données projet'!$E$12+1,1))</f>
        <v>164.24405955980575</v>
      </c>
      <c r="CE126" s="59">
        <f t="shared" si="94"/>
        <v>379.20713858755209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148.39628895278571</v>
      </c>
      <c r="AO127" s="59">
        <f t="shared" si="90"/>
        <v>361.07991692964788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10.07427848877894</v>
      </c>
      <c r="AW127" s="21">
        <f>EXP(-LN(2)/2)*AW126+(1-EXP(-LN(2)/2))/(LN(2)/2)*AQ127*AT127*VLOOKUP('Données projet'!$B$10,Paramètres!$A$1:$I$89,3,0)*0.475*44/12</f>
        <v>3.1947426750317399E-16</v>
      </c>
      <c r="AX127" s="21">
        <f t="shared" si="60"/>
        <v>10.07427848877894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234.00000000000003</v>
      </c>
      <c r="BE127" s="13">
        <f>BD127*VLOOKUP('Données projet'!$B$11,Paramètres!$A$1:$I$89,3,0)*VLOOKUP('Données projet'!$B$11,Paramètres!$A$1:$I$89,5,0)</f>
        <v>189.82080000000005</v>
      </c>
      <c r="BF127" s="13">
        <f t="shared" si="91"/>
        <v>47.500332100049796</v>
      </c>
      <c r="BG127" s="20">
        <f t="shared" si="61"/>
        <v>413.33430507425345</v>
      </c>
      <c r="BH127" s="59">
        <f t="shared" si="62"/>
        <v>706.66763840758676</v>
      </c>
      <c r="BI127" s="59">
        <f ca="1">AVERAGE(OFFSET($BH$3,0,0,'Données projet'!$E$11+1,1))-AVERAGE(OFFSET($H$3,0,0,'Données projet'!$E$11+1,1))</f>
        <v>181.20458942529478</v>
      </c>
      <c r="BJ127" s="59">
        <f t="shared" si="92"/>
        <v>144.05254691566421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19.365693951320459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19.365693951320459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214</v>
      </c>
      <c r="BZ127" s="13">
        <f>BY127*VLOOKUP('Données projet'!$B$12,Paramètres!$A$1:$I$89,3,0)*VLOOKUP('Données projet'!$B$12,Paramètres!$A$1:$I$89,5,0)</f>
        <v>186.95040000000003</v>
      </c>
      <c r="CA127" s="13">
        <f t="shared" si="93"/>
        <v>46.865095976617653</v>
      </c>
      <c r="CB127" s="20">
        <f t="shared" si="64"/>
        <v>407.22865549260911</v>
      </c>
      <c r="CC127" s="59">
        <f t="shared" si="65"/>
        <v>700.56198882594242</v>
      </c>
      <c r="CD127" s="59">
        <f ca="1">AVERAGE(OFFSET($CC$3,0,0,'Données projet'!$E$12+1,1))-AVERAGE(OFFSET($H$3,0,0,'Données projet'!$E$12+1,1))</f>
        <v>164.24405955980575</v>
      </c>
      <c r="CE127" s="59">
        <f t="shared" si="94"/>
        <v>379.20713858755209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148.39628895278571</v>
      </c>
      <c r="AO128" s="59">
        <f t="shared" si="90"/>
        <v>361.07991692964788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9.7987968137199992</v>
      </c>
      <c r="AW128" s="21">
        <f>EXP(-LN(2)/2)*AW127+(1-EXP(-LN(2)/2))/(LN(2)/2)*AQ128*AT128*VLOOKUP('Données projet'!$B$10,Paramètres!$A$1:$I$89,3,0)*0.475*44/12</f>
        <v>2.259024209660994E-16</v>
      </c>
      <c r="AX128" s="21">
        <f t="shared" si="60"/>
        <v>9.7987968137199992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234.00000000000003</v>
      </c>
      <c r="BE128" s="13">
        <f>BD128*VLOOKUP('Données projet'!$B$11,Paramètres!$A$1:$I$89,3,0)*VLOOKUP('Données projet'!$B$11,Paramètres!$A$1:$I$89,5,0)</f>
        <v>189.82080000000005</v>
      </c>
      <c r="BF128" s="13">
        <f t="shared" si="91"/>
        <v>47.500332100049796</v>
      </c>
      <c r="BG128" s="20">
        <f t="shared" si="61"/>
        <v>413.33430507425345</v>
      </c>
      <c r="BH128" s="59">
        <f t="shared" si="62"/>
        <v>706.66763840758676</v>
      </c>
      <c r="BI128" s="59">
        <f ca="1">AVERAGE(OFFSET($BH$3,0,0,'Données projet'!$E$11+1,1))-AVERAGE(OFFSET($H$3,0,0,'Données projet'!$E$11+1,1))</f>
        <v>181.20458942529478</v>
      </c>
      <c r="BJ128" s="59">
        <f t="shared" si="92"/>
        <v>144.05254691566421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18.985944504842045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18.985944504842045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214</v>
      </c>
      <c r="BZ128" s="13">
        <f>BY128*VLOOKUP('Données projet'!$B$12,Paramètres!$A$1:$I$89,3,0)*VLOOKUP('Données projet'!$B$12,Paramètres!$A$1:$I$89,5,0)</f>
        <v>186.95040000000003</v>
      </c>
      <c r="CA128" s="13">
        <f t="shared" si="93"/>
        <v>46.865095976617653</v>
      </c>
      <c r="CB128" s="20">
        <f t="shared" si="64"/>
        <v>407.22865549260911</v>
      </c>
      <c r="CC128" s="59">
        <f t="shared" si="65"/>
        <v>700.56198882594242</v>
      </c>
      <c r="CD128" s="59">
        <f ca="1">AVERAGE(OFFSET($CC$3,0,0,'Données projet'!$E$12+1,1))-AVERAGE(OFFSET($H$3,0,0,'Données projet'!$E$12+1,1))</f>
        <v>164.24405955980575</v>
      </c>
      <c r="CE128" s="59">
        <f t="shared" si="94"/>
        <v>379.20713858755209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148.39628895278571</v>
      </c>
      <c r="AO129" s="59">
        <f t="shared" si="90"/>
        <v>361.07991692964788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9.5308481995524961</v>
      </c>
      <c r="AW129" s="21">
        <f>EXP(-LN(2)/2)*AW128+(1-EXP(-LN(2)/2))/(LN(2)/2)*AQ129*AT129*VLOOKUP('Données projet'!$B$10,Paramètres!$A$1:$I$89,3,0)*0.475*44/12</f>
        <v>1.59737133751587E-16</v>
      </c>
      <c r="AX129" s="21">
        <f t="shared" si="60"/>
        <v>9.5308481995524961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234.00000000000003</v>
      </c>
      <c r="BE129" s="13">
        <f>BD129*VLOOKUP('Données projet'!$B$11,Paramètres!$A$1:$I$89,3,0)*VLOOKUP('Données projet'!$B$11,Paramètres!$A$1:$I$89,5,0)</f>
        <v>189.82080000000005</v>
      </c>
      <c r="BF129" s="13">
        <f t="shared" si="91"/>
        <v>47.500332100049796</v>
      </c>
      <c r="BG129" s="20">
        <f t="shared" si="61"/>
        <v>413.33430507425345</v>
      </c>
      <c r="BH129" s="59">
        <f t="shared" si="62"/>
        <v>706.66763840758676</v>
      </c>
      <c r="BI129" s="59">
        <f ca="1">AVERAGE(OFFSET($BH$3,0,0,'Données projet'!$E$11+1,1))-AVERAGE(OFFSET($H$3,0,0,'Données projet'!$E$11+1,1))</f>
        <v>181.20458942529478</v>
      </c>
      <c r="BJ129" s="59">
        <f t="shared" si="92"/>
        <v>144.05254691566421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18.613641713384784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18.613641713384784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214</v>
      </c>
      <c r="BZ129" s="13">
        <f>BY129*VLOOKUP('Données projet'!$B$12,Paramètres!$A$1:$I$89,3,0)*VLOOKUP('Données projet'!$B$12,Paramètres!$A$1:$I$89,5,0)</f>
        <v>186.95040000000003</v>
      </c>
      <c r="CA129" s="13">
        <f t="shared" si="93"/>
        <v>46.865095976617653</v>
      </c>
      <c r="CB129" s="20">
        <f t="shared" si="64"/>
        <v>407.22865549260911</v>
      </c>
      <c r="CC129" s="59">
        <f t="shared" si="65"/>
        <v>700.56198882594242</v>
      </c>
      <c r="CD129" s="59">
        <f ca="1">AVERAGE(OFFSET($CC$3,0,0,'Données projet'!$E$12+1,1))-AVERAGE(OFFSET($H$3,0,0,'Données projet'!$E$12+1,1))</f>
        <v>164.24405955980575</v>
      </c>
      <c r="CE129" s="59">
        <f t="shared" si="94"/>
        <v>379.20713858755209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148.39628895278571</v>
      </c>
      <c r="AO130" s="59">
        <f t="shared" si="90"/>
        <v>361.07991692964788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9.2702266543302088</v>
      </c>
      <c r="AW130" s="21">
        <f>EXP(-LN(2)/2)*AW129+(1-EXP(-LN(2)/2))/(LN(2)/2)*AQ130*AT130*VLOOKUP('Données projet'!$B$10,Paramètres!$A$1:$I$89,3,0)*0.475*44/12</f>
        <v>1.129512104830497E-16</v>
      </c>
      <c r="AX130" s="21">
        <f t="shared" si="60"/>
        <v>9.2702266543302088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234.00000000000003</v>
      </c>
      <c r="BE130" s="13">
        <f>BD130*VLOOKUP('Données projet'!$B$11,Paramètres!$A$1:$I$89,3,0)*VLOOKUP('Données projet'!$B$11,Paramètres!$A$1:$I$89,5,0)</f>
        <v>189.82080000000005</v>
      </c>
      <c r="BF130" s="13">
        <f t="shared" si="91"/>
        <v>47.500332100049796</v>
      </c>
      <c r="BG130" s="20">
        <f t="shared" si="61"/>
        <v>413.33430507425345</v>
      </c>
      <c r="BH130" s="59">
        <f t="shared" si="62"/>
        <v>706.66763840758676</v>
      </c>
      <c r="BI130" s="59">
        <f ca="1">AVERAGE(OFFSET($BH$3,0,0,'Données projet'!$E$11+1,1))-AVERAGE(OFFSET($H$3,0,0,'Données projet'!$E$11+1,1))</f>
        <v>181.20458942529478</v>
      </c>
      <c r="BJ130" s="59">
        <f t="shared" si="92"/>
        <v>144.05254691566421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18.248639552585718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18.248639552585718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214</v>
      </c>
      <c r="BZ130" s="13">
        <f>BY130*VLOOKUP('Données projet'!$B$12,Paramètres!$A$1:$I$89,3,0)*VLOOKUP('Données projet'!$B$12,Paramètres!$A$1:$I$89,5,0)</f>
        <v>186.95040000000003</v>
      </c>
      <c r="CA130" s="13">
        <f t="shared" si="93"/>
        <v>46.865095976617653</v>
      </c>
      <c r="CB130" s="20">
        <f t="shared" si="64"/>
        <v>407.22865549260911</v>
      </c>
      <c r="CC130" s="59">
        <f t="shared" si="65"/>
        <v>700.56198882594242</v>
      </c>
      <c r="CD130" s="59">
        <f ca="1">AVERAGE(OFFSET($CC$3,0,0,'Données projet'!$E$12+1,1))-AVERAGE(OFFSET($H$3,0,0,'Données projet'!$E$12+1,1))</f>
        <v>164.24405955980575</v>
      </c>
      <c r="CE130" s="59">
        <f t="shared" si="94"/>
        <v>379.20713858755209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148.39628895278571</v>
      </c>
      <c r="AO131" s="59">
        <f t="shared" si="90"/>
        <v>361.07991692964788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9.0167318189675161</v>
      </c>
      <c r="AW131" s="21">
        <f>EXP(-LN(2)/2)*AW130+(1-EXP(-LN(2)/2))/(LN(2)/2)*AQ131*AT131*VLOOKUP('Données projet'!$B$10,Paramètres!$A$1:$I$89,3,0)*0.475*44/12</f>
        <v>7.9868566875793499E-17</v>
      </c>
      <c r="AX131" s="21">
        <f t="shared" si="60"/>
        <v>9.0167318189675161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234.00000000000003</v>
      </c>
      <c r="BE131" s="13">
        <f>BD131*VLOOKUP('Données projet'!$B$11,Paramètres!$A$1:$I$89,3,0)*VLOOKUP('Données projet'!$B$11,Paramètres!$A$1:$I$89,5,0)</f>
        <v>189.82080000000005</v>
      </c>
      <c r="BF131" s="13">
        <f t="shared" si="91"/>
        <v>47.500332100049796</v>
      </c>
      <c r="BG131" s="20">
        <f t="shared" si="61"/>
        <v>413.33430507425345</v>
      </c>
      <c r="BH131" s="59">
        <f t="shared" si="62"/>
        <v>706.66763840758676</v>
      </c>
      <c r="BI131" s="59">
        <f ca="1">AVERAGE(OFFSET($BH$3,0,0,'Données projet'!$E$11+1,1))-AVERAGE(OFFSET($H$3,0,0,'Données projet'!$E$11+1,1))</f>
        <v>181.20458942529478</v>
      </c>
      <c r="BJ131" s="59">
        <f t="shared" si="92"/>
        <v>144.05254691566421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17.890794861530587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17.890794861530587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214</v>
      </c>
      <c r="BZ131" s="13">
        <f>BY131*VLOOKUP('Données projet'!$B$12,Paramètres!$A$1:$I$89,3,0)*VLOOKUP('Données projet'!$B$12,Paramètres!$A$1:$I$89,5,0)</f>
        <v>186.95040000000003</v>
      </c>
      <c r="CA131" s="13">
        <f t="shared" si="93"/>
        <v>46.865095976617653</v>
      </c>
      <c r="CB131" s="20">
        <f t="shared" si="64"/>
        <v>407.22865549260911</v>
      </c>
      <c r="CC131" s="59">
        <f t="shared" si="65"/>
        <v>700.56198882594242</v>
      </c>
      <c r="CD131" s="59">
        <f ca="1">AVERAGE(OFFSET($CC$3,0,0,'Données projet'!$E$12+1,1))-AVERAGE(OFFSET($H$3,0,0,'Données projet'!$E$12+1,1))</f>
        <v>164.24405955980575</v>
      </c>
      <c r="CE131" s="59">
        <f t="shared" si="94"/>
        <v>379.20713858755209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148.39628895278571</v>
      </c>
      <c r="AO132" s="59">
        <f t="shared" si="90"/>
        <v>361.07991692964788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8.7701688132085316</v>
      </c>
      <c r="AW132" s="21">
        <f>EXP(-LN(2)/2)*AW131+(1-EXP(-LN(2)/2))/(LN(2)/2)*AQ132*AT132*VLOOKUP('Données projet'!$B$10,Paramètres!$A$1:$I$89,3,0)*0.475*44/12</f>
        <v>5.6475605241524851E-17</v>
      </c>
      <c r="AX132" s="21">
        <f t="shared" ref="AX132:AX153" si="114">SUM(AU132:AW132)</f>
        <v>8.7701688132085316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234.00000000000003</v>
      </c>
      <c r="BE132" s="13">
        <f>BD132*VLOOKUP('Données projet'!$B$11,Paramètres!$A$1:$I$89,3,0)*VLOOKUP('Données projet'!$B$11,Paramètres!$A$1:$I$89,5,0)</f>
        <v>189.82080000000005</v>
      </c>
      <c r="BF132" s="13">
        <f t="shared" si="91"/>
        <v>47.500332100049796</v>
      </c>
      <c r="BG132" s="20">
        <f t="shared" ref="BG132:BG153" si="115">(BE132+BF132)*0.475*44/12</f>
        <v>413.33430507425345</v>
      </c>
      <c r="BH132" s="59">
        <f t="shared" ref="BH132:BH195" si="116">BG132+(AY132+AZ132)*44/12</f>
        <v>706.66763840758676</v>
      </c>
      <c r="BI132" s="59">
        <f ca="1">AVERAGE(OFFSET($BH$3,0,0,'Données projet'!$E$11+1,1))-AVERAGE(OFFSET($H$3,0,0,'Données projet'!$E$11+1,1))</f>
        <v>181.20458942529478</v>
      </c>
      <c r="BJ132" s="59">
        <f t="shared" si="92"/>
        <v>144.05254691566421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17.539967286603336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17.539967286603336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214</v>
      </c>
      <c r="BZ132" s="13">
        <f>BY132*VLOOKUP('Données projet'!$B$12,Paramètres!$A$1:$I$89,3,0)*VLOOKUP('Données projet'!$B$12,Paramètres!$A$1:$I$89,5,0)</f>
        <v>186.95040000000003</v>
      </c>
      <c r="CA132" s="13">
        <f t="shared" si="93"/>
        <v>46.865095976617653</v>
      </c>
      <c r="CB132" s="20">
        <f t="shared" ref="CB132:CB153" si="118">(BZ132+CA132)*0.475*44/12</f>
        <v>407.22865549260911</v>
      </c>
      <c r="CC132" s="59">
        <f t="shared" ref="CC132:CC195" si="119">CB132+(BT132+BU132)*44/12</f>
        <v>700.56198882594242</v>
      </c>
      <c r="CD132" s="59">
        <f ca="1">AVERAGE(OFFSET($CC$3,0,0,'Données projet'!$E$12+1,1))-AVERAGE(OFFSET($H$3,0,0,'Données projet'!$E$12+1,1))</f>
        <v>164.24405955980575</v>
      </c>
      <c r="CE132" s="59">
        <f t="shared" si="94"/>
        <v>379.20713858755209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148.39628895278571</v>
      </c>
      <c r="AO133" s="59">
        <f t="shared" ref="AO133:AO196" si="144">$AO$3</f>
        <v>361.07991692964788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8.5303480858082104</v>
      </c>
      <c r="AW133" s="21">
        <f>EXP(-LN(2)/2)*AW132+(1-EXP(-LN(2)/2))/(LN(2)/2)*AQ133*AT133*VLOOKUP('Données projet'!$B$10,Paramètres!$A$1:$I$89,3,0)*0.475*44/12</f>
        <v>3.9934283437896749E-17</v>
      </c>
      <c r="AX133" s="21">
        <f t="shared" si="114"/>
        <v>8.5303480858082104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234.00000000000003</v>
      </c>
      <c r="BE133" s="13">
        <f>BD133*VLOOKUP('Données projet'!$B$11,Paramètres!$A$1:$I$89,3,0)*VLOOKUP('Données projet'!$B$11,Paramètres!$A$1:$I$89,5,0)</f>
        <v>189.82080000000005</v>
      </c>
      <c r="BF133" s="13">
        <f t="shared" ref="BF133:BF153" si="145">EXP(-1.0587+0.8836*LN(BE133)+0.284)</f>
        <v>47.500332100049796</v>
      </c>
      <c r="BG133" s="20">
        <f t="shared" si="115"/>
        <v>413.33430507425345</v>
      </c>
      <c r="BH133" s="59">
        <f t="shared" si="116"/>
        <v>706.66763840758676</v>
      </c>
      <c r="BI133" s="59">
        <f ca="1">AVERAGE(OFFSET($BH$3,0,0,'Données projet'!$E$11+1,1))-AVERAGE(OFFSET($H$3,0,0,'Données projet'!$E$11+1,1))</f>
        <v>181.20458942529478</v>
      </c>
      <c r="BJ133" s="59">
        <f t="shared" ref="BJ133:BJ196" si="146">$BJ$3</f>
        <v>144.05254691566421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17.196019226436718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17.196019226436718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214</v>
      </c>
      <c r="BZ133" s="13">
        <f>BY133*VLOOKUP('Données projet'!$B$12,Paramètres!$A$1:$I$89,3,0)*VLOOKUP('Données projet'!$B$12,Paramètres!$A$1:$I$89,5,0)</f>
        <v>186.95040000000003</v>
      </c>
      <c r="CA133" s="13">
        <f t="shared" ref="CA133:CA153" si="147">EXP(-1.0587+0.8836*LN(BZ133)+0.284)</f>
        <v>46.865095976617653</v>
      </c>
      <c r="CB133" s="20">
        <f t="shared" si="118"/>
        <v>407.22865549260911</v>
      </c>
      <c r="CC133" s="59">
        <f t="shared" si="119"/>
        <v>700.56198882594242</v>
      </c>
      <c r="CD133" s="59">
        <f ca="1">AVERAGE(OFFSET($CC$3,0,0,'Données projet'!$E$12+1,1))-AVERAGE(OFFSET($H$3,0,0,'Données projet'!$E$12+1,1))</f>
        <v>164.24405955980575</v>
      </c>
      <c r="CE133" s="59">
        <f t="shared" ref="CE133:CE196" si="148">$CE$3</f>
        <v>379.20713858755209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148.39628895278571</v>
      </c>
      <c r="AO134" s="59">
        <f t="shared" si="144"/>
        <v>361.07991692964788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8.2970852688102745</v>
      </c>
      <c r="AW134" s="21">
        <f>EXP(-LN(2)/2)*AW133+(1-EXP(-LN(2)/2))/(LN(2)/2)*AQ134*AT134*VLOOKUP('Données projet'!$B$10,Paramètres!$A$1:$I$89,3,0)*0.475*44/12</f>
        <v>2.8237802620762425E-17</v>
      </c>
      <c r="AX134" s="21">
        <f t="shared" si="114"/>
        <v>8.2970852688102745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234.00000000000003</v>
      </c>
      <c r="BE134" s="13">
        <f>BD134*VLOOKUP('Données projet'!$B$11,Paramètres!$A$1:$I$89,3,0)*VLOOKUP('Données projet'!$B$11,Paramètres!$A$1:$I$89,5,0)</f>
        <v>189.82080000000005</v>
      </c>
      <c r="BF134" s="13">
        <f t="shared" si="145"/>
        <v>47.500332100049796</v>
      </c>
      <c r="BG134" s="20">
        <f t="shared" si="115"/>
        <v>413.33430507425345</v>
      </c>
      <c r="BH134" s="59">
        <f t="shared" si="116"/>
        <v>706.66763840758676</v>
      </c>
      <c r="BI134" s="59">
        <f ca="1">AVERAGE(OFFSET($BH$3,0,0,'Données projet'!$E$11+1,1))-AVERAGE(OFFSET($H$3,0,0,'Données projet'!$E$11+1,1))</f>
        <v>181.20458942529478</v>
      </c>
      <c r="BJ134" s="59">
        <f t="shared" si="146"/>
        <v>144.05254691566421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16.858815777942365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16.858815777942365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214</v>
      </c>
      <c r="BZ134" s="13">
        <f>BY134*VLOOKUP('Données projet'!$B$12,Paramètres!$A$1:$I$89,3,0)*VLOOKUP('Données projet'!$B$12,Paramètres!$A$1:$I$89,5,0)</f>
        <v>186.95040000000003</v>
      </c>
      <c r="CA134" s="13">
        <f t="shared" si="147"/>
        <v>46.865095976617653</v>
      </c>
      <c r="CB134" s="20">
        <f t="shared" si="118"/>
        <v>407.22865549260911</v>
      </c>
      <c r="CC134" s="59">
        <f t="shared" si="119"/>
        <v>700.56198882594242</v>
      </c>
      <c r="CD134" s="59">
        <f ca="1">AVERAGE(OFFSET($CC$3,0,0,'Données projet'!$E$12+1,1))-AVERAGE(OFFSET($H$3,0,0,'Données projet'!$E$12+1,1))</f>
        <v>164.24405955980575</v>
      </c>
      <c r="CE134" s="59">
        <f t="shared" si="148"/>
        <v>379.20713858755209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148.39628895278571</v>
      </c>
      <c r="AO135" s="59">
        <f t="shared" si="144"/>
        <v>361.07991692964788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8.070201035809907</v>
      </c>
      <c r="AW135" s="21">
        <f>EXP(-LN(2)/2)*AW134+(1-EXP(-LN(2)/2))/(LN(2)/2)*AQ135*AT135*VLOOKUP('Données projet'!$B$10,Paramètres!$A$1:$I$89,3,0)*0.475*44/12</f>
        <v>1.9967141718948375E-17</v>
      </c>
      <c r="AX135" s="21">
        <f t="shared" si="114"/>
        <v>8.070201035809907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234.00000000000003</v>
      </c>
      <c r="BE135" s="13">
        <f>BD135*VLOOKUP('Données projet'!$B$11,Paramètres!$A$1:$I$89,3,0)*VLOOKUP('Données projet'!$B$11,Paramètres!$A$1:$I$89,5,0)</f>
        <v>189.82080000000005</v>
      </c>
      <c r="BF135" s="13">
        <f t="shared" si="145"/>
        <v>47.500332100049796</v>
      </c>
      <c r="BG135" s="20">
        <f t="shared" si="115"/>
        <v>413.33430507425345</v>
      </c>
      <c r="BH135" s="59">
        <f t="shared" si="116"/>
        <v>706.66763840758676</v>
      </c>
      <c r="BI135" s="59">
        <f ca="1">AVERAGE(OFFSET($BH$3,0,0,'Données projet'!$E$11+1,1))-AVERAGE(OFFSET($H$3,0,0,'Données projet'!$E$11+1,1))</f>
        <v>181.20458942529478</v>
      </c>
      <c r="BJ135" s="59">
        <f t="shared" si="146"/>
        <v>144.05254691566421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16.528224683399191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16.528224683399191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214</v>
      </c>
      <c r="BZ135" s="13">
        <f>BY135*VLOOKUP('Données projet'!$B$12,Paramètres!$A$1:$I$89,3,0)*VLOOKUP('Données projet'!$B$12,Paramètres!$A$1:$I$89,5,0)</f>
        <v>186.95040000000003</v>
      </c>
      <c r="CA135" s="13">
        <f t="shared" si="147"/>
        <v>46.865095976617653</v>
      </c>
      <c r="CB135" s="20">
        <f t="shared" si="118"/>
        <v>407.22865549260911</v>
      </c>
      <c r="CC135" s="59">
        <f t="shared" si="119"/>
        <v>700.56198882594242</v>
      </c>
      <c r="CD135" s="59">
        <f ca="1">AVERAGE(OFFSET($CC$3,0,0,'Données projet'!$E$12+1,1))-AVERAGE(OFFSET($H$3,0,0,'Données projet'!$E$12+1,1))</f>
        <v>164.24405955980575</v>
      </c>
      <c r="CE135" s="59">
        <f t="shared" si="148"/>
        <v>379.20713858755209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148.39628895278571</v>
      </c>
      <c r="AO136" s="59">
        <f t="shared" si="144"/>
        <v>361.07991692964788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7.8495209640922576</v>
      </c>
      <c r="AW136" s="21">
        <f>EXP(-LN(2)/2)*AW135+(1-EXP(-LN(2)/2))/(LN(2)/2)*AQ136*AT136*VLOOKUP('Données projet'!$B$10,Paramètres!$A$1:$I$89,3,0)*0.475*44/12</f>
        <v>1.4118901310381213E-17</v>
      </c>
      <c r="AX136" s="21">
        <f t="shared" si="114"/>
        <v>7.8495209640922576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234.00000000000003</v>
      </c>
      <c r="BE136" s="13">
        <f>BD136*VLOOKUP('Données projet'!$B$11,Paramètres!$A$1:$I$89,3,0)*VLOOKUP('Données projet'!$B$11,Paramètres!$A$1:$I$89,5,0)</f>
        <v>189.82080000000005</v>
      </c>
      <c r="BF136" s="13">
        <f t="shared" si="145"/>
        <v>47.500332100049796</v>
      </c>
      <c r="BG136" s="20">
        <f t="shared" si="115"/>
        <v>413.33430507425345</v>
      </c>
      <c r="BH136" s="59">
        <f t="shared" si="116"/>
        <v>706.66763840758676</v>
      </c>
      <c r="BI136" s="59">
        <f ca="1">AVERAGE(OFFSET($BH$3,0,0,'Données projet'!$E$11+1,1))-AVERAGE(OFFSET($H$3,0,0,'Données projet'!$E$11+1,1))</f>
        <v>181.20458942529478</v>
      </c>
      <c r="BJ136" s="59">
        <f t="shared" si="146"/>
        <v>144.05254691566421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16.204116278579352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16.204116278579352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214</v>
      </c>
      <c r="BZ136" s="13">
        <f>BY136*VLOOKUP('Données projet'!$B$12,Paramètres!$A$1:$I$89,3,0)*VLOOKUP('Données projet'!$B$12,Paramètres!$A$1:$I$89,5,0)</f>
        <v>186.95040000000003</v>
      </c>
      <c r="CA136" s="13">
        <f t="shared" si="147"/>
        <v>46.865095976617653</v>
      </c>
      <c r="CB136" s="20">
        <f t="shared" si="118"/>
        <v>407.22865549260911</v>
      </c>
      <c r="CC136" s="59">
        <f t="shared" si="119"/>
        <v>700.56198882594242</v>
      </c>
      <c r="CD136" s="59">
        <f ca="1">AVERAGE(OFFSET($CC$3,0,0,'Données projet'!$E$12+1,1))-AVERAGE(OFFSET($H$3,0,0,'Données projet'!$E$12+1,1))</f>
        <v>164.24405955980575</v>
      </c>
      <c r="CE136" s="59">
        <f t="shared" si="148"/>
        <v>379.20713858755209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148.39628895278571</v>
      </c>
      <c r="AO137" s="59">
        <f t="shared" si="144"/>
        <v>361.07991692964788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7.6348754005407873</v>
      </c>
      <c r="AW137" s="21">
        <f>EXP(-LN(2)/2)*AW136+(1-EXP(-LN(2)/2))/(LN(2)/2)*AQ137*AT137*VLOOKUP('Données projet'!$B$10,Paramètres!$A$1:$I$89,3,0)*0.475*44/12</f>
        <v>9.9835708594741873E-18</v>
      </c>
      <c r="AX137" s="21">
        <f t="shared" si="114"/>
        <v>7.6348754005407873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234.00000000000003</v>
      </c>
      <c r="BE137" s="13">
        <f>BD137*VLOOKUP('Données projet'!$B$11,Paramètres!$A$1:$I$89,3,0)*VLOOKUP('Données projet'!$B$11,Paramètres!$A$1:$I$89,5,0)</f>
        <v>189.82080000000005</v>
      </c>
      <c r="BF137" s="13">
        <f t="shared" si="145"/>
        <v>47.500332100049796</v>
      </c>
      <c r="BG137" s="20">
        <f t="shared" si="115"/>
        <v>413.33430507425345</v>
      </c>
      <c r="BH137" s="59">
        <f t="shared" si="116"/>
        <v>706.66763840758676</v>
      </c>
      <c r="BI137" s="59">
        <f ca="1">AVERAGE(OFFSET($BH$3,0,0,'Données projet'!$E$11+1,1))-AVERAGE(OFFSET($H$3,0,0,'Données projet'!$E$11+1,1))</f>
        <v>181.20458942529478</v>
      </c>
      <c r="BJ137" s="59">
        <f t="shared" si="146"/>
        <v>144.05254691566421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15.886363441891424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15.886363441891424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214</v>
      </c>
      <c r="BZ137" s="13">
        <f>BY137*VLOOKUP('Données projet'!$B$12,Paramètres!$A$1:$I$89,3,0)*VLOOKUP('Données projet'!$B$12,Paramètres!$A$1:$I$89,5,0)</f>
        <v>186.95040000000003</v>
      </c>
      <c r="CA137" s="13">
        <f t="shared" si="147"/>
        <v>46.865095976617653</v>
      </c>
      <c r="CB137" s="20">
        <f t="shared" si="118"/>
        <v>407.22865549260911</v>
      </c>
      <c r="CC137" s="59">
        <f t="shared" si="119"/>
        <v>700.56198882594242</v>
      </c>
      <c r="CD137" s="59">
        <f ca="1">AVERAGE(OFFSET($CC$3,0,0,'Données projet'!$E$12+1,1))-AVERAGE(OFFSET($H$3,0,0,'Données projet'!$E$12+1,1))</f>
        <v>164.24405955980575</v>
      </c>
      <c r="CE137" s="59">
        <f t="shared" si="148"/>
        <v>379.20713858755209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148.39628895278571</v>
      </c>
      <c r="AO138" s="59">
        <f t="shared" si="144"/>
        <v>361.07991692964788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7.4260993312123516</v>
      </c>
      <c r="AW138" s="21">
        <f>EXP(-LN(2)/2)*AW137+(1-EXP(-LN(2)/2))/(LN(2)/2)*AQ138*AT138*VLOOKUP('Données projet'!$B$10,Paramètres!$A$1:$I$89,3,0)*0.475*44/12</f>
        <v>7.0594506551906064E-18</v>
      </c>
      <c r="AX138" s="21">
        <f t="shared" si="114"/>
        <v>7.4260993312123516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234.00000000000003</v>
      </c>
      <c r="BE138" s="13">
        <f>BD138*VLOOKUP('Données projet'!$B$11,Paramètres!$A$1:$I$89,3,0)*VLOOKUP('Données projet'!$B$11,Paramètres!$A$1:$I$89,5,0)</f>
        <v>189.82080000000005</v>
      </c>
      <c r="BF138" s="13">
        <f t="shared" si="145"/>
        <v>47.500332100049796</v>
      </c>
      <c r="BG138" s="20">
        <f t="shared" si="115"/>
        <v>413.33430507425345</v>
      </c>
      <c r="BH138" s="59">
        <f t="shared" si="116"/>
        <v>706.66763840758676</v>
      </c>
      <c r="BI138" s="59">
        <f ca="1">AVERAGE(OFFSET($BH$3,0,0,'Données projet'!$E$11+1,1))-AVERAGE(OFFSET($H$3,0,0,'Données projet'!$E$11+1,1))</f>
        <v>181.20458942529478</v>
      </c>
      <c r="BJ138" s="59">
        <f t="shared" si="146"/>
        <v>144.05254691566421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15.574841544520853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15.574841544520853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214</v>
      </c>
      <c r="BZ138" s="13">
        <f>BY138*VLOOKUP('Données projet'!$B$12,Paramètres!$A$1:$I$89,3,0)*VLOOKUP('Données projet'!$B$12,Paramètres!$A$1:$I$89,5,0)</f>
        <v>186.95040000000003</v>
      </c>
      <c r="CA138" s="13">
        <f t="shared" si="147"/>
        <v>46.865095976617653</v>
      </c>
      <c r="CB138" s="20">
        <f t="shared" si="118"/>
        <v>407.22865549260911</v>
      </c>
      <c r="CC138" s="59">
        <f t="shared" si="119"/>
        <v>700.56198882594242</v>
      </c>
      <c r="CD138" s="59">
        <f ca="1">AVERAGE(OFFSET($CC$3,0,0,'Données projet'!$E$12+1,1))-AVERAGE(OFFSET($H$3,0,0,'Données projet'!$E$12+1,1))</f>
        <v>164.24405955980575</v>
      </c>
      <c r="CE138" s="59">
        <f t="shared" si="148"/>
        <v>379.20713858755209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148.39628895278571</v>
      </c>
      <c r="AO139" s="59">
        <f t="shared" si="144"/>
        <v>361.07991692964788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7.2230322544787589</v>
      </c>
      <c r="AW139" s="21">
        <f>EXP(-LN(2)/2)*AW138+(1-EXP(-LN(2)/2))/(LN(2)/2)*AQ139*AT139*VLOOKUP('Données projet'!$B$10,Paramètres!$A$1:$I$89,3,0)*0.475*44/12</f>
        <v>4.9917854297370937E-18</v>
      </c>
      <c r="AX139" s="21">
        <f t="shared" si="114"/>
        <v>7.2230322544787589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234.00000000000003</v>
      </c>
      <c r="BE139" s="13">
        <f>BD139*VLOOKUP('Données projet'!$B$11,Paramètres!$A$1:$I$89,3,0)*VLOOKUP('Données projet'!$B$11,Paramètres!$A$1:$I$89,5,0)</f>
        <v>189.82080000000005</v>
      </c>
      <c r="BF139" s="13">
        <f t="shared" si="145"/>
        <v>47.500332100049796</v>
      </c>
      <c r="BG139" s="20">
        <f t="shared" si="115"/>
        <v>413.33430507425345</v>
      </c>
      <c r="BH139" s="59">
        <f t="shared" si="116"/>
        <v>706.66763840758676</v>
      </c>
      <c r="BI139" s="59">
        <f ca="1">AVERAGE(OFFSET($BH$3,0,0,'Données projet'!$E$11+1,1))-AVERAGE(OFFSET($H$3,0,0,'Données projet'!$E$11+1,1))</f>
        <v>181.20458942529478</v>
      </c>
      <c r="BJ139" s="59">
        <f t="shared" si="146"/>
        <v>144.05254691566421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15.269428401548122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15.269428401548122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214</v>
      </c>
      <c r="BZ139" s="13">
        <f>BY139*VLOOKUP('Données projet'!$B$12,Paramètres!$A$1:$I$89,3,0)*VLOOKUP('Données projet'!$B$12,Paramètres!$A$1:$I$89,5,0)</f>
        <v>186.95040000000003</v>
      </c>
      <c r="CA139" s="13">
        <f t="shared" si="147"/>
        <v>46.865095976617653</v>
      </c>
      <c r="CB139" s="20">
        <f t="shared" si="118"/>
        <v>407.22865549260911</v>
      </c>
      <c r="CC139" s="59">
        <f t="shared" si="119"/>
        <v>700.56198882594242</v>
      </c>
      <c r="CD139" s="59">
        <f ca="1">AVERAGE(OFFSET($CC$3,0,0,'Données projet'!$E$12+1,1))-AVERAGE(OFFSET($H$3,0,0,'Données projet'!$E$12+1,1))</f>
        <v>164.24405955980575</v>
      </c>
      <c r="CE139" s="59">
        <f t="shared" si="148"/>
        <v>379.20713858755209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148.39628895278571</v>
      </c>
      <c r="AO140" s="59">
        <f t="shared" si="144"/>
        <v>361.07991692964788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7.0255180576372798</v>
      </c>
      <c r="AW140" s="21">
        <f>EXP(-LN(2)/2)*AW139+(1-EXP(-LN(2)/2))/(LN(2)/2)*AQ140*AT140*VLOOKUP('Données projet'!$B$10,Paramètres!$A$1:$I$89,3,0)*0.475*44/12</f>
        <v>3.5297253275953032E-18</v>
      </c>
      <c r="AX140" s="21">
        <f t="shared" si="114"/>
        <v>7.0255180576372798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234.00000000000003</v>
      </c>
      <c r="BE140" s="13">
        <f>BD140*VLOOKUP('Données projet'!$B$11,Paramètres!$A$1:$I$89,3,0)*VLOOKUP('Données projet'!$B$11,Paramètres!$A$1:$I$89,5,0)</f>
        <v>189.82080000000005</v>
      </c>
      <c r="BF140" s="13">
        <f t="shared" si="145"/>
        <v>47.500332100049796</v>
      </c>
      <c r="BG140" s="20">
        <f t="shared" si="115"/>
        <v>413.33430507425345</v>
      </c>
      <c r="BH140" s="59">
        <f t="shared" si="116"/>
        <v>706.66763840758676</v>
      </c>
      <c r="BI140" s="59">
        <f ca="1">AVERAGE(OFFSET($BH$3,0,0,'Données projet'!$E$11+1,1))-AVERAGE(OFFSET($H$3,0,0,'Données projet'!$E$11+1,1))</f>
        <v>181.20458942529478</v>
      </c>
      <c r="BJ140" s="59">
        <f t="shared" si="146"/>
        <v>144.05254691566421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14.970004224025464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14.970004224025464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214</v>
      </c>
      <c r="BZ140" s="13">
        <f>BY140*VLOOKUP('Données projet'!$B$12,Paramètres!$A$1:$I$89,3,0)*VLOOKUP('Données projet'!$B$12,Paramètres!$A$1:$I$89,5,0)</f>
        <v>186.95040000000003</v>
      </c>
      <c r="CA140" s="13">
        <f t="shared" si="147"/>
        <v>46.865095976617653</v>
      </c>
      <c r="CB140" s="20">
        <f t="shared" si="118"/>
        <v>407.22865549260911</v>
      </c>
      <c r="CC140" s="59">
        <f t="shared" si="119"/>
        <v>700.56198882594242</v>
      </c>
      <c r="CD140" s="59">
        <f ca="1">AVERAGE(OFFSET($CC$3,0,0,'Données projet'!$E$12+1,1))-AVERAGE(OFFSET($H$3,0,0,'Données projet'!$E$12+1,1))</f>
        <v>164.24405955980575</v>
      </c>
      <c r="CE140" s="59">
        <f t="shared" si="148"/>
        <v>379.20713858755209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148.39628895278571</v>
      </c>
      <c r="AO141" s="59">
        <f t="shared" si="144"/>
        <v>361.07991692964788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6.8334048968952503</v>
      </c>
      <c r="AW141" s="21">
        <f>EXP(-LN(2)/2)*AW140+(1-EXP(-LN(2)/2))/(LN(2)/2)*AQ141*AT141*VLOOKUP('Données projet'!$B$10,Paramètres!$A$1:$I$89,3,0)*0.475*44/12</f>
        <v>2.4958927148685468E-18</v>
      </c>
      <c r="AX141" s="21">
        <f t="shared" si="114"/>
        <v>6.8334048968952503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234.00000000000003</v>
      </c>
      <c r="BE141" s="13">
        <f>BD141*VLOOKUP('Données projet'!$B$11,Paramètres!$A$1:$I$89,3,0)*VLOOKUP('Données projet'!$B$11,Paramètres!$A$1:$I$89,5,0)</f>
        <v>189.82080000000005</v>
      </c>
      <c r="BF141" s="13">
        <f t="shared" si="145"/>
        <v>47.500332100049796</v>
      </c>
      <c r="BG141" s="20">
        <f t="shared" si="115"/>
        <v>413.33430507425345</v>
      </c>
      <c r="BH141" s="59">
        <f t="shared" si="116"/>
        <v>706.66763840758676</v>
      </c>
      <c r="BI141" s="59">
        <f ca="1">AVERAGE(OFFSET($BH$3,0,0,'Données projet'!$E$11+1,1))-AVERAGE(OFFSET($H$3,0,0,'Données projet'!$E$11+1,1))</f>
        <v>181.20458942529478</v>
      </c>
      <c r="BJ141" s="59">
        <f t="shared" si="146"/>
        <v>144.05254691566421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14.67645157199331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14.67645157199331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214</v>
      </c>
      <c r="BZ141" s="13">
        <f>BY141*VLOOKUP('Données projet'!$B$12,Paramètres!$A$1:$I$89,3,0)*VLOOKUP('Données projet'!$B$12,Paramètres!$A$1:$I$89,5,0)</f>
        <v>186.95040000000003</v>
      </c>
      <c r="CA141" s="13">
        <f t="shared" si="147"/>
        <v>46.865095976617653</v>
      </c>
      <c r="CB141" s="20">
        <f t="shared" si="118"/>
        <v>407.22865549260911</v>
      </c>
      <c r="CC141" s="59">
        <f t="shared" si="119"/>
        <v>700.56198882594242</v>
      </c>
      <c r="CD141" s="59">
        <f ca="1">AVERAGE(OFFSET($CC$3,0,0,'Données projet'!$E$12+1,1))-AVERAGE(OFFSET($H$3,0,0,'Données projet'!$E$12+1,1))</f>
        <v>164.24405955980575</v>
      </c>
      <c r="CE141" s="59">
        <f t="shared" si="148"/>
        <v>379.20713858755209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148.39628895278571</v>
      </c>
      <c r="AO142" s="59">
        <f t="shared" si="144"/>
        <v>361.07991692964788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6.6465450806365043</v>
      </c>
      <c r="AW142" s="21">
        <f>EXP(-LN(2)/2)*AW141+(1-EXP(-LN(2)/2))/(LN(2)/2)*AQ142*AT142*VLOOKUP('Données projet'!$B$10,Paramètres!$A$1:$I$89,3,0)*0.475*44/12</f>
        <v>1.7648626637976516E-18</v>
      </c>
      <c r="AX142" s="21">
        <f t="shared" si="114"/>
        <v>6.6465450806365043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234.00000000000003</v>
      </c>
      <c r="BE142" s="13">
        <f>BD142*VLOOKUP('Données projet'!$B$11,Paramètres!$A$1:$I$89,3,0)*VLOOKUP('Données projet'!$B$11,Paramètres!$A$1:$I$89,5,0)</f>
        <v>189.82080000000005</v>
      </c>
      <c r="BF142" s="13">
        <f t="shared" si="145"/>
        <v>47.500332100049796</v>
      </c>
      <c r="BG142" s="20">
        <f t="shared" si="115"/>
        <v>413.33430507425345</v>
      </c>
      <c r="BH142" s="59">
        <f t="shared" si="116"/>
        <v>706.66763840758676</v>
      </c>
      <c r="BI142" s="59">
        <f ca="1">AVERAGE(OFFSET($BH$3,0,0,'Données projet'!$E$11+1,1))-AVERAGE(OFFSET($H$3,0,0,'Données projet'!$E$11+1,1))</f>
        <v>181.20458942529478</v>
      </c>
      <c r="BJ142" s="59">
        <f t="shared" si="146"/>
        <v>144.05254691566421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14.388655308418068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14.388655308418068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214</v>
      </c>
      <c r="BZ142" s="13">
        <f>BY142*VLOOKUP('Données projet'!$B$12,Paramètres!$A$1:$I$89,3,0)*VLOOKUP('Données projet'!$B$12,Paramètres!$A$1:$I$89,5,0)</f>
        <v>186.95040000000003</v>
      </c>
      <c r="CA142" s="13">
        <f t="shared" si="147"/>
        <v>46.865095976617653</v>
      </c>
      <c r="CB142" s="20">
        <f t="shared" si="118"/>
        <v>407.22865549260911</v>
      </c>
      <c r="CC142" s="59">
        <f t="shared" si="119"/>
        <v>700.56198882594242</v>
      </c>
      <c r="CD142" s="59">
        <f ca="1">AVERAGE(OFFSET($CC$3,0,0,'Données projet'!$E$12+1,1))-AVERAGE(OFFSET($H$3,0,0,'Données projet'!$E$12+1,1))</f>
        <v>164.24405955980575</v>
      </c>
      <c r="CE142" s="59">
        <f t="shared" si="148"/>
        <v>379.20713858755209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148.39628895278571</v>
      </c>
      <c r="AO143" s="59">
        <f t="shared" si="144"/>
        <v>361.07991692964788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6.4647949558798841</v>
      </c>
      <c r="AW143" s="21">
        <f>EXP(-LN(2)/2)*AW142+(1-EXP(-LN(2)/2))/(LN(2)/2)*AQ143*AT143*VLOOKUP('Données projet'!$B$10,Paramètres!$A$1:$I$89,3,0)*0.475*44/12</f>
        <v>1.2479463574342734E-18</v>
      </c>
      <c r="AX143" s="21">
        <f t="shared" si="114"/>
        <v>6.4647949558798841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234.00000000000003</v>
      </c>
      <c r="BE143" s="13">
        <f>BD143*VLOOKUP('Données projet'!$B$11,Paramètres!$A$1:$I$89,3,0)*VLOOKUP('Données projet'!$B$11,Paramètres!$A$1:$I$89,5,0)</f>
        <v>189.82080000000005</v>
      </c>
      <c r="BF143" s="13">
        <f t="shared" si="145"/>
        <v>47.500332100049796</v>
      </c>
      <c r="BG143" s="20">
        <f t="shared" si="115"/>
        <v>413.33430507425345</v>
      </c>
      <c r="BH143" s="59">
        <f t="shared" si="116"/>
        <v>706.66763840758676</v>
      </c>
      <c r="BI143" s="59">
        <f ca="1">AVERAGE(OFFSET($BH$3,0,0,'Données projet'!$E$11+1,1))-AVERAGE(OFFSET($H$3,0,0,'Données projet'!$E$11+1,1))</f>
        <v>181.20458942529478</v>
      </c>
      <c r="BJ143" s="59">
        <f t="shared" si="146"/>
        <v>144.05254691566421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14.106502554033149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14.106502554033149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214</v>
      </c>
      <c r="BZ143" s="13">
        <f>BY143*VLOOKUP('Données projet'!$B$12,Paramètres!$A$1:$I$89,3,0)*VLOOKUP('Données projet'!$B$12,Paramètres!$A$1:$I$89,5,0)</f>
        <v>186.95040000000003</v>
      </c>
      <c r="CA143" s="13">
        <f t="shared" si="147"/>
        <v>46.865095976617653</v>
      </c>
      <c r="CB143" s="20">
        <f t="shared" si="118"/>
        <v>407.22865549260911</v>
      </c>
      <c r="CC143" s="59">
        <f t="shared" si="119"/>
        <v>700.56198882594242</v>
      </c>
      <c r="CD143" s="59">
        <f ca="1">AVERAGE(OFFSET($CC$3,0,0,'Données projet'!$E$12+1,1))-AVERAGE(OFFSET($H$3,0,0,'Données projet'!$E$12+1,1))</f>
        <v>164.24405955980575</v>
      </c>
      <c r="CE143" s="59">
        <f t="shared" si="148"/>
        <v>379.20713858755209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148.39628895278571</v>
      </c>
      <c r="AO144" s="59">
        <f t="shared" si="144"/>
        <v>361.07991692964788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6.2880147978425578</v>
      </c>
      <c r="AW144" s="21">
        <f>EXP(-LN(2)/2)*AW143+(1-EXP(-LN(2)/2))/(LN(2)/2)*AQ144*AT144*VLOOKUP('Données projet'!$B$10,Paramètres!$A$1:$I$89,3,0)*0.475*44/12</f>
        <v>8.8243133189882579E-19</v>
      </c>
      <c r="AX144" s="21">
        <f t="shared" si="114"/>
        <v>6.2880147978425578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234.00000000000003</v>
      </c>
      <c r="BE144" s="13">
        <f>BD144*VLOOKUP('Données projet'!$B$11,Paramètres!$A$1:$I$89,3,0)*VLOOKUP('Données projet'!$B$11,Paramètres!$A$1:$I$89,5,0)</f>
        <v>189.82080000000005</v>
      </c>
      <c r="BF144" s="13">
        <f t="shared" si="145"/>
        <v>47.500332100049796</v>
      </c>
      <c r="BG144" s="20">
        <f t="shared" si="115"/>
        <v>413.33430507425345</v>
      </c>
      <c r="BH144" s="59">
        <f t="shared" si="116"/>
        <v>706.66763840758676</v>
      </c>
      <c r="BI144" s="59">
        <f ca="1">AVERAGE(OFFSET($BH$3,0,0,'Données projet'!$E$11+1,1))-AVERAGE(OFFSET($H$3,0,0,'Données projet'!$E$11+1,1))</f>
        <v>181.20458942529478</v>
      </c>
      <c r="BJ144" s="59">
        <f t="shared" si="146"/>
        <v>144.05254691566421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13.829882643065531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13.829882643065531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214</v>
      </c>
      <c r="BZ144" s="13">
        <f>BY144*VLOOKUP('Données projet'!$B$12,Paramètres!$A$1:$I$89,3,0)*VLOOKUP('Données projet'!$B$12,Paramètres!$A$1:$I$89,5,0)</f>
        <v>186.95040000000003</v>
      </c>
      <c r="CA144" s="13">
        <f t="shared" si="147"/>
        <v>46.865095976617653</v>
      </c>
      <c r="CB144" s="20">
        <f t="shared" si="118"/>
        <v>407.22865549260911</v>
      </c>
      <c r="CC144" s="59">
        <f t="shared" si="119"/>
        <v>700.56198882594242</v>
      </c>
      <c r="CD144" s="59">
        <f ca="1">AVERAGE(OFFSET($CC$3,0,0,'Données projet'!$E$12+1,1))-AVERAGE(OFFSET($H$3,0,0,'Données projet'!$E$12+1,1))</f>
        <v>164.24405955980575</v>
      </c>
      <c r="CE144" s="59">
        <f t="shared" si="148"/>
        <v>379.20713858755209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148.39628895278571</v>
      </c>
      <c r="AO145" s="59">
        <f t="shared" si="144"/>
        <v>361.07991692964788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6.1160687025232265</v>
      </c>
      <c r="AW145" s="21">
        <f>EXP(-LN(2)/2)*AW144+(1-EXP(-LN(2)/2))/(LN(2)/2)*AQ145*AT145*VLOOKUP('Données projet'!$B$10,Paramètres!$A$1:$I$89,3,0)*0.475*44/12</f>
        <v>6.2397317871713671E-19</v>
      </c>
      <c r="AX145" s="21">
        <f t="shared" si="114"/>
        <v>6.1160687025232265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234.00000000000003</v>
      </c>
      <c r="BE145" s="13">
        <f>BD145*VLOOKUP('Données projet'!$B$11,Paramètres!$A$1:$I$89,3,0)*VLOOKUP('Données projet'!$B$11,Paramètres!$A$1:$I$89,5,0)</f>
        <v>189.82080000000005</v>
      </c>
      <c r="BF145" s="13">
        <f t="shared" si="145"/>
        <v>47.500332100049796</v>
      </c>
      <c r="BG145" s="20">
        <f t="shared" si="115"/>
        <v>413.33430507425345</v>
      </c>
      <c r="BH145" s="59">
        <f t="shared" si="116"/>
        <v>706.66763840758676</v>
      </c>
      <c r="BI145" s="59">
        <f ca="1">AVERAGE(OFFSET($BH$3,0,0,'Données projet'!$E$11+1,1))-AVERAGE(OFFSET($H$3,0,0,'Données projet'!$E$11+1,1))</f>
        <v>181.20458942529478</v>
      </c>
      <c r="BJ145" s="59">
        <f t="shared" si="146"/>
        <v>144.05254691566421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13.558687079830502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13.558687079830502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214</v>
      </c>
      <c r="BZ145" s="13">
        <f>BY145*VLOOKUP('Données projet'!$B$12,Paramètres!$A$1:$I$89,3,0)*VLOOKUP('Données projet'!$B$12,Paramètres!$A$1:$I$89,5,0)</f>
        <v>186.95040000000003</v>
      </c>
      <c r="CA145" s="13">
        <f t="shared" si="147"/>
        <v>46.865095976617653</v>
      </c>
      <c r="CB145" s="20">
        <f t="shared" si="118"/>
        <v>407.22865549260911</v>
      </c>
      <c r="CC145" s="59">
        <f t="shared" si="119"/>
        <v>700.56198882594242</v>
      </c>
      <c r="CD145" s="59">
        <f ca="1">AVERAGE(OFFSET($CC$3,0,0,'Données projet'!$E$12+1,1))-AVERAGE(OFFSET($H$3,0,0,'Données projet'!$E$12+1,1))</f>
        <v>164.24405955980575</v>
      </c>
      <c r="CE145" s="59">
        <f t="shared" si="148"/>
        <v>379.20713858755209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148.39628895278571</v>
      </c>
      <c r="AO146" s="59">
        <f t="shared" si="144"/>
        <v>361.07991692964788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5.9488244822226539</v>
      </c>
      <c r="AW146" s="21">
        <f>EXP(-LN(2)/2)*AW145+(1-EXP(-LN(2)/2))/(LN(2)/2)*AQ146*AT146*VLOOKUP('Données projet'!$B$10,Paramètres!$A$1:$I$89,3,0)*0.475*44/12</f>
        <v>4.412156659494129E-19</v>
      </c>
      <c r="AX146" s="21">
        <f t="shared" si="114"/>
        <v>5.9488244822226539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234.00000000000003</v>
      </c>
      <c r="BE146" s="13">
        <f>BD146*VLOOKUP('Données projet'!$B$11,Paramètres!$A$1:$I$89,3,0)*VLOOKUP('Données projet'!$B$11,Paramètres!$A$1:$I$89,5,0)</f>
        <v>189.82080000000005</v>
      </c>
      <c r="BF146" s="13">
        <f t="shared" si="145"/>
        <v>47.500332100049796</v>
      </c>
      <c r="BG146" s="20">
        <f t="shared" si="115"/>
        <v>413.33430507425345</v>
      </c>
      <c r="BH146" s="59">
        <f t="shared" si="116"/>
        <v>706.66763840758676</v>
      </c>
      <c r="BI146" s="59">
        <f ca="1">AVERAGE(OFFSET($BH$3,0,0,'Données projet'!$E$11+1,1))-AVERAGE(OFFSET($H$3,0,0,'Données projet'!$E$11+1,1))</f>
        <v>181.20458942529478</v>
      </c>
      <c r="BJ146" s="59">
        <f t="shared" si="146"/>
        <v>144.05254691566421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13.292809496177552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13.292809496177552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214</v>
      </c>
      <c r="BZ146" s="13">
        <f>BY146*VLOOKUP('Données projet'!$B$12,Paramètres!$A$1:$I$89,3,0)*VLOOKUP('Données projet'!$B$12,Paramètres!$A$1:$I$89,5,0)</f>
        <v>186.95040000000003</v>
      </c>
      <c r="CA146" s="13">
        <f t="shared" si="147"/>
        <v>46.865095976617653</v>
      </c>
      <c r="CB146" s="20">
        <f t="shared" si="118"/>
        <v>407.22865549260911</v>
      </c>
      <c r="CC146" s="59">
        <f t="shared" si="119"/>
        <v>700.56198882594242</v>
      </c>
      <c r="CD146" s="59">
        <f ca="1">AVERAGE(OFFSET($CC$3,0,0,'Données projet'!$E$12+1,1))-AVERAGE(OFFSET($H$3,0,0,'Données projet'!$E$12+1,1))</f>
        <v>164.24405955980575</v>
      </c>
      <c r="CE146" s="59">
        <f t="shared" si="148"/>
        <v>379.20713858755209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148.39628895278571</v>
      </c>
      <c r="AO147" s="59">
        <f t="shared" si="144"/>
        <v>361.07991692964788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5.7861535639211921</v>
      </c>
      <c r="AW147" s="21">
        <f>EXP(-LN(2)/2)*AW146+(1-EXP(-LN(2)/2))/(LN(2)/2)*AQ147*AT147*VLOOKUP('Données projet'!$B$10,Paramètres!$A$1:$I$89,3,0)*0.475*44/12</f>
        <v>3.1198658935856835E-19</v>
      </c>
      <c r="AX147" s="21">
        <f t="shared" si="114"/>
        <v>5.7861535639211921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234.00000000000003</v>
      </c>
      <c r="BE147" s="13">
        <f>BD147*VLOOKUP('Données projet'!$B$11,Paramètres!$A$1:$I$89,3,0)*VLOOKUP('Données projet'!$B$11,Paramètres!$A$1:$I$89,5,0)</f>
        <v>189.82080000000005</v>
      </c>
      <c r="BF147" s="13">
        <f t="shared" si="145"/>
        <v>47.500332100049796</v>
      </c>
      <c r="BG147" s="20">
        <f t="shared" si="115"/>
        <v>413.33430507425345</v>
      </c>
      <c r="BH147" s="59">
        <f t="shared" si="116"/>
        <v>706.66763840758676</v>
      </c>
      <c r="BI147" s="59">
        <f ca="1">AVERAGE(OFFSET($BH$3,0,0,'Données projet'!$E$11+1,1))-AVERAGE(OFFSET($H$3,0,0,'Données projet'!$E$11+1,1))</f>
        <v>181.20458942529478</v>
      </c>
      <c r="BJ147" s="59">
        <f t="shared" si="146"/>
        <v>144.05254691566421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13.032145609770723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13.032145609770723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214</v>
      </c>
      <c r="BZ147" s="13">
        <f>BY147*VLOOKUP('Données projet'!$B$12,Paramètres!$A$1:$I$89,3,0)*VLOOKUP('Données projet'!$B$12,Paramètres!$A$1:$I$89,5,0)</f>
        <v>186.95040000000003</v>
      </c>
      <c r="CA147" s="13">
        <f t="shared" si="147"/>
        <v>46.865095976617653</v>
      </c>
      <c r="CB147" s="20">
        <f t="shared" si="118"/>
        <v>407.22865549260911</v>
      </c>
      <c r="CC147" s="59">
        <f t="shared" si="119"/>
        <v>700.56198882594242</v>
      </c>
      <c r="CD147" s="59">
        <f ca="1">AVERAGE(OFFSET($CC$3,0,0,'Données projet'!$E$12+1,1))-AVERAGE(OFFSET($H$3,0,0,'Données projet'!$E$12+1,1))</f>
        <v>164.24405955980575</v>
      </c>
      <c r="CE147" s="59">
        <f t="shared" si="148"/>
        <v>379.20713858755209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148.39628895278571</v>
      </c>
      <c r="AO148" s="59">
        <f t="shared" si="144"/>
        <v>361.07991692964788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5.6279308904351755</v>
      </c>
      <c r="AW148" s="21">
        <f>EXP(-LN(2)/2)*AW147+(1-EXP(-LN(2)/2))/(LN(2)/2)*AQ148*AT148*VLOOKUP('Données projet'!$B$10,Paramètres!$A$1:$I$89,3,0)*0.475*44/12</f>
        <v>2.2060783297470645E-19</v>
      </c>
      <c r="AX148" s="21">
        <f t="shared" si="114"/>
        <v>5.6279308904351755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234.00000000000003</v>
      </c>
      <c r="BE148" s="13">
        <f>BD148*VLOOKUP('Données projet'!$B$11,Paramètres!$A$1:$I$89,3,0)*VLOOKUP('Données projet'!$B$11,Paramètres!$A$1:$I$89,5,0)</f>
        <v>189.82080000000005</v>
      </c>
      <c r="BF148" s="13">
        <f t="shared" si="145"/>
        <v>47.500332100049796</v>
      </c>
      <c r="BG148" s="20">
        <f t="shared" si="115"/>
        <v>413.33430507425345</v>
      </c>
      <c r="BH148" s="59">
        <f t="shared" si="116"/>
        <v>706.66763840758676</v>
      </c>
      <c r="BI148" s="59">
        <f ca="1">AVERAGE(OFFSET($BH$3,0,0,'Données projet'!$E$11+1,1))-AVERAGE(OFFSET($H$3,0,0,'Données projet'!$E$11+1,1))</f>
        <v>181.20458942529478</v>
      </c>
      <c r="BJ148" s="59">
        <f t="shared" si="146"/>
        <v>144.05254691566421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12.77659318318706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12.77659318318706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214</v>
      </c>
      <c r="BZ148" s="13">
        <f>BY148*VLOOKUP('Données projet'!$B$12,Paramètres!$A$1:$I$89,3,0)*VLOOKUP('Données projet'!$B$12,Paramètres!$A$1:$I$89,5,0)</f>
        <v>186.95040000000003</v>
      </c>
      <c r="CA148" s="13">
        <f t="shared" si="147"/>
        <v>46.865095976617653</v>
      </c>
      <c r="CB148" s="20">
        <f t="shared" si="118"/>
        <v>407.22865549260911</v>
      </c>
      <c r="CC148" s="59">
        <f t="shared" si="119"/>
        <v>700.56198882594242</v>
      </c>
      <c r="CD148" s="59">
        <f ca="1">AVERAGE(OFFSET($CC$3,0,0,'Données projet'!$E$12+1,1))-AVERAGE(OFFSET($H$3,0,0,'Données projet'!$E$12+1,1))</f>
        <v>164.24405955980575</v>
      </c>
      <c r="CE148" s="59">
        <f t="shared" si="148"/>
        <v>379.20713858755209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148.39628895278571</v>
      </c>
      <c r="AO149" s="59">
        <f t="shared" si="144"/>
        <v>361.07991692964788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5.4740348242762025</v>
      </c>
      <c r="AW149" s="21">
        <f>EXP(-LN(2)/2)*AW148+(1-EXP(-LN(2)/2))/(LN(2)/2)*AQ149*AT149*VLOOKUP('Données projet'!$B$10,Paramètres!$A$1:$I$89,3,0)*0.475*44/12</f>
        <v>1.5599329467928418E-19</v>
      </c>
      <c r="AX149" s="21">
        <f t="shared" si="114"/>
        <v>5.4740348242762025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234.00000000000003</v>
      </c>
      <c r="BE149" s="13">
        <f>BD149*VLOOKUP('Données projet'!$B$11,Paramètres!$A$1:$I$89,3,0)*VLOOKUP('Données projet'!$B$11,Paramètres!$A$1:$I$89,5,0)</f>
        <v>189.82080000000005</v>
      </c>
      <c r="BF149" s="13">
        <f t="shared" si="145"/>
        <v>47.500332100049796</v>
      </c>
      <c r="BG149" s="20">
        <f t="shared" si="115"/>
        <v>413.33430507425345</v>
      </c>
      <c r="BH149" s="59">
        <f t="shared" si="116"/>
        <v>706.66763840758676</v>
      </c>
      <c r="BI149" s="59">
        <f ca="1">AVERAGE(OFFSET($BH$3,0,0,'Données projet'!$E$11+1,1))-AVERAGE(OFFSET($H$3,0,0,'Données projet'!$E$11+1,1))</f>
        <v>181.20458942529478</v>
      </c>
      <c r="BJ149" s="59">
        <f t="shared" si="146"/>
        <v>144.05254691566421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12.526051983817114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12.526051983817114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214</v>
      </c>
      <c r="BZ149" s="13">
        <f>BY149*VLOOKUP('Données projet'!$B$12,Paramètres!$A$1:$I$89,3,0)*VLOOKUP('Données projet'!$B$12,Paramètres!$A$1:$I$89,5,0)</f>
        <v>186.95040000000003</v>
      </c>
      <c r="CA149" s="13">
        <f t="shared" si="147"/>
        <v>46.865095976617653</v>
      </c>
      <c r="CB149" s="20">
        <f t="shared" si="118"/>
        <v>407.22865549260911</v>
      </c>
      <c r="CC149" s="59">
        <f t="shared" si="119"/>
        <v>700.56198882594242</v>
      </c>
      <c r="CD149" s="59">
        <f ca="1">AVERAGE(OFFSET($CC$3,0,0,'Données projet'!$E$12+1,1))-AVERAGE(OFFSET($H$3,0,0,'Données projet'!$E$12+1,1))</f>
        <v>164.24405955980575</v>
      </c>
      <c r="CE149" s="59">
        <f t="shared" si="148"/>
        <v>379.20713858755209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148.39628895278571</v>
      </c>
      <c r="AO150" s="59">
        <f t="shared" si="144"/>
        <v>361.07991692964788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5.3243470541393894</v>
      </c>
      <c r="AW150" s="21">
        <f>EXP(-LN(2)/2)*AW149+(1-EXP(-LN(2)/2))/(LN(2)/2)*AQ150*AT150*VLOOKUP('Données projet'!$B$10,Paramètres!$A$1:$I$89,3,0)*0.475*44/12</f>
        <v>1.1030391648735322E-19</v>
      </c>
      <c r="AX150" s="21">
        <f t="shared" si="114"/>
        <v>5.3243470541393894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234.00000000000003</v>
      </c>
      <c r="BE150" s="13">
        <f>BD150*VLOOKUP('Données projet'!$B$11,Paramètres!$A$1:$I$89,3,0)*VLOOKUP('Données projet'!$B$11,Paramètres!$A$1:$I$89,5,0)</f>
        <v>189.82080000000005</v>
      </c>
      <c r="BF150" s="13">
        <f t="shared" si="145"/>
        <v>47.500332100049796</v>
      </c>
      <c r="BG150" s="20">
        <f t="shared" si="115"/>
        <v>413.33430507425345</v>
      </c>
      <c r="BH150" s="59">
        <f t="shared" si="116"/>
        <v>706.66763840758676</v>
      </c>
      <c r="BI150" s="59">
        <f ca="1">AVERAGE(OFFSET($BH$3,0,0,'Données projet'!$E$11+1,1))-AVERAGE(OFFSET($H$3,0,0,'Données projet'!$E$11+1,1))</f>
        <v>181.20458942529478</v>
      </c>
      <c r="BJ150" s="59">
        <f t="shared" si="146"/>
        <v>144.05254691566421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12.28042374455177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12.28042374455177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214</v>
      </c>
      <c r="BZ150" s="13">
        <f>BY150*VLOOKUP('Données projet'!$B$12,Paramètres!$A$1:$I$89,3,0)*VLOOKUP('Données projet'!$B$12,Paramètres!$A$1:$I$89,5,0)</f>
        <v>186.95040000000003</v>
      </c>
      <c r="CA150" s="13">
        <f t="shared" si="147"/>
        <v>46.865095976617653</v>
      </c>
      <c r="CB150" s="20">
        <f t="shared" si="118"/>
        <v>407.22865549260911</v>
      </c>
      <c r="CC150" s="59">
        <f t="shared" si="119"/>
        <v>700.56198882594242</v>
      </c>
      <c r="CD150" s="59">
        <f ca="1">AVERAGE(OFFSET($CC$3,0,0,'Données projet'!$E$12+1,1))-AVERAGE(OFFSET($H$3,0,0,'Données projet'!$E$12+1,1))</f>
        <v>164.24405955980575</v>
      </c>
      <c r="CE150" s="59">
        <f t="shared" si="148"/>
        <v>379.20713858755209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148.39628895278571</v>
      </c>
      <c r="AO151" s="59">
        <f t="shared" si="144"/>
        <v>361.07991692964788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5.1787525039487052</v>
      </c>
      <c r="AW151" s="21">
        <f>EXP(-LN(2)/2)*AW150+(1-EXP(-LN(2)/2))/(LN(2)/2)*AQ151*AT151*VLOOKUP('Données projet'!$B$10,Paramètres!$A$1:$I$89,3,0)*0.475*44/12</f>
        <v>7.7996647339642089E-20</v>
      </c>
      <c r="AX151" s="21">
        <f t="shared" si="114"/>
        <v>5.1787525039487052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234.00000000000003</v>
      </c>
      <c r="BE151" s="13">
        <f>BD151*VLOOKUP('Données projet'!$B$11,Paramètres!$A$1:$I$89,3,0)*VLOOKUP('Données projet'!$B$11,Paramètres!$A$1:$I$89,5,0)</f>
        <v>189.82080000000005</v>
      </c>
      <c r="BF151" s="13">
        <f t="shared" si="145"/>
        <v>47.500332100049796</v>
      </c>
      <c r="BG151" s="20">
        <f t="shared" si="115"/>
        <v>413.33430507425345</v>
      </c>
      <c r="BH151" s="59">
        <f t="shared" si="116"/>
        <v>706.66763840758676</v>
      </c>
      <c r="BI151" s="59">
        <f ca="1">AVERAGE(OFFSET($BH$3,0,0,'Données projet'!$E$11+1,1))-AVERAGE(OFFSET($H$3,0,0,'Données projet'!$E$11+1,1))</f>
        <v>181.20458942529478</v>
      </c>
      <c r="BJ151" s="59">
        <f t="shared" si="146"/>
        <v>144.05254691566421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12.039612125239987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12.039612125239987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214</v>
      </c>
      <c r="BZ151" s="13">
        <f>BY151*VLOOKUP('Données projet'!$B$12,Paramètres!$A$1:$I$89,3,0)*VLOOKUP('Données projet'!$B$12,Paramètres!$A$1:$I$89,5,0)</f>
        <v>186.95040000000003</v>
      </c>
      <c r="CA151" s="13">
        <f t="shared" si="147"/>
        <v>46.865095976617653</v>
      </c>
      <c r="CB151" s="20">
        <f t="shared" si="118"/>
        <v>407.22865549260911</v>
      </c>
      <c r="CC151" s="59">
        <f t="shared" si="119"/>
        <v>700.56198882594242</v>
      </c>
      <c r="CD151" s="59">
        <f ca="1">AVERAGE(OFFSET($CC$3,0,0,'Données projet'!$E$12+1,1))-AVERAGE(OFFSET($H$3,0,0,'Données projet'!$E$12+1,1))</f>
        <v>164.24405955980575</v>
      </c>
      <c r="CE151" s="59">
        <f t="shared" si="148"/>
        <v>379.20713858755209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148.39628895278571</v>
      </c>
      <c r="AO152" s="59">
        <f t="shared" si="144"/>
        <v>361.07991692964788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5.0371392443894702</v>
      </c>
      <c r="AW152" s="21">
        <f>EXP(-LN(2)/2)*AW151+(1-EXP(-LN(2)/2))/(LN(2)/2)*AQ152*AT152*VLOOKUP('Données projet'!$B$10,Paramètres!$A$1:$I$89,3,0)*0.475*44/12</f>
        <v>5.5151958243676612E-20</v>
      </c>
      <c r="AX152" s="21">
        <f t="shared" si="114"/>
        <v>5.0371392443894702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234.00000000000003</v>
      </c>
      <c r="BE152" s="13">
        <f>BD152*VLOOKUP('Données projet'!$B$11,Paramètres!$A$1:$I$89,3,0)*VLOOKUP('Données projet'!$B$11,Paramètres!$A$1:$I$89,5,0)</f>
        <v>189.82080000000005</v>
      </c>
      <c r="BF152" s="13">
        <f t="shared" si="145"/>
        <v>47.500332100049796</v>
      </c>
      <c r="BG152" s="20">
        <f t="shared" si="115"/>
        <v>413.33430507425345</v>
      </c>
      <c r="BH152" s="59">
        <f t="shared" si="116"/>
        <v>706.66763840758676</v>
      </c>
      <c r="BI152" s="59">
        <f ca="1">AVERAGE(OFFSET($BH$3,0,0,'Données projet'!$E$11+1,1))-AVERAGE(OFFSET($H$3,0,0,'Données projet'!$E$11+1,1))</f>
        <v>181.20458942529478</v>
      </c>
      <c r="BJ152" s="59">
        <f t="shared" si="146"/>
        <v>144.05254691566421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11.803522674902323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11.803522674902323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214</v>
      </c>
      <c r="BZ152" s="13">
        <f>BY152*VLOOKUP('Données projet'!$B$12,Paramètres!$A$1:$I$89,3,0)*VLOOKUP('Données projet'!$B$12,Paramètres!$A$1:$I$89,5,0)</f>
        <v>186.95040000000003</v>
      </c>
      <c r="CA152" s="13">
        <f t="shared" si="147"/>
        <v>46.865095976617653</v>
      </c>
      <c r="CB152" s="20">
        <f t="shared" si="118"/>
        <v>407.22865549260911</v>
      </c>
      <c r="CC152" s="59">
        <f t="shared" si="119"/>
        <v>700.56198882594242</v>
      </c>
      <c r="CD152" s="59">
        <f ca="1">AVERAGE(OFFSET($CC$3,0,0,'Données projet'!$E$12+1,1))-AVERAGE(OFFSET($H$3,0,0,'Données projet'!$E$12+1,1))</f>
        <v>164.24405955980575</v>
      </c>
      <c r="CE152" s="59">
        <f t="shared" si="148"/>
        <v>379.20713858755209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148.39628895278571</v>
      </c>
      <c r="AO153" s="59">
        <f t="shared" si="144"/>
        <v>361.07991692964788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4.8993984068599996</v>
      </c>
      <c r="AW153" s="21">
        <f>EXP(-LN(2)/2)*AW152+(1-EXP(-LN(2)/2))/(LN(2)/2)*AQ153*AT153*VLOOKUP('Données projet'!$B$10,Paramètres!$A$1:$I$89,3,0)*0.475*44/12</f>
        <v>3.8998323669821044E-20</v>
      </c>
      <c r="AX153" s="21">
        <f t="shared" si="114"/>
        <v>4.8993984068599996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234.00000000000003</v>
      </c>
      <c r="BE153" s="13">
        <f>BD153*VLOOKUP('Données projet'!$B$11,Paramètres!$A$1:$I$89,3,0)*VLOOKUP('Données projet'!$B$11,Paramètres!$A$1:$I$89,5,0)</f>
        <v>189.82080000000005</v>
      </c>
      <c r="BF153" s="13">
        <f t="shared" si="145"/>
        <v>47.500332100049796</v>
      </c>
      <c r="BG153" s="20">
        <f t="shared" si="115"/>
        <v>413.33430507425345</v>
      </c>
      <c r="BH153" s="59">
        <f t="shared" si="116"/>
        <v>706.66763840758676</v>
      </c>
      <c r="BI153" s="59">
        <f ca="1">AVERAGE(OFFSET($BH$3,0,0,'Données projet'!$E$11+1,1))-AVERAGE(OFFSET($H$3,0,0,'Données projet'!$E$11+1,1))</f>
        <v>181.20458942529478</v>
      </c>
      <c r="BJ153" s="59">
        <f t="shared" si="146"/>
        <v>144.05254691566421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11.572062794685435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11.572062794685435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214</v>
      </c>
      <c r="BZ153" s="13">
        <f>BY153*VLOOKUP('Données projet'!$B$12,Paramètres!$A$1:$I$89,3,0)*VLOOKUP('Données projet'!$B$12,Paramètres!$A$1:$I$89,5,0)</f>
        <v>186.95040000000003</v>
      </c>
      <c r="CA153" s="13">
        <f t="shared" si="147"/>
        <v>46.865095976617653</v>
      </c>
      <c r="CB153" s="20">
        <f t="shared" si="118"/>
        <v>407.22865549260911</v>
      </c>
      <c r="CC153" s="59">
        <f t="shared" si="119"/>
        <v>700.56198882594242</v>
      </c>
      <c r="CD153" s="59">
        <f ca="1">AVERAGE(OFFSET($CC$3,0,0,'Données projet'!$E$12+1,1))-AVERAGE(OFFSET($H$3,0,0,'Données projet'!$E$12+1,1))</f>
        <v>164.24405955980575</v>
      </c>
      <c r="CE153" s="59">
        <f t="shared" si="148"/>
        <v>379.20713858755209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148.39628895278571</v>
      </c>
      <c r="AO154" s="59">
        <f t="shared" si="144"/>
        <v>361.07991692964788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4.765424099776248</v>
      </c>
      <c r="AW154" s="21">
        <f>EXP(-LN(2)/2)*AW153+(1-EXP(-LN(2)/2))/(LN(2)/2)*AQ154*AT154*VLOOKUP('Données projet'!$B$10,Paramètres!$A$1:$I$89,3,0)*0.475*44/12</f>
        <v>2.7575979121838306E-20</v>
      </c>
      <c r="AX154" s="21">
        <f t="shared" ref="AX154:AX203" si="166">SUM(AU154:AW154)</f>
        <v>4.765424099776248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234.00000000000003</v>
      </c>
      <c r="BE154" s="13">
        <f>BD154*VLOOKUP('Données projet'!$B$11,Paramètres!$A$1:$I$89,3,0)*VLOOKUP('Données projet'!$B$11,Paramètres!$A$1:$I$89,5,0)</f>
        <v>189.82080000000005</v>
      </c>
      <c r="BF154" s="13">
        <f t="shared" ref="BF154:BF203" si="167">EXP(-1.0587+0.8836*LN(BE154)+0.284)</f>
        <v>47.500332100049796</v>
      </c>
      <c r="BG154" s="20">
        <f t="shared" ref="BG154:BG203" si="168">(BE154+BF154)*0.475*44/12</f>
        <v>413.33430507425345</v>
      </c>
      <c r="BH154" s="59">
        <f t="shared" si="116"/>
        <v>706.66763840758676</v>
      </c>
      <c r="BI154" s="59">
        <f ca="1">AVERAGE(OFFSET($BH$3,0,0,'Données projet'!$E$11+1,1))-AVERAGE(OFFSET($H$3,0,0,'Données projet'!$E$11+1,1))</f>
        <v>181.20458942529478</v>
      </c>
      <c r="BJ154" s="59">
        <f t="shared" si="146"/>
        <v>144.05254691566421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11.345141701543012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11.345141701543012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214</v>
      </c>
      <c r="BZ154" s="13">
        <f>BY154*VLOOKUP('Données projet'!$B$12,Paramètres!$A$1:$I$89,3,0)*VLOOKUP('Données projet'!$B$12,Paramètres!$A$1:$I$89,5,0)</f>
        <v>186.95040000000003</v>
      </c>
      <c r="CA154" s="13">
        <f t="shared" ref="CA154:CA203" si="170">EXP(-1.0587+0.8836*LN(BZ154)+0.284)</f>
        <v>46.865095976617653</v>
      </c>
      <c r="CB154" s="20">
        <f t="shared" ref="CB154:CB203" si="171">(BZ154+CA154)*0.475*44/12</f>
        <v>407.22865549260911</v>
      </c>
      <c r="CC154" s="59">
        <f t="shared" si="119"/>
        <v>700.56198882594242</v>
      </c>
      <c r="CD154" s="59">
        <f ca="1">AVERAGE(OFFSET($CC$3,0,0,'Données projet'!$E$12+1,1))-AVERAGE(OFFSET($H$3,0,0,'Données projet'!$E$12+1,1))</f>
        <v>164.24405955980575</v>
      </c>
      <c r="CE154" s="59">
        <f t="shared" si="148"/>
        <v>379.20713858755209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148.39628895278571</v>
      </c>
      <c r="AO155" s="59">
        <f t="shared" si="144"/>
        <v>361.07991692964788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4.6351133271651044</v>
      </c>
      <c r="AW155" s="21">
        <f>EXP(-LN(2)/2)*AW154+(1-EXP(-LN(2)/2))/(LN(2)/2)*AQ155*AT155*VLOOKUP('Données projet'!$B$10,Paramètres!$A$1:$I$89,3,0)*0.475*44/12</f>
        <v>1.9499161834910522E-20</v>
      </c>
      <c r="AX155" s="21">
        <f t="shared" si="166"/>
        <v>4.6351133271651044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234.00000000000003</v>
      </c>
      <c r="BE155" s="13">
        <f>BD155*VLOOKUP('Données projet'!$B$11,Paramètres!$A$1:$I$89,3,0)*VLOOKUP('Données projet'!$B$11,Paramètres!$A$1:$I$89,5,0)</f>
        <v>189.82080000000005</v>
      </c>
      <c r="BF155" s="13">
        <f t="shared" si="167"/>
        <v>47.500332100049796</v>
      </c>
      <c r="BG155" s="20">
        <f t="shared" si="168"/>
        <v>413.33430507425345</v>
      </c>
      <c r="BH155" s="59">
        <f t="shared" si="116"/>
        <v>706.66763840758676</v>
      </c>
      <c r="BI155" s="59">
        <f ca="1">AVERAGE(OFFSET($BH$3,0,0,'Données projet'!$E$11+1,1))-AVERAGE(OFFSET($H$3,0,0,'Données projet'!$E$11+1,1))</f>
        <v>181.20458942529478</v>
      </c>
      <c r="BJ155" s="59">
        <f t="shared" si="146"/>
        <v>144.05254691566421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11.122670392628914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11.122670392628914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214</v>
      </c>
      <c r="BZ155" s="13">
        <f>BY155*VLOOKUP('Données projet'!$B$12,Paramètres!$A$1:$I$89,3,0)*VLOOKUP('Données projet'!$B$12,Paramètres!$A$1:$I$89,5,0)</f>
        <v>186.95040000000003</v>
      </c>
      <c r="CA155" s="13">
        <f t="shared" si="170"/>
        <v>46.865095976617653</v>
      </c>
      <c r="CB155" s="20">
        <f t="shared" si="171"/>
        <v>407.22865549260911</v>
      </c>
      <c r="CC155" s="59">
        <f t="shared" si="119"/>
        <v>700.56198882594242</v>
      </c>
      <c r="CD155" s="59">
        <f ca="1">AVERAGE(OFFSET($CC$3,0,0,'Données projet'!$E$12+1,1))-AVERAGE(OFFSET($H$3,0,0,'Données projet'!$E$12+1,1))</f>
        <v>164.24405955980575</v>
      </c>
      <c r="CE155" s="59">
        <f t="shared" si="148"/>
        <v>379.20713858755209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148.39628895278571</v>
      </c>
      <c r="AO156" s="59">
        <f t="shared" si="144"/>
        <v>361.07991692964788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4.508365909483758</v>
      </c>
      <c r="AW156" s="21">
        <f>EXP(-LN(2)/2)*AW155+(1-EXP(-LN(2)/2))/(LN(2)/2)*AQ156*AT156*VLOOKUP('Données projet'!$B$10,Paramètres!$A$1:$I$89,3,0)*0.475*44/12</f>
        <v>1.3787989560919153E-20</v>
      </c>
      <c r="AX156" s="21">
        <f t="shared" si="166"/>
        <v>4.508365909483758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234.00000000000003</v>
      </c>
      <c r="BE156" s="13">
        <f>BD156*VLOOKUP('Données projet'!$B$11,Paramètres!$A$1:$I$89,3,0)*VLOOKUP('Données projet'!$B$11,Paramètres!$A$1:$I$89,5,0)</f>
        <v>189.82080000000005</v>
      </c>
      <c r="BF156" s="13">
        <f t="shared" si="167"/>
        <v>47.500332100049796</v>
      </c>
      <c r="BG156" s="20">
        <f t="shared" si="168"/>
        <v>413.33430507425345</v>
      </c>
      <c r="BH156" s="59">
        <f t="shared" si="116"/>
        <v>706.66763840758676</v>
      </c>
      <c r="BI156" s="59">
        <f ca="1">AVERAGE(OFFSET($BH$3,0,0,'Données projet'!$E$11+1,1))-AVERAGE(OFFSET($H$3,0,0,'Données projet'!$E$11+1,1))</f>
        <v>181.20458942529478</v>
      </c>
      <c r="BJ156" s="59">
        <f t="shared" si="146"/>
        <v>144.05254691566421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10.904561610388519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10.904561610388519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214</v>
      </c>
      <c r="BZ156" s="13">
        <f>BY156*VLOOKUP('Données projet'!$B$12,Paramètres!$A$1:$I$89,3,0)*VLOOKUP('Données projet'!$B$12,Paramètres!$A$1:$I$89,5,0)</f>
        <v>186.95040000000003</v>
      </c>
      <c r="CA156" s="13">
        <f t="shared" si="170"/>
        <v>46.865095976617653</v>
      </c>
      <c r="CB156" s="20">
        <f t="shared" si="171"/>
        <v>407.22865549260911</v>
      </c>
      <c r="CC156" s="59">
        <f t="shared" si="119"/>
        <v>700.56198882594242</v>
      </c>
      <c r="CD156" s="59">
        <f ca="1">AVERAGE(OFFSET($CC$3,0,0,'Données projet'!$E$12+1,1))-AVERAGE(OFFSET($H$3,0,0,'Données projet'!$E$12+1,1))</f>
        <v>164.24405955980575</v>
      </c>
      <c r="CE156" s="59">
        <f t="shared" si="148"/>
        <v>379.20713858755209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148.39628895278571</v>
      </c>
      <c r="AO157" s="59">
        <f t="shared" si="144"/>
        <v>361.07991692964788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4.3850844066042658</v>
      </c>
      <c r="AW157" s="21">
        <f>EXP(-LN(2)/2)*AW156+(1-EXP(-LN(2)/2))/(LN(2)/2)*AQ157*AT157*VLOOKUP('Données projet'!$B$10,Paramètres!$A$1:$I$89,3,0)*0.475*44/12</f>
        <v>9.7495809174552611E-21</v>
      </c>
      <c r="AX157" s="21">
        <f t="shared" si="166"/>
        <v>4.3850844066042658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234.00000000000003</v>
      </c>
      <c r="BE157" s="13">
        <f>BD157*VLOOKUP('Données projet'!$B$11,Paramètres!$A$1:$I$89,3,0)*VLOOKUP('Données projet'!$B$11,Paramètres!$A$1:$I$89,5,0)</f>
        <v>189.82080000000005</v>
      </c>
      <c r="BF157" s="13">
        <f t="shared" si="167"/>
        <v>47.500332100049796</v>
      </c>
      <c r="BG157" s="20">
        <f t="shared" si="168"/>
        <v>413.33430507425345</v>
      </c>
      <c r="BH157" s="59">
        <f t="shared" si="116"/>
        <v>706.66763840758676</v>
      </c>
      <c r="BI157" s="59">
        <f ca="1">AVERAGE(OFFSET($BH$3,0,0,'Données projet'!$E$11+1,1))-AVERAGE(OFFSET($H$3,0,0,'Données projet'!$E$11+1,1))</f>
        <v>181.20458942529478</v>
      </c>
      <c r="BJ157" s="59">
        <f t="shared" si="146"/>
        <v>144.05254691566421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10.690729808334639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10.690729808334639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214</v>
      </c>
      <c r="BZ157" s="13">
        <f>BY157*VLOOKUP('Données projet'!$B$12,Paramètres!$A$1:$I$89,3,0)*VLOOKUP('Données projet'!$B$12,Paramètres!$A$1:$I$89,5,0)</f>
        <v>186.95040000000003</v>
      </c>
      <c r="CA157" s="13">
        <f t="shared" si="170"/>
        <v>46.865095976617653</v>
      </c>
      <c r="CB157" s="20">
        <f t="shared" si="171"/>
        <v>407.22865549260911</v>
      </c>
      <c r="CC157" s="59">
        <f t="shared" si="119"/>
        <v>700.56198882594242</v>
      </c>
      <c r="CD157" s="59">
        <f ca="1">AVERAGE(OFFSET($CC$3,0,0,'Données projet'!$E$12+1,1))-AVERAGE(OFFSET($H$3,0,0,'Données projet'!$E$12+1,1))</f>
        <v>164.24405955980575</v>
      </c>
      <c r="CE157" s="59">
        <f t="shared" si="148"/>
        <v>379.20713858755209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148.39628895278571</v>
      </c>
      <c r="AO158" s="59">
        <f t="shared" si="144"/>
        <v>361.07991692964788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4.2651740429041052</v>
      </c>
      <c r="AW158" s="21">
        <f>EXP(-LN(2)/2)*AW157+(1-EXP(-LN(2)/2))/(LN(2)/2)*AQ158*AT158*VLOOKUP('Données projet'!$B$10,Paramètres!$A$1:$I$89,3,0)*0.475*44/12</f>
        <v>6.8939947804595765E-21</v>
      </c>
      <c r="AX158" s="21">
        <f t="shared" si="166"/>
        <v>4.2651740429041052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234.00000000000003</v>
      </c>
      <c r="BE158" s="13">
        <f>BD158*VLOOKUP('Données projet'!$B$11,Paramètres!$A$1:$I$89,3,0)*VLOOKUP('Données projet'!$B$11,Paramètres!$A$1:$I$89,5,0)</f>
        <v>189.82080000000005</v>
      </c>
      <c r="BF158" s="13">
        <f t="shared" si="167"/>
        <v>47.500332100049796</v>
      </c>
      <c r="BG158" s="20">
        <f t="shared" si="168"/>
        <v>413.33430507425345</v>
      </c>
      <c r="BH158" s="59">
        <f t="shared" si="116"/>
        <v>706.66763840758676</v>
      </c>
      <c r="BI158" s="59">
        <f ca="1">AVERAGE(OFFSET($BH$3,0,0,'Données projet'!$E$11+1,1))-AVERAGE(OFFSET($H$3,0,0,'Données projet'!$E$11+1,1))</f>
        <v>181.20458942529478</v>
      </c>
      <c r="BJ158" s="59">
        <f t="shared" si="146"/>
        <v>144.05254691566421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10.481091117494515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10.481091117494515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214</v>
      </c>
      <c r="BZ158" s="13">
        <f>BY158*VLOOKUP('Données projet'!$B$12,Paramètres!$A$1:$I$89,3,0)*VLOOKUP('Données projet'!$B$12,Paramètres!$A$1:$I$89,5,0)</f>
        <v>186.95040000000003</v>
      </c>
      <c r="CA158" s="13">
        <f t="shared" si="170"/>
        <v>46.865095976617653</v>
      </c>
      <c r="CB158" s="20">
        <f t="shared" si="171"/>
        <v>407.22865549260911</v>
      </c>
      <c r="CC158" s="59">
        <f t="shared" si="119"/>
        <v>700.56198882594242</v>
      </c>
      <c r="CD158" s="59">
        <f ca="1">AVERAGE(OFFSET($CC$3,0,0,'Données projet'!$E$12+1,1))-AVERAGE(OFFSET($H$3,0,0,'Données projet'!$E$12+1,1))</f>
        <v>164.24405955980575</v>
      </c>
      <c r="CE158" s="59">
        <f t="shared" si="148"/>
        <v>379.20713858755209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148.39628895278571</v>
      </c>
      <c r="AO159" s="59">
        <f t="shared" si="144"/>
        <v>361.07991692964788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4.1485426344051373</v>
      </c>
      <c r="AW159" s="21">
        <f>EXP(-LN(2)/2)*AW158+(1-EXP(-LN(2)/2))/(LN(2)/2)*AQ159*AT159*VLOOKUP('Données projet'!$B$10,Paramètres!$A$1:$I$89,3,0)*0.475*44/12</f>
        <v>4.8747904587276305E-21</v>
      </c>
      <c r="AX159" s="21">
        <f t="shared" si="166"/>
        <v>4.1485426344051373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234.00000000000003</v>
      </c>
      <c r="BE159" s="13">
        <f>BD159*VLOOKUP('Données projet'!$B$11,Paramètres!$A$1:$I$89,3,0)*VLOOKUP('Données projet'!$B$11,Paramètres!$A$1:$I$89,5,0)</f>
        <v>189.82080000000005</v>
      </c>
      <c r="BF159" s="13">
        <f t="shared" si="167"/>
        <v>47.500332100049796</v>
      </c>
      <c r="BG159" s="20">
        <f t="shared" si="168"/>
        <v>413.33430507425345</v>
      </c>
      <c r="BH159" s="59">
        <f t="shared" si="116"/>
        <v>706.66763840758676</v>
      </c>
      <c r="BI159" s="59">
        <f ca="1">AVERAGE(OFFSET($BH$3,0,0,'Données projet'!$E$11+1,1))-AVERAGE(OFFSET($H$3,0,0,'Données projet'!$E$11+1,1))</f>
        <v>181.20458942529478</v>
      </c>
      <c r="BJ159" s="59">
        <f t="shared" si="146"/>
        <v>144.05254691566421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10.275563313514789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10.275563313514789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214</v>
      </c>
      <c r="BZ159" s="13">
        <f>BY159*VLOOKUP('Données projet'!$B$12,Paramètres!$A$1:$I$89,3,0)*VLOOKUP('Données projet'!$B$12,Paramètres!$A$1:$I$89,5,0)</f>
        <v>186.95040000000003</v>
      </c>
      <c r="CA159" s="13">
        <f t="shared" si="170"/>
        <v>46.865095976617653</v>
      </c>
      <c r="CB159" s="20">
        <f t="shared" si="171"/>
        <v>407.22865549260911</v>
      </c>
      <c r="CC159" s="59">
        <f t="shared" si="119"/>
        <v>700.56198882594242</v>
      </c>
      <c r="CD159" s="59">
        <f ca="1">AVERAGE(OFFSET($CC$3,0,0,'Données projet'!$E$12+1,1))-AVERAGE(OFFSET($H$3,0,0,'Données projet'!$E$12+1,1))</f>
        <v>164.24405955980575</v>
      </c>
      <c r="CE159" s="59">
        <f t="shared" si="148"/>
        <v>379.20713858755209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148.39628895278571</v>
      </c>
      <c r="AO160" s="59">
        <f t="shared" si="144"/>
        <v>361.07991692964788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4.0351005179049535</v>
      </c>
      <c r="AW160" s="21">
        <f>EXP(-LN(2)/2)*AW159+(1-EXP(-LN(2)/2))/(LN(2)/2)*AQ160*AT160*VLOOKUP('Données projet'!$B$10,Paramètres!$A$1:$I$89,3,0)*0.475*44/12</f>
        <v>3.4469973902297883E-21</v>
      </c>
      <c r="AX160" s="21">
        <f t="shared" si="166"/>
        <v>4.0351005179049535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234.00000000000003</v>
      </c>
      <c r="BE160" s="13">
        <f>BD160*VLOOKUP('Données projet'!$B$11,Paramètres!$A$1:$I$89,3,0)*VLOOKUP('Données projet'!$B$11,Paramètres!$A$1:$I$89,5,0)</f>
        <v>189.82080000000005</v>
      </c>
      <c r="BF160" s="13">
        <f t="shared" si="167"/>
        <v>47.500332100049796</v>
      </c>
      <c r="BG160" s="20">
        <f t="shared" si="168"/>
        <v>413.33430507425345</v>
      </c>
      <c r="BH160" s="59">
        <f t="shared" si="116"/>
        <v>706.66763840758676</v>
      </c>
      <c r="BI160" s="59">
        <f ca="1">AVERAGE(OFFSET($BH$3,0,0,'Données projet'!$E$11+1,1))-AVERAGE(OFFSET($H$3,0,0,'Données projet'!$E$11+1,1))</f>
        <v>181.20458942529478</v>
      </c>
      <c r="BJ160" s="59">
        <f t="shared" si="146"/>
        <v>144.05254691566421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10.074065784411523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10.074065784411523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214</v>
      </c>
      <c r="BZ160" s="13">
        <f>BY160*VLOOKUP('Données projet'!$B$12,Paramètres!$A$1:$I$89,3,0)*VLOOKUP('Données projet'!$B$12,Paramètres!$A$1:$I$89,5,0)</f>
        <v>186.95040000000003</v>
      </c>
      <c r="CA160" s="13">
        <f t="shared" si="170"/>
        <v>46.865095976617653</v>
      </c>
      <c r="CB160" s="20">
        <f t="shared" si="171"/>
        <v>407.22865549260911</v>
      </c>
      <c r="CC160" s="59">
        <f t="shared" si="119"/>
        <v>700.56198882594242</v>
      </c>
      <c r="CD160" s="59">
        <f ca="1">AVERAGE(OFFSET($CC$3,0,0,'Données projet'!$E$12+1,1))-AVERAGE(OFFSET($H$3,0,0,'Données projet'!$E$12+1,1))</f>
        <v>164.24405955980575</v>
      </c>
      <c r="CE160" s="59">
        <f t="shared" si="148"/>
        <v>379.20713858755209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148.39628895278571</v>
      </c>
      <c r="AO161" s="59">
        <f t="shared" si="144"/>
        <v>361.07991692964788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3.9247604820461288</v>
      </c>
      <c r="AW161" s="21">
        <f>EXP(-LN(2)/2)*AW160+(1-EXP(-LN(2)/2))/(LN(2)/2)*AQ161*AT161*VLOOKUP('Données projet'!$B$10,Paramètres!$A$1:$I$89,3,0)*0.475*44/12</f>
        <v>2.4373952293638153E-21</v>
      </c>
      <c r="AX161" s="21">
        <f t="shared" si="166"/>
        <v>3.9247604820461288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234.00000000000003</v>
      </c>
      <c r="BE161" s="13">
        <f>BD161*VLOOKUP('Données projet'!$B$11,Paramètres!$A$1:$I$89,3,0)*VLOOKUP('Données projet'!$B$11,Paramètres!$A$1:$I$89,5,0)</f>
        <v>189.82080000000005</v>
      </c>
      <c r="BF161" s="13">
        <f t="shared" si="167"/>
        <v>47.500332100049796</v>
      </c>
      <c r="BG161" s="20">
        <f t="shared" si="168"/>
        <v>413.33430507425345</v>
      </c>
      <c r="BH161" s="59">
        <f t="shared" si="116"/>
        <v>706.66763840758676</v>
      </c>
      <c r="BI161" s="59">
        <f ca="1">AVERAGE(OFFSET($BH$3,0,0,'Données projet'!$E$11+1,1))-AVERAGE(OFFSET($H$3,0,0,'Données projet'!$E$11+1,1))</f>
        <v>181.20458942529478</v>
      </c>
      <c r="BJ161" s="59">
        <f t="shared" si="146"/>
        <v>144.05254691566421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9.8765194989526162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9.8765194989526162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214</v>
      </c>
      <c r="BZ161" s="13">
        <f>BY161*VLOOKUP('Données projet'!$B$12,Paramètres!$A$1:$I$89,3,0)*VLOOKUP('Données projet'!$B$12,Paramètres!$A$1:$I$89,5,0)</f>
        <v>186.95040000000003</v>
      </c>
      <c r="CA161" s="13">
        <f t="shared" si="170"/>
        <v>46.865095976617653</v>
      </c>
      <c r="CB161" s="20">
        <f t="shared" si="171"/>
        <v>407.22865549260911</v>
      </c>
      <c r="CC161" s="59">
        <f t="shared" si="119"/>
        <v>700.56198882594242</v>
      </c>
      <c r="CD161" s="59">
        <f ca="1">AVERAGE(OFFSET($CC$3,0,0,'Données projet'!$E$12+1,1))-AVERAGE(OFFSET($H$3,0,0,'Données projet'!$E$12+1,1))</f>
        <v>164.24405955980575</v>
      </c>
      <c r="CE161" s="59">
        <f t="shared" si="148"/>
        <v>379.20713858755209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148.39628895278571</v>
      </c>
      <c r="AO162" s="59">
        <f t="shared" si="144"/>
        <v>361.07991692964788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3.8174377002703936</v>
      </c>
      <c r="AW162" s="21">
        <f>EXP(-LN(2)/2)*AW161+(1-EXP(-LN(2)/2))/(LN(2)/2)*AQ162*AT162*VLOOKUP('Données projet'!$B$10,Paramètres!$A$1:$I$89,3,0)*0.475*44/12</f>
        <v>1.7234986951148941E-21</v>
      </c>
      <c r="AX162" s="21">
        <f t="shared" si="166"/>
        <v>3.8174377002703936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234.00000000000003</v>
      </c>
      <c r="BE162" s="13">
        <f>BD162*VLOOKUP('Données projet'!$B$11,Paramètres!$A$1:$I$89,3,0)*VLOOKUP('Données projet'!$B$11,Paramètres!$A$1:$I$89,5,0)</f>
        <v>189.82080000000005</v>
      </c>
      <c r="BF162" s="13">
        <f t="shared" si="167"/>
        <v>47.500332100049796</v>
      </c>
      <c r="BG162" s="20">
        <f t="shared" si="168"/>
        <v>413.33430507425345</v>
      </c>
      <c r="BH162" s="59">
        <f t="shared" si="116"/>
        <v>706.66763840758676</v>
      </c>
      <c r="BI162" s="59">
        <f ca="1">AVERAGE(OFFSET($BH$3,0,0,'Données projet'!$E$11+1,1))-AVERAGE(OFFSET($H$3,0,0,'Données projet'!$E$11+1,1))</f>
        <v>181.20458942529478</v>
      </c>
      <c r="BJ162" s="59">
        <f t="shared" si="146"/>
        <v>144.05254691566421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9.6828469756602207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9.6828469756602207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214</v>
      </c>
      <c r="BZ162" s="13">
        <f>BY162*VLOOKUP('Données projet'!$B$12,Paramètres!$A$1:$I$89,3,0)*VLOOKUP('Données projet'!$B$12,Paramètres!$A$1:$I$89,5,0)</f>
        <v>186.95040000000003</v>
      </c>
      <c r="CA162" s="13">
        <f t="shared" si="170"/>
        <v>46.865095976617653</v>
      </c>
      <c r="CB162" s="20">
        <f t="shared" si="171"/>
        <v>407.22865549260911</v>
      </c>
      <c r="CC162" s="59">
        <f t="shared" si="119"/>
        <v>700.56198882594242</v>
      </c>
      <c r="CD162" s="59">
        <f ca="1">AVERAGE(OFFSET($CC$3,0,0,'Données projet'!$E$12+1,1))-AVERAGE(OFFSET($H$3,0,0,'Données projet'!$E$12+1,1))</f>
        <v>164.24405955980575</v>
      </c>
      <c r="CE162" s="59">
        <f t="shared" si="148"/>
        <v>379.20713858755209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148.39628895278571</v>
      </c>
      <c r="AO163" s="59">
        <f t="shared" si="144"/>
        <v>361.07991692964788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3.7130496656061758</v>
      </c>
      <c r="AW163" s="21">
        <f>EXP(-LN(2)/2)*AW162+(1-EXP(-LN(2)/2))/(LN(2)/2)*AQ163*AT163*VLOOKUP('Données projet'!$B$10,Paramètres!$A$1:$I$89,3,0)*0.475*44/12</f>
        <v>1.2186976146819076E-21</v>
      </c>
      <c r="AX163" s="21">
        <f t="shared" si="166"/>
        <v>3.7130496656061758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234.00000000000003</v>
      </c>
      <c r="BE163" s="13">
        <f>BD163*VLOOKUP('Données projet'!$B$11,Paramètres!$A$1:$I$89,3,0)*VLOOKUP('Données projet'!$B$11,Paramètres!$A$1:$I$89,5,0)</f>
        <v>189.82080000000005</v>
      </c>
      <c r="BF163" s="13">
        <f t="shared" si="167"/>
        <v>47.500332100049796</v>
      </c>
      <c r="BG163" s="20">
        <f t="shared" si="168"/>
        <v>413.33430507425345</v>
      </c>
      <c r="BH163" s="59">
        <f t="shared" si="116"/>
        <v>706.66763840758676</v>
      </c>
      <c r="BI163" s="59">
        <f ca="1">AVERAGE(OFFSET($BH$3,0,0,'Données projet'!$E$11+1,1))-AVERAGE(OFFSET($H$3,0,0,'Données projet'!$E$11+1,1))</f>
        <v>181.20458942529478</v>
      </c>
      <c r="BJ163" s="59">
        <f t="shared" si="146"/>
        <v>144.05254691566421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9.4929722524210138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9.4929722524210138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214</v>
      </c>
      <c r="BZ163" s="13">
        <f>BY163*VLOOKUP('Données projet'!$B$12,Paramètres!$A$1:$I$89,3,0)*VLOOKUP('Données projet'!$B$12,Paramètres!$A$1:$I$89,5,0)</f>
        <v>186.95040000000003</v>
      </c>
      <c r="CA163" s="13">
        <f t="shared" si="170"/>
        <v>46.865095976617653</v>
      </c>
      <c r="CB163" s="20">
        <f t="shared" si="171"/>
        <v>407.22865549260911</v>
      </c>
      <c r="CC163" s="59">
        <f t="shared" si="119"/>
        <v>700.56198882594242</v>
      </c>
      <c r="CD163" s="59">
        <f ca="1">AVERAGE(OFFSET($CC$3,0,0,'Données projet'!$E$12+1,1))-AVERAGE(OFFSET($H$3,0,0,'Données projet'!$E$12+1,1))</f>
        <v>164.24405955980575</v>
      </c>
      <c r="CE163" s="59">
        <f t="shared" si="148"/>
        <v>379.20713858755209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148.39628895278571</v>
      </c>
      <c r="AO164" s="59">
        <f t="shared" si="144"/>
        <v>361.07991692964788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3.6115161272393794</v>
      </c>
      <c r="AW164" s="21">
        <f>EXP(-LN(2)/2)*AW163+(1-EXP(-LN(2)/2))/(LN(2)/2)*AQ164*AT164*VLOOKUP('Données projet'!$B$10,Paramètres!$A$1:$I$89,3,0)*0.475*44/12</f>
        <v>8.6174934755744706E-22</v>
      </c>
      <c r="AX164" s="21">
        <f t="shared" si="166"/>
        <v>3.6115161272393794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234.00000000000003</v>
      </c>
      <c r="BE164" s="13">
        <f>BD164*VLOOKUP('Données projet'!$B$11,Paramètres!$A$1:$I$89,3,0)*VLOOKUP('Données projet'!$B$11,Paramètres!$A$1:$I$89,5,0)</f>
        <v>189.82080000000005</v>
      </c>
      <c r="BF164" s="13">
        <f t="shared" si="167"/>
        <v>47.500332100049796</v>
      </c>
      <c r="BG164" s="20">
        <f t="shared" si="168"/>
        <v>413.33430507425345</v>
      </c>
      <c r="BH164" s="59">
        <f t="shared" si="116"/>
        <v>706.66763840758676</v>
      </c>
      <c r="BI164" s="59">
        <f ca="1">AVERAGE(OFFSET($BH$3,0,0,'Données projet'!$E$11+1,1))-AVERAGE(OFFSET($H$3,0,0,'Données projet'!$E$11+1,1))</f>
        <v>181.20458942529478</v>
      </c>
      <c r="BJ164" s="59">
        <f t="shared" si="146"/>
        <v>144.05254691566421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9.3068208566923829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9.3068208566923829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214</v>
      </c>
      <c r="BZ164" s="13">
        <f>BY164*VLOOKUP('Données projet'!$B$12,Paramètres!$A$1:$I$89,3,0)*VLOOKUP('Données projet'!$B$12,Paramètres!$A$1:$I$89,5,0)</f>
        <v>186.95040000000003</v>
      </c>
      <c r="CA164" s="13">
        <f t="shared" si="170"/>
        <v>46.865095976617653</v>
      </c>
      <c r="CB164" s="20">
        <f t="shared" si="171"/>
        <v>407.22865549260911</v>
      </c>
      <c r="CC164" s="59">
        <f t="shared" si="119"/>
        <v>700.56198882594242</v>
      </c>
      <c r="CD164" s="59">
        <f ca="1">AVERAGE(OFFSET($CC$3,0,0,'Données projet'!$E$12+1,1))-AVERAGE(OFFSET($H$3,0,0,'Données projet'!$E$12+1,1))</f>
        <v>164.24405955980575</v>
      </c>
      <c r="CE164" s="59">
        <f t="shared" si="148"/>
        <v>379.20713858755209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148.39628895278571</v>
      </c>
      <c r="AO165" s="59">
        <f t="shared" si="144"/>
        <v>361.07991692964788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3.5127590288186399</v>
      </c>
      <c r="AW165" s="21">
        <f>EXP(-LN(2)/2)*AW164+(1-EXP(-LN(2)/2))/(LN(2)/2)*AQ165*AT165*VLOOKUP('Données projet'!$B$10,Paramètres!$A$1:$I$89,3,0)*0.475*44/12</f>
        <v>6.0934880734095382E-22</v>
      </c>
      <c r="AX165" s="21">
        <f t="shared" si="166"/>
        <v>3.5127590288186399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234.00000000000003</v>
      </c>
      <c r="BE165" s="13">
        <f>BD165*VLOOKUP('Données projet'!$B$11,Paramètres!$A$1:$I$89,3,0)*VLOOKUP('Données projet'!$B$11,Paramètres!$A$1:$I$89,5,0)</f>
        <v>189.82080000000005</v>
      </c>
      <c r="BF165" s="13">
        <f t="shared" si="167"/>
        <v>47.500332100049796</v>
      </c>
      <c r="BG165" s="20">
        <f t="shared" si="168"/>
        <v>413.33430507425345</v>
      </c>
      <c r="BH165" s="59">
        <f t="shared" si="116"/>
        <v>706.66763840758676</v>
      </c>
      <c r="BI165" s="59">
        <f ca="1">AVERAGE(OFFSET($BH$3,0,0,'Données projet'!$E$11+1,1))-AVERAGE(OFFSET($H$3,0,0,'Données projet'!$E$11+1,1))</f>
        <v>181.20458942529478</v>
      </c>
      <c r="BJ165" s="59">
        <f t="shared" si="146"/>
        <v>144.05254691566421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9.1243197762928503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9.1243197762928503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214</v>
      </c>
      <c r="BZ165" s="13">
        <f>BY165*VLOOKUP('Données projet'!$B$12,Paramètres!$A$1:$I$89,3,0)*VLOOKUP('Données projet'!$B$12,Paramètres!$A$1:$I$89,5,0)</f>
        <v>186.95040000000003</v>
      </c>
      <c r="CA165" s="13">
        <f t="shared" si="170"/>
        <v>46.865095976617653</v>
      </c>
      <c r="CB165" s="20">
        <f t="shared" si="171"/>
        <v>407.22865549260911</v>
      </c>
      <c r="CC165" s="59">
        <f t="shared" si="119"/>
        <v>700.56198882594242</v>
      </c>
      <c r="CD165" s="59">
        <f ca="1">AVERAGE(OFFSET($CC$3,0,0,'Données projet'!$E$12+1,1))-AVERAGE(OFFSET($H$3,0,0,'Données projet'!$E$12+1,1))</f>
        <v>164.24405955980575</v>
      </c>
      <c r="CE165" s="59">
        <f t="shared" si="148"/>
        <v>379.20713858755209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148.39628895278571</v>
      </c>
      <c r="AO166" s="59">
        <f t="shared" si="144"/>
        <v>361.07991692964788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3.4167024484476252</v>
      </c>
      <c r="AW166" s="21">
        <f>EXP(-LN(2)/2)*AW165+(1-EXP(-LN(2)/2))/(LN(2)/2)*AQ166*AT166*VLOOKUP('Données projet'!$B$10,Paramètres!$A$1:$I$89,3,0)*0.475*44/12</f>
        <v>4.3087467377872353E-22</v>
      </c>
      <c r="AX166" s="21">
        <f t="shared" si="166"/>
        <v>3.4167024484476252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234.00000000000003</v>
      </c>
      <c r="BE166" s="13">
        <f>BD166*VLOOKUP('Données projet'!$B$11,Paramètres!$A$1:$I$89,3,0)*VLOOKUP('Données projet'!$B$11,Paramètres!$A$1:$I$89,5,0)</f>
        <v>189.82080000000005</v>
      </c>
      <c r="BF166" s="13">
        <f t="shared" si="167"/>
        <v>47.500332100049796</v>
      </c>
      <c r="BG166" s="20">
        <f t="shared" si="168"/>
        <v>413.33430507425345</v>
      </c>
      <c r="BH166" s="59">
        <f t="shared" si="116"/>
        <v>706.66763840758676</v>
      </c>
      <c r="BI166" s="59">
        <f ca="1">AVERAGE(OFFSET($BH$3,0,0,'Données projet'!$E$11+1,1))-AVERAGE(OFFSET($H$3,0,0,'Données projet'!$E$11+1,1))</f>
        <v>181.20458942529478</v>
      </c>
      <c r="BJ166" s="59">
        <f t="shared" si="146"/>
        <v>144.05254691566421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8.9453974307652846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8.9453974307652846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214</v>
      </c>
      <c r="BZ166" s="13">
        <f>BY166*VLOOKUP('Données projet'!$B$12,Paramètres!$A$1:$I$89,3,0)*VLOOKUP('Données projet'!$B$12,Paramètres!$A$1:$I$89,5,0)</f>
        <v>186.95040000000003</v>
      </c>
      <c r="CA166" s="13">
        <f t="shared" si="170"/>
        <v>46.865095976617653</v>
      </c>
      <c r="CB166" s="20">
        <f t="shared" si="171"/>
        <v>407.22865549260911</v>
      </c>
      <c r="CC166" s="59">
        <f t="shared" si="119"/>
        <v>700.56198882594242</v>
      </c>
      <c r="CD166" s="59">
        <f ca="1">AVERAGE(OFFSET($CC$3,0,0,'Données projet'!$E$12+1,1))-AVERAGE(OFFSET($H$3,0,0,'Données projet'!$E$12+1,1))</f>
        <v>164.24405955980575</v>
      </c>
      <c r="CE166" s="59">
        <f t="shared" si="148"/>
        <v>379.20713858755209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148.39628895278571</v>
      </c>
      <c r="AO167" s="59">
        <f t="shared" si="144"/>
        <v>361.07991692964788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3.3232725403182521</v>
      </c>
      <c r="AW167" s="21">
        <f>EXP(-LN(2)/2)*AW166+(1-EXP(-LN(2)/2))/(LN(2)/2)*AQ167*AT167*VLOOKUP('Données projet'!$B$10,Paramètres!$A$1:$I$89,3,0)*0.475*44/12</f>
        <v>3.0467440367047691E-22</v>
      </c>
      <c r="AX167" s="21">
        <f t="shared" si="166"/>
        <v>3.3232725403182521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234.00000000000003</v>
      </c>
      <c r="BE167" s="13">
        <f>BD167*VLOOKUP('Données projet'!$B$11,Paramètres!$A$1:$I$89,3,0)*VLOOKUP('Données projet'!$B$11,Paramètres!$A$1:$I$89,5,0)</f>
        <v>189.82080000000005</v>
      </c>
      <c r="BF167" s="13">
        <f t="shared" si="167"/>
        <v>47.500332100049796</v>
      </c>
      <c r="BG167" s="20">
        <f t="shared" si="168"/>
        <v>413.33430507425345</v>
      </c>
      <c r="BH167" s="59">
        <f t="shared" si="116"/>
        <v>706.66763840758676</v>
      </c>
      <c r="BI167" s="59">
        <f ca="1">AVERAGE(OFFSET($BH$3,0,0,'Données projet'!$E$11+1,1))-AVERAGE(OFFSET($H$3,0,0,'Données projet'!$E$11+1,1))</f>
        <v>181.20458942529478</v>
      </c>
      <c r="BJ167" s="59">
        <f t="shared" si="146"/>
        <v>144.05254691566421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8.7699836433016589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8.7699836433016589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214</v>
      </c>
      <c r="BZ167" s="13">
        <f>BY167*VLOOKUP('Données projet'!$B$12,Paramètres!$A$1:$I$89,3,0)*VLOOKUP('Données projet'!$B$12,Paramètres!$A$1:$I$89,5,0)</f>
        <v>186.95040000000003</v>
      </c>
      <c r="CA167" s="13">
        <f t="shared" si="170"/>
        <v>46.865095976617653</v>
      </c>
      <c r="CB167" s="20">
        <f t="shared" si="171"/>
        <v>407.22865549260911</v>
      </c>
      <c r="CC167" s="59">
        <f t="shared" si="119"/>
        <v>700.56198882594242</v>
      </c>
      <c r="CD167" s="59">
        <f ca="1">AVERAGE(OFFSET($CC$3,0,0,'Données projet'!$E$12+1,1))-AVERAGE(OFFSET($H$3,0,0,'Données projet'!$E$12+1,1))</f>
        <v>164.24405955980575</v>
      </c>
      <c r="CE167" s="59">
        <f t="shared" si="148"/>
        <v>379.20713858755209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148.39628895278571</v>
      </c>
      <c r="AO168" s="59">
        <f t="shared" si="144"/>
        <v>361.07991692964788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3.232397477939942</v>
      </c>
      <c r="AW168" s="21">
        <f>EXP(-LN(2)/2)*AW167+(1-EXP(-LN(2)/2))/(LN(2)/2)*AQ168*AT168*VLOOKUP('Données projet'!$B$10,Paramètres!$A$1:$I$89,3,0)*0.475*44/12</f>
        <v>2.1543733688936177E-22</v>
      </c>
      <c r="AX168" s="21">
        <f t="shared" si="166"/>
        <v>3.232397477939942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234.00000000000003</v>
      </c>
      <c r="BE168" s="13">
        <f>BD168*VLOOKUP('Données projet'!$B$11,Paramètres!$A$1:$I$89,3,0)*VLOOKUP('Données projet'!$B$11,Paramètres!$A$1:$I$89,5,0)</f>
        <v>189.82080000000005</v>
      </c>
      <c r="BF168" s="13">
        <f t="shared" si="167"/>
        <v>47.500332100049796</v>
      </c>
      <c r="BG168" s="20">
        <f t="shared" si="168"/>
        <v>413.33430507425345</v>
      </c>
      <c r="BH168" s="59">
        <f t="shared" si="116"/>
        <v>706.66763840758676</v>
      </c>
      <c r="BI168" s="59">
        <f ca="1">AVERAGE(OFFSET($BH$3,0,0,'Données projet'!$E$11+1,1))-AVERAGE(OFFSET($H$3,0,0,'Données projet'!$E$11+1,1))</f>
        <v>181.20458942529478</v>
      </c>
      <c r="BJ168" s="59">
        <f t="shared" si="146"/>
        <v>144.05254691566421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8.5980096132183501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8.5980096132183501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214</v>
      </c>
      <c r="BZ168" s="13">
        <f>BY168*VLOOKUP('Données projet'!$B$12,Paramètres!$A$1:$I$89,3,0)*VLOOKUP('Données projet'!$B$12,Paramètres!$A$1:$I$89,5,0)</f>
        <v>186.95040000000003</v>
      </c>
      <c r="CA168" s="13">
        <f t="shared" si="170"/>
        <v>46.865095976617653</v>
      </c>
      <c r="CB168" s="20">
        <f t="shared" si="171"/>
        <v>407.22865549260911</v>
      </c>
      <c r="CC168" s="59">
        <f t="shared" si="119"/>
        <v>700.56198882594242</v>
      </c>
      <c r="CD168" s="59">
        <f ca="1">AVERAGE(OFFSET($CC$3,0,0,'Données projet'!$E$12+1,1))-AVERAGE(OFFSET($H$3,0,0,'Données projet'!$E$12+1,1))</f>
        <v>164.24405955980575</v>
      </c>
      <c r="CE168" s="59">
        <f t="shared" si="148"/>
        <v>379.20713858755209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148.39628895278571</v>
      </c>
      <c r="AO169" s="59">
        <f t="shared" si="144"/>
        <v>361.07991692964788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3.1440073989212789</v>
      </c>
      <c r="AW169" s="21">
        <f>EXP(-LN(2)/2)*AW168+(1-EXP(-LN(2)/2))/(LN(2)/2)*AQ169*AT169*VLOOKUP('Données projet'!$B$10,Paramètres!$A$1:$I$89,3,0)*0.475*44/12</f>
        <v>1.5233720183523845E-22</v>
      </c>
      <c r="AX169" s="21">
        <f t="shared" si="166"/>
        <v>3.1440073989212789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234.00000000000003</v>
      </c>
      <c r="BE169" s="13">
        <f>BD169*VLOOKUP('Données projet'!$B$11,Paramètres!$A$1:$I$89,3,0)*VLOOKUP('Données projet'!$B$11,Paramètres!$A$1:$I$89,5,0)</f>
        <v>189.82080000000005</v>
      </c>
      <c r="BF169" s="13">
        <f t="shared" si="167"/>
        <v>47.500332100049796</v>
      </c>
      <c r="BG169" s="20">
        <f t="shared" si="168"/>
        <v>413.33430507425345</v>
      </c>
      <c r="BH169" s="59">
        <f t="shared" si="116"/>
        <v>706.66763840758676</v>
      </c>
      <c r="BI169" s="59">
        <f ca="1">AVERAGE(OFFSET($BH$3,0,0,'Données projet'!$E$11+1,1))-AVERAGE(OFFSET($H$3,0,0,'Données projet'!$E$11+1,1))</f>
        <v>181.20458942529478</v>
      </c>
      <c r="BJ169" s="59">
        <f t="shared" si="146"/>
        <v>144.05254691566421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8.4294078889711734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8.4294078889711734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214</v>
      </c>
      <c r="BZ169" s="13">
        <f>BY169*VLOOKUP('Données projet'!$B$12,Paramètres!$A$1:$I$89,3,0)*VLOOKUP('Données projet'!$B$12,Paramètres!$A$1:$I$89,5,0)</f>
        <v>186.95040000000003</v>
      </c>
      <c r="CA169" s="13">
        <f t="shared" si="170"/>
        <v>46.865095976617653</v>
      </c>
      <c r="CB169" s="20">
        <f t="shared" si="171"/>
        <v>407.22865549260911</v>
      </c>
      <c r="CC169" s="59">
        <f t="shared" si="119"/>
        <v>700.56198882594242</v>
      </c>
      <c r="CD169" s="59">
        <f ca="1">AVERAGE(OFFSET($CC$3,0,0,'Données projet'!$E$12+1,1))-AVERAGE(OFFSET($H$3,0,0,'Données projet'!$E$12+1,1))</f>
        <v>164.24405955980575</v>
      </c>
      <c r="CE169" s="59">
        <f t="shared" si="148"/>
        <v>379.20713858755209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148.39628895278571</v>
      </c>
      <c r="AO170" s="59">
        <f t="shared" si="144"/>
        <v>361.07991692964788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3.0580343512616133</v>
      </c>
      <c r="AW170" s="21">
        <f>EXP(-LN(2)/2)*AW169+(1-EXP(-LN(2)/2))/(LN(2)/2)*AQ170*AT170*VLOOKUP('Données projet'!$B$10,Paramètres!$A$1:$I$89,3,0)*0.475*44/12</f>
        <v>1.0771866844468088E-22</v>
      </c>
      <c r="AX170" s="21">
        <f t="shared" si="166"/>
        <v>3.0580343512616133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234.00000000000003</v>
      </c>
      <c r="BE170" s="13">
        <f>BD170*VLOOKUP('Données projet'!$B$11,Paramètres!$A$1:$I$89,3,0)*VLOOKUP('Données projet'!$B$11,Paramètres!$A$1:$I$89,5,0)</f>
        <v>189.82080000000005</v>
      </c>
      <c r="BF170" s="13">
        <f t="shared" si="167"/>
        <v>47.500332100049796</v>
      </c>
      <c r="BG170" s="20">
        <f t="shared" si="168"/>
        <v>413.33430507425345</v>
      </c>
      <c r="BH170" s="59">
        <f t="shared" si="116"/>
        <v>706.66763840758676</v>
      </c>
      <c r="BI170" s="59">
        <f ca="1">AVERAGE(OFFSET($BH$3,0,0,'Données projet'!$E$11+1,1))-AVERAGE(OFFSET($H$3,0,0,'Données projet'!$E$11+1,1))</f>
        <v>181.20458942529478</v>
      </c>
      <c r="BJ170" s="59">
        <f t="shared" si="146"/>
        <v>144.05254691566421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8.2641123416995868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8.2641123416995868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214</v>
      </c>
      <c r="BZ170" s="13">
        <f>BY170*VLOOKUP('Données projet'!$B$12,Paramètres!$A$1:$I$89,3,0)*VLOOKUP('Données projet'!$B$12,Paramètres!$A$1:$I$89,5,0)</f>
        <v>186.95040000000003</v>
      </c>
      <c r="CA170" s="13">
        <f t="shared" si="170"/>
        <v>46.865095976617653</v>
      </c>
      <c r="CB170" s="20">
        <f t="shared" si="171"/>
        <v>407.22865549260911</v>
      </c>
      <c r="CC170" s="59">
        <f t="shared" si="119"/>
        <v>700.56198882594242</v>
      </c>
      <c r="CD170" s="59">
        <f ca="1">AVERAGE(OFFSET($CC$3,0,0,'Données projet'!$E$12+1,1))-AVERAGE(OFFSET($H$3,0,0,'Données projet'!$E$12+1,1))</f>
        <v>164.24405955980575</v>
      </c>
      <c r="CE170" s="59">
        <f t="shared" si="148"/>
        <v>379.20713858755209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148.39628895278571</v>
      </c>
      <c r="AO171" s="59">
        <f t="shared" si="144"/>
        <v>361.07991692964788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2.974412241111327</v>
      </c>
      <c r="AW171" s="21">
        <f>EXP(-LN(2)/2)*AW170+(1-EXP(-LN(2)/2))/(LN(2)/2)*AQ171*AT171*VLOOKUP('Données projet'!$B$10,Paramètres!$A$1:$I$89,3,0)*0.475*44/12</f>
        <v>7.6168600917619227E-23</v>
      </c>
      <c r="AX171" s="21">
        <f t="shared" si="166"/>
        <v>2.974412241111327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234.00000000000003</v>
      </c>
      <c r="BE171" s="13">
        <f>BD171*VLOOKUP('Données projet'!$B$11,Paramètres!$A$1:$I$89,3,0)*VLOOKUP('Données projet'!$B$11,Paramètres!$A$1:$I$89,5,0)</f>
        <v>189.82080000000005</v>
      </c>
      <c r="BF171" s="13">
        <f t="shared" si="167"/>
        <v>47.500332100049796</v>
      </c>
      <c r="BG171" s="20">
        <f t="shared" si="168"/>
        <v>413.33430507425345</v>
      </c>
      <c r="BH171" s="59">
        <f t="shared" si="116"/>
        <v>706.66763840758676</v>
      </c>
      <c r="BI171" s="59">
        <f ca="1">AVERAGE(OFFSET($BH$3,0,0,'Données projet'!$E$11+1,1))-AVERAGE(OFFSET($H$3,0,0,'Données projet'!$E$11+1,1))</f>
        <v>181.20458942529478</v>
      </c>
      <c r="BJ171" s="59">
        <f t="shared" si="146"/>
        <v>144.05254691566421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8.1020581392896673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8.1020581392896673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214</v>
      </c>
      <c r="BZ171" s="13">
        <f>BY171*VLOOKUP('Données projet'!$B$12,Paramètres!$A$1:$I$89,3,0)*VLOOKUP('Données projet'!$B$12,Paramètres!$A$1:$I$89,5,0)</f>
        <v>186.95040000000003</v>
      </c>
      <c r="CA171" s="13">
        <f t="shared" si="170"/>
        <v>46.865095976617653</v>
      </c>
      <c r="CB171" s="20">
        <f t="shared" si="171"/>
        <v>407.22865549260911</v>
      </c>
      <c r="CC171" s="59">
        <f t="shared" si="119"/>
        <v>700.56198882594242</v>
      </c>
      <c r="CD171" s="59">
        <f ca="1">AVERAGE(OFFSET($CC$3,0,0,'Données projet'!$E$12+1,1))-AVERAGE(OFFSET($H$3,0,0,'Données projet'!$E$12+1,1))</f>
        <v>164.24405955980575</v>
      </c>
      <c r="CE171" s="59">
        <f t="shared" si="148"/>
        <v>379.20713858755209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148.39628895278571</v>
      </c>
      <c r="AO172" s="59">
        <f t="shared" si="144"/>
        <v>361.07991692964788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2.893076781960596</v>
      </c>
      <c r="AW172" s="21">
        <f>EXP(-LN(2)/2)*AW171+(1-EXP(-LN(2)/2))/(LN(2)/2)*AQ172*AT172*VLOOKUP('Données projet'!$B$10,Paramètres!$A$1:$I$89,3,0)*0.475*44/12</f>
        <v>5.3859334222340442E-23</v>
      </c>
      <c r="AX172" s="21">
        <f t="shared" si="166"/>
        <v>2.893076781960596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234.00000000000003</v>
      </c>
      <c r="BE172" s="13">
        <f>BD172*VLOOKUP('Données projet'!$B$11,Paramètres!$A$1:$I$89,3,0)*VLOOKUP('Données projet'!$B$11,Paramètres!$A$1:$I$89,5,0)</f>
        <v>189.82080000000005</v>
      </c>
      <c r="BF172" s="13">
        <f t="shared" si="167"/>
        <v>47.500332100049796</v>
      </c>
      <c r="BG172" s="20">
        <f t="shared" si="168"/>
        <v>413.33430507425345</v>
      </c>
      <c r="BH172" s="59">
        <f t="shared" si="116"/>
        <v>706.66763840758676</v>
      </c>
      <c r="BI172" s="59">
        <f ca="1">AVERAGE(OFFSET($BH$3,0,0,'Données projet'!$E$11+1,1))-AVERAGE(OFFSET($H$3,0,0,'Données projet'!$E$11+1,1))</f>
        <v>181.20458942529478</v>
      </c>
      <c r="BJ172" s="59">
        <f t="shared" si="146"/>
        <v>144.05254691566421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7.9431817209457032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7.9431817209457032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214</v>
      </c>
      <c r="BZ172" s="13">
        <f>BY172*VLOOKUP('Données projet'!$B$12,Paramètres!$A$1:$I$89,3,0)*VLOOKUP('Données projet'!$B$12,Paramètres!$A$1:$I$89,5,0)</f>
        <v>186.95040000000003</v>
      </c>
      <c r="CA172" s="13">
        <f t="shared" si="170"/>
        <v>46.865095976617653</v>
      </c>
      <c r="CB172" s="20">
        <f t="shared" si="171"/>
        <v>407.22865549260911</v>
      </c>
      <c r="CC172" s="59">
        <f t="shared" si="119"/>
        <v>700.56198882594242</v>
      </c>
      <c r="CD172" s="59">
        <f ca="1">AVERAGE(OFFSET($CC$3,0,0,'Données projet'!$E$12+1,1))-AVERAGE(OFFSET($H$3,0,0,'Données projet'!$E$12+1,1))</f>
        <v>164.24405955980575</v>
      </c>
      <c r="CE172" s="59">
        <f t="shared" si="148"/>
        <v>379.20713858755209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148.39628895278571</v>
      </c>
      <c r="AO173" s="59">
        <f t="shared" si="144"/>
        <v>361.07991692964788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2.8139654452175877</v>
      </c>
      <c r="AW173" s="21">
        <f>EXP(-LN(2)/2)*AW172+(1-EXP(-LN(2)/2))/(LN(2)/2)*AQ173*AT173*VLOOKUP('Données projet'!$B$10,Paramètres!$A$1:$I$89,3,0)*0.475*44/12</f>
        <v>3.8084300458809614E-23</v>
      </c>
      <c r="AX173" s="21">
        <f t="shared" si="166"/>
        <v>2.8139654452175877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234.00000000000003</v>
      </c>
      <c r="BE173" s="13">
        <f>BD173*VLOOKUP('Données projet'!$B$11,Paramètres!$A$1:$I$89,3,0)*VLOOKUP('Données projet'!$B$11,Paramètres!$A$1:$I$89,5,0)</f>
        <v>189.82080000000005</v>
      </c>
      <c r="BF173" s="13">
        <f t="shared" si="167"/>
        <v>47.500332100049796</v>
      </c>
      <c r="BG173" s="20">
        <f t="shared" si="168"/>
        <v>413.33430507425345</v>
      </c>
      <c r="BH173" s="59">
        <f t="shared" si="116"/>
        <v>706.66763840758676</v>
      </c>
      <c r="BI173" s="59">
        <f ca="1">AVERAGE(OFFSET($BH$3,0,0,'Données projet'!$E$11+1,1))-AVERAGE(OFFSET($H$3,0,0,'Données projet'!$E$11+1,1))</f>
        <v>181.20458942529478</v>
      </c>
      <c r="BJ173" s="59">
        <f t="shared" si="146"/>
        <v>144.05254691566421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7.7874207722604174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7.7874207722604174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214</v>
      </c>
      <c r="BZ173" s="13">
        <f>BY173*VLOOKUP('Données projet'!$B$12,Paramètres!$A$1:$I$89,3,0)*VLOOKUP('Données projet'!$B$12,Paramètres!$A$1:$I$89,5,0)</f>
        <v>186.95040000000003</v>
      </c>
      <c r="CA173" s="13">
        <f t="shared" si="170"/>
        <v>46.865095976617653</v>
      </c>
      <c r="CB173" s="20">
        <f t="shared" si="171"/>
        <v>407.22865549260911</v>
      </c>
      <c r="CC173" s="59">
        <f t="shared" si="119"/>
        <v>700.56198882594242</v>
      </c>
      <c r="CD173" s="59">
        <f ca="1">AVERAGE(OFFSET($CC$3,0,0,'Données projet'!$E$12+1,1))-AVERAGE(OFFSET($H$3,0,0,'Données projet'!$E$12+1,1))</f>
        <v>164.24405955980575</v>
      </c>
      <c r="CE173" s="59">
        <f t="shared" si="148"/>
        <v>379.20713858755209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148.39628895278571</v>
      </c>
      <c r="AO174" s="59">
        <f t="shared" si="144"/>
        <v>361.07991692964788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2.7370174121381012</v>
      </c>
      <c r="AW174" s="21">
        <f>EXP(-LN(2)/2)*AW173+(1-EXP(-LN(2)/2))/(LN(2)/2)*AQ174*AT174*VLOOKUP('Données projet'!$B$10,Paramètres!$A$1:$I$89,3,0)*0.475*44/12</f>
        <v>2.6929667111170221E-23</v>
      </c>
      <c r="AX174" s="21">
        <f t="shared" si="166"/>
        <v>2.7370174121381012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234.00000000000003</v>
      </c>
      <c r="BE174" s="13">
        <f>BD174*VLOOKUP('Données projet'!$B$11,Paramètres!$A$1:$I$89,3,0)*VLOOKUP('Données projet'!$B$11,Paramètres!$A$1:$I$89,5,0)</f>
        <v>189.82080000000005</v>
      </c>
      <c r="BF174" s="13">
        <f t="shared" si="167"/>
        <v>47.500332100049796</v>
      </c>
      <c r="BG174" s="20">
        <f t="shared" si="168"/>
        <v>413.33430507425345</v>
      </c>
      <c r="BH174" s="59">
        <f t="shared" si="116"/>
        <v>706.66763840758676</v>
      </c>
      <c r="BI174" s="59">
        <f ca="1">AVERAGE(OFFSET($BH$3,0,0,'Données projet'!$E$11+1,1))-AVERAGE(OFFSET($H$3,0,0,'Données projet'!$E$11+1,1))</f>
        <v>181.20458942529478</v>
      </c>
      <c r="BJ174" s="59">
        <f t="shared" si="146"/>
        <v>144.05254691566421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7.6347142007740523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7.6347142007740523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214</v>
      </c>
      <c r="BZ174" s="13">
        <f>BY174*VLOOKUP('Données projet'!$B$12,Paramètres!$A$1:$I$89,3,0)*VLOOKUP('Données projet'!$B$12,Paramètres!$A$1:$I$89,5,0)</f>
        <v>186.95040000000003</v>
      </c>
      <c r="CA174" s="13">
        <f t="shared" si="170"/>
        <v>46.865095976617653</v>
      </c>
      <c r="CB174" s="20">
        <f t="shared" si="171"/>
        <v>407.22865549260911</v>
      </c>
      <c r="CC174" s="59">
        <f t="shared" si="119"/>
        <v>700.56198882594242</v>
      </c>
      <c r="CD174" s="59">
        <f ca="1">AVERAGE(OFFSET($CC$3,0,0,'Données projet'!$E$12+1,1))-AVERAGE(OFFSET($H$3,0,0,'Données projet'!$E$12+1,1))</f>
        <v>164.24405955980575</v>
      </c>
      <c r="CE174" s="59">
        <f t="shared" si="148"/>
        <v>379.20713858755209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148.39628895278571</v>
      </c>
      <c r="AO175" s="59">
        <f t="shared" si="144"/>
        <v>361.07991692964788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2.6621735270696947</v>
      </c>
      <c r="AW175" s="21">
        <f>EXP(-LN(2)/2)*AW174+(1-EXP(-LN(2)/2))/(LN(2)/2)*AQ175*AT175*VLOOKUP('Données projet'!$B$10,Paramètres!$A$1:$I$89,3,0)*0.475*44/12</f>
        <v>1.9042150229404807E-23</v>
      </c>
      <c r="AX175" s="21">
        <f t="shared" si="166"/>
        <v>2.6621735270696947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234.00000000000003</v>
      </c>
      <c r="BE175" s="13">
        <f>BD175*VLOOKUP('Données projet'!$B$11,Paramètres!$A$1:$I$89,3,0)*VLOOKUP('Données projet'!$B$11,Paramètres!$A$1:$I$89,5,0)</f>
        <v>189.82080000000005</v>
      </c>
      <c r="BF175" s="13">
        <f t="shared" si="167"/>
        <v>47.500332100049796</v>
      </c>
      <c r="BG175" s="20">
        <f t="shared" si="168"/>
        <v>413.33430507425345</v>
      </c>
      <c r="BH175" s="59">
        <f t="shared" si="116"/>
        <v>706.66763840758676</v>
      </c>
      <c r="BI175" s="59">
        <f ca="1">AVERAGE(OFFSET($BH$3,0,0,'Données projet'!$E$11+1,1))-AVERAGE(OFFSET($H$3,0,0,'Données projet'!$E$11+1,1))</f>
        <v>181.20458942529478</v>
      </c>
      <c r="BJ175" s="59">
        <f t="shared" si="146"/>
        <v>144.05254691566421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7.4850021120127233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7.4850021120127233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214</v>
      </c>
      <c r="BZ175" s="13">
        <f>BY175*VLOOKUP('Données projet'!$B$12,Paramètres!$A$1:$I$89,3,0)*VLOOKUP('Données projet'!$B$12,Paramètres!$A$1:$I$89,5,0)</f>
        <v>186.95040000000003</v>
      </c>
      <c r="CA175" s="13">
        <f t="shared" si="170"/>
        <v>46.865095976617653</v>
      </c>
      <c r="CB175" s="20">
        <f t="shared" si="171"/>
        <v>407.22865549260911</v>
      </c>
      <c r="CC175" s="59">
        <f t="shared" si="119"/>
        <v>700.56198882594242</v>
      </c>
      <c r="CD175" s="59">
        <f ca="1">AVERAGE(OFFSET($CC$3,0,0,'Données projet'!$E$12+1,1))-AVERAGE(OFFSET($H$3,0,0,'Données projet'!$E$12+1,1))</f>
        <v>164.24405955980575</v>
      </c>
      <c r="CE175" s="59">
        <f t="shared" si="148"/>
        <v>379.20713858755209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148.39628895278571</v>
      </c>
      <c r="AO176" s="59">
        <f t="shared" si="144"/>
        <v>361.07991692964788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2.5893762519743526</v>
      </c>
      <c r="AW176" s="21">
        <f>EXP(-LN(2)/2)*AW175+(1-EXP(-LN(2)/2))/(LN(2)/2)*AQ176*AT176*VLOOKUP('Données projet'!$B$10,Paramètres!$A$1:$I$89,3,0)*0.475*44/12</f>
        <v>1.346483355558511E-23</v>
      </c>
      <c r="AX176" s="21">
        <f t="shared" si="166"/>
        <v>2.5893762519743526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234.00000000000003</v>
      </c>
      <c r="BE176" s="13">
        <f>BD176*VLOOKUP('Données projet'!$B$11,Paramètres!$A$1:$I$89,3,0)*VLOOKUP('Données projet'!$B$11,Paramètres!$A$1:$I$89,5,0)</f>
        <v>189.82080000000005</v>
      </c>
      <c r="BF176" s="13">
        <f t="shared" si="167"/>
        <v>47.500332100049796</v>
      </c>
      <c r="BG176" s="20">
        <f t="shared" si="168"/>
        <v>413.33430507425345</v>
      </c>
      <c r="BH176" s="59">
        <f t="shared" si="116"/>
        <v>706.66763840758676</v>
      </c>
      <c r="BI176" s="59">
        <f ca="1">AVERAGE(OFFSET($BH$3,0,0,'Données projet'!$E$11+1,1))-AVERAGE(OFFSET($H$3,0,0,'Données projet'!$E$11+1,1))</f>
        <v>181.20458942529478</v>
      </c>
      <c r="BJ176" s="59">
        <f t="shared" si="146"/>
        <v>144.05254691566421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7.338225785996646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7.338225785996646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214</v>
      </c>
      <c r="BZ176" s="13">
        <f>BY176*VLOOKUP('Données projet'!$B$12,Paramètres!$A$1:$I$89,3,0)*VLOOKUP('Données projet'!$B$12,Paramètres!$A$1:$I$89,5,0)</f>
        <v>186.95040000000003</v>
      </c>
      <c r="CA176" s="13">
        <f t="shared" si="170"/>
        <v>46.865095976617653</v>
      </c>
      <c r="CB176" s="20">
        <f t="shared" si="171"/>
        <v>407.22865549260911</v>
      </c>
      <c r="CC176" s="59">
        <f t="shared" si="119"/>
        <v>700.56198882594242</v>
      </c>
      <c r="CD176" s="59">
        <f ca="1">AVERAGE(OFFSET($CC$3,0,0,'Données projet'!$E$12+1,1))-AVERAGE(OFFSET($H$3,0,0,'Données projet'!$E$12+1,1))</f>
        <v>164.24405955980575</v>
      </c>
      <c r="CE176" s="59">
        <f t="shared" si="148"/>
        <v>379.20713858755209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148.39628895278571</v>
      </c>
      <c r="AO177" s="59">
        <f t="shared" si="144"/>
        <v>361.07991692964788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2.5185696221947351</v>
      </c>
      <c r="AW177" s="21">
        <f>EXP(-LN(2)/2)*AW176+(1-EXP(-LN(2)/2))/(LN(2)/2)*AQ177*AT177*VLOOKUP('Données projet'!$B$10,Paramètres!$A$1:$I$89,3,0)*0.475*44/12</f>
        <v>9.5210751147024034E-24</v>
      </c>
      <c r="AX177" s="21">
        <f t="shared" si="166"/>
        <v>2.5185696221947351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234.00000000000003</v>
      </c>
      <c r="BE177" s="13">
        <f>BD177*VLOOKUP('Données projet'!$B$11,Paramètres!$A$1:$I$89,3,0)*VLOOKUP('Données projet'!$B$11,Paramètres!$A$1:$I$89,5,0)</f>
        <v>189.82080000000005</v>
      </c>
      <c r="BF177" s="13">
        <f t="shared" si="167"/>
        <v>47.500332100049796</v>
      </c>
      <c r="BG177" s="20">
        <f t="shared" si="168"/>
        <v>413.33430507425345</v>
      </c>
      <c r="BH177" s="59">
        <f t="shared" si="116"/>
        <v>706.66763840758676</v>
      </c>
      <c r="BI177" s="59">
        <f ca="1">AVERAGE(OFFSET($BH$3,0,0,'Données projet'!$E$11+1,1))-AVERAGE(OFFSET($H$3,0,0,'Données projet'!$E$11+1,1))</f>
        <v>181.20458942529478</v>
      </c>
      <c r="BJ177" s="59">
        <f t="shared" si="146"/>
        <v>144.05254691566421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7.1943276542090251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7.1943276542090251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214</v>
      </c>
      <c r="BZ177" s="13">
        <f>BY177*VLOOKUP('Données projet'!$B$12,Paramètres!$A$1:$I$89,3,0)*VLOOKUP('Données projet'!$B$12,Paramètres!$A$1:$I$89,5,0)</f>
        <v>186.95040000000003</v>
      </c>
      <c r="CA177" s="13">
        <f t="shared" si="170"/>
        <v>46.865095976617653</v>
      </c>
      <c r="CB177" s="20">
        <f t="shared" si="171"/>
        <v>407.22865549260911</v>
      </c>
      <c r="CC177" s="59">
        <f t="shared" si="119"/>
        <v>700.56198882594242</v>
      </c>
      <c r="CD177" s="59">
        <f ca="1">AVERAGE(OFFSET($CC$3,0,0,'Données projet'!$E$12+1,1))-AVERAGE(OFFSET($H$3,0,0,'Données projet'!$E$12+1,1))</f>
        <v>164.24405955980575</v>
      </c>
      <c r="CE177" s="59">
        <f t="shared" si="148"/>
        <v>379.20713858755209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148.39628895278571</v>
      </c>
      <c r="AO178" s="59">
        <f t="shared" si="144"/>
        <v>361.07991692964788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2.4496992034299998</v>
      </c>
      <c r="AW178" s="21">
        <f>EXP(-LN(2)/2)*AW177+(1-EXP(-LN(2)/2))/(LN(2)/2)*AQ178*AT178*VLOOKUP('Données projet'!$B$10,Paramètres!$A$1:$I$89,3,0)*0.475*44/12</f>
        <v>6.7324167777925552E-24</v>
      </c>
      <c r="AX178" s="21">
        <f t="shared" si="166"/>
        <v>2.4496992034299998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234.00000000000003</v>
      </c>
      <c r="BE178" s="13">
        <f>BD178*VLOOKUP('Données projet'!$B$11,Paramètres!$A$1:$I$89,3,0)*VLOOKUP('Données projet'!$B$11,Paramètres!$A$1:$I$89,5,0)</f>
        <v>189.82080000000005</v>
      </c>
      <c r="BF178" s="13">
        <f t="shared" si="167"/>
        <v>47.500332100049796</v>
      </c>
      <c r="BG178" s="20">
        <f t="shared" si="168"/>
        <v>413.33430507425345</v>
      </c>
      <c r="BH178" s="59">
        <f t="shared" si="116"/>
        <v>706.66763840758676</v>
      </c>
      <c r="BI178" s="59">
        <f ca="1">AVERAGE(OFFSET($BH$3,0,0,'Données projet'!$E$11+1,1))-AVERAGE(OFFSET($H$3,0,0,'Données projet'!$E$11+1,1))</f>
        <v>181.20458942529478</v>
      </c>
      <c r="BJ178" s="59">
        <f t="shared" si="146"/>
        <v>144.05254691566421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7.0532512770165656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7.0532512770165656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214</v>
      </c>
      <c r="BZ178" s="13">
        <f>BY178*VLOOKUP('Données projet'!$B$12,Paramètres!$A$1:$I$89,3,0)*VLOOKUP('Données projet'!$B$12,Paramètres!$A$1:$I$89,5,0)</f>
        <v>186.95040000000003</v>
      </c>
      <c r="CA178" s="13">
        <f t="shared" si="170"/>
        <v>46.865095976617653</v>
      </c>
      <c r="CB178" s="20">
        <f t="shared" si="171"/>
        <v>407.22865549260911</v>
      </c>
      <c r="CC178" s="59">
        <f t="shared" si="119"/>
        <v>700.56198882594242</v>
      </c>
      <c r="CD178" s="59">
        <f ca="1">AVERAGE(OFFSET($CC$3,0,0,'Données projet'!$E$12+1,1))-AVERAGE(OFFSET($H$3,0,0,'Données projet'!$E$12+1,1))</f>
        <v>164.24405955980575</v>
      </c>
      <c r="CE178" s="59">
        <f t="shared" si="148"/>
        <v>379.20713858755209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148.39628895278571</v>
      </c>
      <c r="AO179" s="59">
        <f t="shared" si="144"/>
        <v>361.07991692964788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2.382712049888124</v>
      </c>
      <c r="AW179" s="21">
        <f>EXP(-LN(2)/2)*AW178+(1-EXP(-LN(2)/2))/(LN(2)/2)*AQ179*AT179*VLOOKUP('Données projet'!$B$10,Paramètres!$A$1:$I$89,3,0)*0.475*44/12</f>
        <v>4.7605375573512017E-24</v>
      </c>
      <c r="AX179" s="21">
        <f t="shared" si="166"/>
        <v>2.382712049888124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234.00000000000003</v>
      </c>
      <c r="BE179" s="13">
        <f>BD179*VLOOKUP('Données projet'!$B$11,Paramètres!$A$1:$I$89,3,0)*VLOOKUP('Données projet'!$B$11,Paramètres!$A$1:$I$89,5,0)</f>
        <v>189.82080000000005</v>
      </c>
      <c r="BF179" s="13">
        <f t="shared" si="167"/>
        <v>47.500332100049796</v>
      </c>
      <c r="BG179" s="20">
        <f t="shared" si="168"/>
        <v>413.33430507425345</v>
      </c>
      <c r="BH179" s="59">
        <f t="shared" si="116"/>
        <v>706.66763840758676</v>
      </c>
      <c r="BI179" s="59">
        <f ca="1">AVERAGE(OFFSET($BH$3,0,0,'Données projet'!$E$11+1,1))-AVERAGE(OFFSET($H$3,0,0,'Données projet'!$E$11+1,1))</f>
        <v>181.20458942529478</v>
      </c>
      <c r="BJ179" s="59">
        <f t="shared" si="146"/>
        <v>144.05254691566421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6.9149413215327566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6.9149413215327566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214</v>
      </c>
      <c r="BZ179" s="13">
        <f>BY179*VLOOKUP('Données projet'!$B$12,Paramètres!$A$1:$I$89,3,0)*VLOOKUP('Données projet'!$B$12,Paramètres!$A$1:$I$89,5,0)</f>
        <v>186.95040000000003</v>
      </c>
      <c r="CA179" s="13">
        <f t="shared" si="170"/>
        <v>46.865095976617653</v>
      </c>
      <c r="CB179" s="20">
        <f t="shared" si="171"/>
        <v>407.22865549260911</v>
      </c>
      <c r="CC179" s="59">
        <f t="shared" si="119"/>
        <v>700.56198882594242</v>
      </c>
      <c r="CD179" s="59">
        <f ca="1">AVERAGE(OFFSET($CC$3,0,0,'Données projet'!$E$12+1,1))-AVERAGE(OFFSET($H$3,0,0,'Données projet'!$E$12+1,1))</f>
        <v>164.24405955980575</v>
      </c>
      <c r="CE179" s="59">
        <f t="shared" si="148"/>
        <v>379.20713858755209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148.39628895278571</v>
      </c>
      <c r="AO180" s="59">
        <f t="shared" si="144"/>
        <v>361.07991692964788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2.3175566635825522</v>
      </c>
      <c r="AW180" s="21">
        <f>EXP(-LN(2)/2)*AW179+(1-EXP(-LN(2)/2))/(LN(2)/2)*AQ180*AT180*VLOOKUP('Données projet'!$B$10,Paramètres!$A$1:$I$89,3,0)*0.475*44/12</f>
        <v>3.3662083888962776E-24</v>
      </c>
      <c r="AX180" s="21">
        <f t="shared" si="166"/>
        <v>2.3175566635825522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234.00000000000003</v>
      </c>
      <c r="BE180" s="13">
        <f>BD180*VLOOKUP('Données projet'!$B$11,Paramètres!$A$1:$I$89,3,0)*VLOOKUP('Données projet'!$B$11,Paramètres!$A$1:$I$89,5,0)</f>
        <v>189.82080000000005</v>
      </c>
      <c r="BF180" s="13">
        <f t="shared" si="167"/>
        <v>47.500332100049796</v>
      </c>
      <c r="BG180" s="20">
        <f t="shared" si="168"/>
        <v>413.33430507425345</v>
      </c>
      <c r="BH180" s="59">
        <f t="shared" si="116"/>
        <v>706.66763840758676</v>
      </c>
      <c r="BI180" s="59">
        <f ca="1">AVERAGE(OFFSET($BH$3,0,0,'Données projet'!$E$11+1,1))-AVERAGE(OFFSET($H$3,0,0,'Données projet'!$E$11+1,1))</f>
        <v>181.20458942529478</v>
      </c>
      <c r="BJ180" s="59">
        <f t="shared" si="146"/>
        <v>144.05254691566421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6.7793435399152422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6.7793435399152422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214</v>
      </c>
      <c r="BZ180" s="13">
        <f>BY180*VLOOKUP('Données projet'!$B$12,Paramètres!$A$1:$I$89,3,0)*VLOOKUP('Données projet'!$B$12,Paramètres!$A$1:$I$89,5,0)</f>
        <v>186.95040000000003</v>
      </c>
      <c r="CA180" s="13">
        <f t="shared" si="170"/>
        <v>46.865095976617653</v>
      </c>
      <c r="CB180" s="20">
        <f t="shared" si="171"/>
        <v>407.22865549260911</v>
      </c>
      <c r="CC180" s="59">
        <f t="shared" si="119"/>
        <v>700.56198882594242</v>
      </c>
      <c r="CD180" s="59">
        <f ca="1">AVERAGE(OFFSET($CC$3,0,0,'Données projet'!$E$12+1,1))-AVERAGE(OFFSET($H$3,0,0,'Données projet'!$E$12+1,1))</f>
        <v>164.24405955980575</v>
      </c>
      <c r="CE180" s="59">
        <f t="shared" si="148"/>
        <v>379.20713858755209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148.39628895278571</v>
      </c>
      <c r="AO181" s="59">
        <f t="shared" si="144"/>
        <v>361.07991692964788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2.254182954741879</v>
      </c>
      <c r="AW181" s="21">
        <f>EXP(-LN(2)/2)*AW180+(1-EXP(-LN(2)/2))/(LN(2)/2)*AQ181*AT181*VLOOKUP('Données projet'!$B$10,Paramètres!$A$1:$I$89,3,0)*0.475*44/12</f>
        <v>2.3802687786756008E-24</v>
      </c>
      <c r="AX181" s="21">
        <f t="shared" si="166"/>
        <v>2.254182954741879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234.00000000000003</v>
      </c>
      <c r="BE181" s="13">
        <f>BD181*VLOOKUP('Données projet'!$B$11,Paramètres!$A$1:$I$89,3,0)*VLOOKUP('Données projet'!$B$11,Paramètres!$A$1:$I$89,5,0)</f>
        <v>189.82080000000005</v>
      </c>
      <c r="BF181" s="13">
        <f t="shared" si="167"/>
        <v>47.500332100049796</v>
      </c>
      <c r="BG181" s="20">
        <f t="shared" si="168"/>
        <v>413.33430507425345</v>
      </c>
      <c r="BH181" s="59">
        <f t="shared" si="116"/>
        <v>706.66763840758676</v>
      </c>
      <c r="BI181" s="59">
        <f ca="1">AVERAGE(OFFSET($BH$3,0,0,'Données projet'!$E$11+1,1))-AVERAGE(OFFSET($H$3,0,0,'Données projet'!$E$11+1,1))</f>
        <v>181.20458942529478</v>
      </c>
      <c r="BJ181" s="59">
        <f t="shared" si="146"/>
        <v>144.05254691566421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6.6464047480887674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6.6464047480887674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214</v>
      </c>
      <c r="BZ181" s="13">
        <f>BY181*VLOOKUP('Données projet'!$B$12,Paramètres!$A$1:$I$89,3,0)*VLOOKUP('Données projet'!$B$12,Paramètres!$A$1:$I$89,5,0)</f>
        <v>186.95040000000003</v>
      </c>
      <c r="CA181" s="13">
        <f t="shared" si="170"/>
        <v>46.865095976617653</v>
      </c>
      <c r="CB181" s="20">
        <f t="shared" si="171"/>
        <v>407.22865549260911</v>
      </c>
      <c r="CC181" s="59">
        <f t="shared" si="119"/>
        <v>700.56198882594242</v>
      </c>
      <c r="CD181" s="59">
        <f ca="1">AVERAGE(OFFSET($CC$3,0,0,'Données projet'!$E$12+1,1))-AVERAGE(OFFSET($H$3,0,0,'Données projet'!$E$12+1,1))</f>
        <v>164.24405955980575</v>
      </c>
      <c r="CE181" s="59">
        <f t="shared" si="148"/>
        <v>379.20713858755209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148.39628895278571</v>
      </c>
      <c r="AO182" s="59">
        <f t="shared" si="144"/>
        <v>361.07991692964788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2.1925422033021329</v>
      </c>
      <c r="AW182" s="21">
        <f>EXP(-LN(2)/2)*AW181+(1-EXP(-LN(2)/2))/(LN(2)/2)*AQ182*AT182*VLOOKUP('Données projet'!$B$10,Paramètres!$A$1:$I$89,3,0)*0.475*44/12</f>
        <v>1.6831041944481388E-24</v>
      </c>
      <c r="AX182" s="21">
        <f t="shared" si="166"/>
        <v>2.1925422033021329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234.00000000000003</v>
      </c>
      <c r="BE182" s="13">
        <f>BD182*VLOOKUP('Données projet'!$B$11,Paramètres!$A$1:$I$89,3,0)*VLOOKUP('Données projet'!$B$11,Paramètres!$A$1:$I$89,5,0)</f>
        <v>189.82080000000005</v>
      </c>
      <c r="BF182" s="13">
        <f t="shared" si="167"/>
        <v>47.500332100049796</v>
      </c>
      <c r="BG182" s="20">
        <f t="shared" si="168"/>
        <v>413.33430507425345</v>
      </c>
      <c r="BH182" s="59">
        <f t="shared" si="116"/>
        <v>706.66763840758676</v>
      </c>
      <c r="BI182" s="59">
        <f ca="1">AVERAGE(OFFSET($BH$3,0,0,'Données projet'!$E$11+1,1))-AVERAGE(OFFSET($H$3,0,0,'Données projet'!$E$11+1,1))</f>
        <v>181.20458942529478</v>
      </c>
      <c r="BJ182" s="59">
        <f t="shared" si="146"/>
        <v>144.05254691566421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6.5160728048853533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6.5160728048853533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214</v>
      </c>
      <c r="BZ182" s="13">
        <f>BY182*VLOOKUP('Données projet'!$B$12,Paramètres!$A$1:$I$89,3,0)*VLOOKUP('Données projet'!$B$12,Paramètres!$A$1:$I$89,5,0)</f>
        <v>186.95040000000003</v>
      </c>
      <c r="CA182" s="13">
        <f t="shared" si="170"/>
        <v>46.865095976617653</v>
      </c>
      <c r="CB182" s="20">
        <f t="shared" si="171"/>
        <v>407.22865549260911</v>
      </c>
      <c r="CC182" s="59">
        <f t="shared" si="119"/>
        <v>700.56198882594242</v>
      </c>
      <c r="CD182" s="59">
        <f ca="1">AVERAGE(OFFSET($CC$3,0,0,'Données projet'!$E$12+1,1))-AVERAGE(OFFSET($H$3,0,0,'Données projet'!$E$12+1,1))</f>
        <v>164.24405955980575</v>
      </c>
      <c r="CE182" s="59">
        <f t="shared" si="148"/>
        <v>379.20713858755209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148.39628895278571</v>
      </c>
      <c r="AO183" s="59">
        <f t="shared" si="144"/>
        <v>361.07991692964788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2.1325870214520526</v>
      </c>
      <c r="AW183" s="21">
        <f>EXP(-LN(2)/2)*AW182+(1-EXP(-LN(2)/2))/(LN(2)/2)*AQ183*AT183*VLOOKUP('Données projet'!$B$10,Paramètres!$A$1:$I$89,3,0)*0.475*44/12</f>
        <v>1.1901343893378004E-24</v>
      </c>
      <c r="AX183" s="21">
        <f t="shared" si="166"/>
        <v>2.1325870214520526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234.00000000000003</v>
      </c>
      <c r="BE183" s="13">
        <f>BD183*VLOOKUP('Données projet'!$B$11,Paramètres!$A$1:$I$89,3,0)*VLOOKUP('Données projet'!$B$11,Paramètres!$A$1:$I$89,5,0)</f>
        <v>189.82080000000005</v>
      </c>
      <c r="BF183" s="13">
        <f t="shared" si="167"/>
        <v>47.500332100049796</v>
      </c>
      <c r="BG183" s="20">
        <f t="shared" si="168"/>
        <v>413.33430507425345</v>
      </c>
      <c r="BH183" s="59">
        <f t="shared" si="116"/>
        <v>706.66763840758676</v>
      </c>
      <c r="BI183" s="59">
        <f ca="1">AVERAGE(OFFSET($BH$3,0,0,'Données projet'!$E$11+1,1))-AVERAGE(OFFSET($H$3,0,0,'Données projet'!$E$11+1,1))</f>
        <v>181.20458942529478</v>
      </c>
      <c r="BJ183" s="59">
        <f t="shared" si="146"/>
        <v>144.05254691566421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6.3882965915935221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6.3882965915935221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214</v>
      </c>
      <c r="BZ183" s="13">
        <f>BY183*VLOOKUP('Données projet'!$B$12,Paramètres!$A$1:$I$89,3,0)*VLOOKUP('Données projet'!$B$12,Paramètres!$A$1:$I$89,5,0)</f>
        <v>186.95040000000003</v>
      </c>
      <c r="CA183" s="13">
        <f t="shared" si="170"/>
        <v>46.865095976617653</v>
      </c>
      <c r="CB183" s="20">
        <f t="shared" si="171"/>
        <v>407.22865549260911</v>
      </c>
      <c r="CC183" s="59">
        <f t="shared" si="119"/>
        <v>700.56198882594242</v>
      </c>
      <c r="CD183" s="59">
        <f ca="1">AVERAGE(OFFSET($CC$3,0,0,'Données projet'!$E$12+1,1))-AVERAGE(OFFSET($H$3,0,0,'Données projet'!$E$12+1,1))</f>
        <v>164.24405955980575</v>
      </c>
      <c r="CE183" s="59">
        <f t="shared" si="148"/>
        <v>379.20713858755209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148.39628895278571</v>
      </c>
      <c r="AO184" s="59">
        <f t="shared" si="144"/>
        <v>361.07991692964788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2.0742713172025686</v>
      </c>
      <c r="AW184" s="21">
        <f>EXP(-LN(2)/2)*AW183+(1-EXP(-LN(2)/2))/(LN(2)/2)*AQ184*AT184*VLOOKUP('Données projet'!$B$10,Paramètres!$A$1:$I$89,3,0)*0.475*44/12</f>
        <v>8.415520972240694E-25</v>
      </c>
      <c r="AX184" s="21">
        <f t="shared" si="166"/>
        <v>2.0742713172025686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234.00000000000003</v>
      </c>
      <c r="BE184" s="13">
        <f>BD184*VLOOKUP('Données projet'!$B$11,Paramètres!$A$1:$I$89,3,0)*VLOOKUP('Données projet'!$B$11,Paramètres!$A$1:$I$89,5,0)</f>
        <v>189.82080000000005</v>
      </c>
      <c r="BF184" s="13">
        <f t="shared" si="167"/>
        <v>47.500332100049796</v>
      </c>
      <c r="BG184" s="20">
        <f t="shared" si="168"/>
        <v>413.33430507425345</v>
      </c>
      <c r="BH184" s="59">
        <f t="shared" si="116"/>
        <v>706.66763840758676</v>
      </c>
      <c r="BI184" s="59">
        <f ca="1">AVERAGE(OFFSET($BH$3,0,0,'Données projet'!$E$11+1,1))-AVERAGE(OFFSET($H$3,0,0,'Données projet'!$E$11+1,1))</f>
        <v>181.20458942529478</v>
      </c>
      <c r="BJ184" s="59">
        <f t="shared" si="146"/>
        <v>144.05254691566421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6.2630259919085489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6.2630259919085489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214</v>
      </c>
      <c r="BZ184" s="13">
        <f>BY184*VLOOKUP('Données projet'!$B$12,Paramètres!$A$1:$I$89,3,0)*VLOOKUP('Données projet'!$B$12,Paramètres!$A$1:$I$89,5,0)</f>
        <v>186.95040000000003</v>
      </c>
      <c r="CA184" s="13">
        <f t="shared" si="170"/>
        <v>46.865095976617653</v>
      </c>
      <c r="CB184" s="20">
        <f t="shared" si="171"/>
        <v>407.22865549260911</v>
      </c>
      <c r="CC184" s="59">
        <f t="shared" si="119"/>
        <v>700.56198882594242</v>
      </c>
      <c r="CD184" s="59">
        <f ca="1">AVERAGE(OFFSET($CC$3,0,0,'Données projet'!$E$12+1,1))-AVERAGE(OFFSET($H$3,0,0,'Données projet'!$E$12+1,1))</f>
        <v>164.24405955980575</v>
      </c>
      <c r="CE184" s="59">
        <f t="shared" si="148"/>
        <v>379.20713858755209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148.39628895278571</v>
      </c>
      <c r="AO185" s="59">
        <f t="shared" si="144"/>
        <v>361.07991692964788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2.0175502589524767</v>
      </c>
      <c r="AW185" s="21">
        <f>EXP(-LN(2)/2)*AW184+(1-EXP(-LN(2)/2))/(LN(2)/2)*AQ185*AT185*VLOOKUP('Données projet'!$B$10,Paramètres!$A$1:$I$89,3,0)*0.475*44/12</f>
        <v>5.9506719466890021E-25</v>
      </c>
      <c r="AX185" s="21">
        <f t="shared" si="166"/>
        <v>2.0175502589524767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234.00000000000003</v>
      </c>
      <c r="BE185" s="13">
        <f>BD185*VLOOKUP('Données projet'!$B$11,Paramètres!$A$1:$I$89,3,0)*VLOOKUP('Données projet'!$B$11,Paramètres!$A$1:$I$89,5,0)</f>
        <v>189.82080000000005</v>
      </c>
      <c r="BF185" s="13">
        <f t="shared" si="167"/>
        <v>47.500332100049796</v>
      </c>
      <c r="BG185" s="20">
        <f t="shared" si="168"/>
        <v>413.33430507425345</v>
      </c>
      <c r="BH185" s="59">
        <f t="shared" si="116"/>
        <v>706.66763840758676</v>
      </c>
      <c r="BI185" s="59">
        <f ca="1">AVERAGE(OFFSET($BH$3,0,0,'Données projet'!$E$11+1,1))-AVERAGE(OFFSET($H$3,0,0,'Données projet'!$E$11+1,1))</f>
        <v>181.20458942529478</v>
      </c>
      <c r="BJ185" s="59">
        <f t="shared" si="146"/>
        <v>144.05254691566421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6.1402118722758772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6.1402118722758772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214</v>
      </c>
      <c r="BZ185" s="13">
        <f>BY185*VLOOKUP('Données projet'!$B$12,Paramètres!$A$1:$I$89,3,0)*VLOOKUP('Données projet'!$B$12,Paramètres!$A$1:$I$89,5,0)</f>
        <v>186.95040000000003</v>
      </c>
      <c r="CA185" s="13">
        <f t="shared" si="170"/>
        <v>46.865095976617653</v>
      </c>
      <c r="CB185" s="20">
        <f t="shared" si="171"/>
        <v>407.22865549260911</v>
      </c>
      <c r="CC185" s="59">
        <f t="shared" si="119"/>
        <v>700.56198882594242</v>
      </c>
      <c r="CD185" s="59">
        <f ca="1">AVERAGE(OFFSET($CC$3,0,0,'Données projet'!$E$12+1,1))-AVERAGE(OFFSET($H$3,0,0,'Données projet'!$E$12+1,1))</f>
        <v>164.24405955980575</v>
      </c>
      <c r="CE185" s="59">
        <f t="shared" si="148"/>
        <v>379.20713858755209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148.39628895278571</v>
      </c>
      <c r="AO186" s="59">
        <f t="shared" si="144"/>
        <v>361.07991692964788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1.9623802410230644</v>
      </c>
      <c r="AW186" s="21">
        <f>EXP(-LN(2)/2)*AW185+(1-EXP(-LN(2)/2))/(LN(2)/2)*AQ186*AT186*VLOOKUP('Données projet'!$B$10,Paramètres!$A$1:$I$89,3,0)*0.475*44/12</f>
        <v>4.207760486120347E-25</v>
      </c>
      <c r="AX186" s="21">
        <f t="shared" si="166"/>
        <v>1.9623802410230644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234.00000000000003</v>
      </c>
      <c r="BE186" s="13">
        <f>BD186*VLOOKUP('Données projet'!$B$11,Paramètres!$A$1:$I$89,3,0)*VLOOKUP('Données projet'!$B$11,Paramètres!$A$1:$I$89,5,0)</f>
        <v>189.82080000000005</v>
      </c>
      <c r="BF186" s="13">
        <f t="shared" si="167"/>
        <v>47.500332100049796</v>
      </c>
      <c r="BG186" s="20">
        <f t="shared" si="168"/>
        <v>413.33430507425345</v>
      </c>
      <c r="BH186" s="59">
        <f t="shared" si="116"/>
        <v>706.66763840758676</v>
      </c>
      <c r="BI186" s="59">
        <f ca="1">AVERAGE(OFFSET($BH$3,0,0,'Données projet'!$E$11+1,1))-AVERAGE(OFFSET($H$3,0,0,'Données projet'!$E$11+1,1))</f>
        <v>181.20458942529478</v>
      </c>
      <c r="BJ186" s="59">
        <f t="shared" si="146"/>
        <v>144.05254691566421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6.0198060626199856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6.0198060626199856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214</v>
      </c>
      <c r="BZ186" s="13">
        <f>BY186*VLOOKUP('Données projet'!$B$12,Paramètres!$A$1:$I$89,3,0)*VLOOKUP('Données projet'!$B$12,Paramètres!$A$1:$I$89,5,0)</f>
        <v>186.95040000000003</v>
      </c>
      <c r="CA186" s="13">
        <f t="shared" si="170"/>
        <v>46.865095976617653</v>
      </c>
      <c r="CB186" s="20">
        <f t="shared" si="171"/>
        <v>407.22865549260911</v>
      </c>
      <c r="CC186" s="59">
        <f t="shared" si="119"/>
        <v>700.56198882594242</v>
      </c>
      <c r="CD186" s="59">
        <f ca="1">AVERAGE(OFFSET($CC$3,0,0,'Données projet'!$E$12+1,1))-AVERAGE(OFFSET($H$3,0,0,'Données projet'!$E$12+1,1))</f>
        <v>164.24405955980575</v>
      </c>
      <c r="CE186" s="59">
        <f t="shared" si="148"/>
        <v>379.20713858755209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148.39628895278571</v>
      </c>
      <c r="AO187" s="59">
        <f t="shared" si="144"/>
        <v>361.07991692964788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1.9087188501351968</v>
      </c>
      <c r="AW187" s="21">
        <f>EXP(-LN(2)/2)*AW186+(1-EXP(-LN(2)/2))/(LN(2)/2)*AQ187*AT187*VLOOKUP('Données projet'!$B$10,Paramètres!$A$1:$I$89,3,0)*0.475*44/12</f>
        <v>2.9753359733445011E-25</v>
      </c>
      <c r="AX187" s="21">
        <f t="shared" si="166"/>
        <v>1.9087188501351968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234.00000000000003</v>
      </c>
      <c r="BE187" s="13">
        <f>BD187*VLOOKUP('Données projet'!$B$11,Paramètres!$A$1:$I$89,3,0)*VLOOKUP('Données projet'!$B$11,Paramètres!$A$1:$I$89,5,0)</f>
        <v>189.82080000000005</v>
      </c>
      <c r="BF187" s="13">
        <f t="shared" si="167"/>
        <v>47.500332100049796</v>
      </c>
      <c r="BG187" s="20">
        <f t="shared" si="168"/>
        <v>413.33430507425345</v>
      </c>
      <c r="BH187" s="59">
        <f t="shared" si="116"/>
        <v>706.66763840758676</v>
      </c>
      <c r="BI187" s="59">
        <f ca="1">AVERAGE(OFFSET($BH$3,0,0,'Données projet'!$E$11+1,1))-AVERAGE(OFFSET($H$3,0,0,'Données projet'!$E$11+1,1))</f>
        <v>181.20458942529478</v>
      </c>
      <c r="BJ187" s="59">
        <f t="shared" si="146"/>
        <v>144.05254691566421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5.9017613374511537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5.9017613374511537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214</v>
      </c>
      <c r="BZ187" s="13">
        <f>BY187*VLOOKUP('Données projet'!$B$12,Paramètres!$A$1:$I$89,3,0)*VLOOKUP('Données projet'!$B$12,Paramètres!$A$1:$I$89,5,0)</f>
        <v>186.95040000000003</v>
      </c>
      <c r="CA187" s="13">
        <f t="shared" si="170"/>
        <v>46.865095976617653</v>
      </c>
      <c r="CB187" s="20">
        <f t="shared" si="171"/>
        <v>407.22865549260911</v>
      </c>
      <c r="CC187" s="59">
        <f t="shared" si="119"/>
        <v>700.56198882594242</v>
      </c>
      <c r="CD187" s="59">
        <f ca="1">AVERAGE(OFFSET($CC$3,0,0,'Données projet'!$E$12+1,1))-AVERAGE(OFFSET($H$3,0,0,'Données projet'!$E$12+1,1))</f>
        <v>164.24405955980575</v>
      </c>
      <c r="CE187" s="59">
        <f t="shared" si="148"/>
        <v>379.20713858755209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148.39628895278571</v>
      </c>
      <c r="AO188" s="59">
        <f t="shared" si="144"/>
        <v>361.07991692964788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1.8565248328030879</v>
      </c>
      <c r="AW188" s="21">
        <f>EXP(-LN(2)/2)*AW187+(1-EXP(-LN(2)/2))/(LN(2)/2)*AQ188*AT188*VLOOKUP('Données projet'!$B$10,Paramètres!$A$1:$I$89,3,0)*0.475*44/12</f>
        <v>2.1038802430601735E-25</v>
      </c>
      <c r="AX188" s="21">
        <f t="shared" si="166"/>
        <v>1.8565248328030879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234.00000000000003</v>
      </c>
      <c r="BE188" s="13">
        <f>BD188*VLOOKUP('Données projet'!$B$11,Paramètres!$A$1:$I$89,3,0)*VLOOKUP('Données projet'!$B$11,Paramètres!$A$1:$I$89,5,0)</f>
        <v>189.82080000000005</v>
      </c>
      <c r="BF188" s="13">
        <f t="shared" si="167"/>
        <v>47.500332100049796</v>
      </c>
      <c r="BG188" s="20">
        <f t="shared" si="168"/>
        <v>413.33430507425345</v>
      </c>
      <c r="BH188" s="59">
        <f t="shared" si="116"/>
        <v>706.66763840758676</v>
      </c>
      <c r="BI188" s="59">
        <f ca="1">AVERAGE(OFFSET($BH$3,0,0,'Données projet'!$E$11+1,1))-AVERAGE(OFFSET($H$3,0,0,'Données projet'!$E$11+1,1))</f>
        <v>181.20458942529478</v>
      </c>
      <c r="BJ188" s="59">
        <f t="shared" si="146"/>
        <v>144.05254691566421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5.7860313973427093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5.7860313973427093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214</v>
      </c>
      <c r="BZ188" s="13">
        <f>BY188*VLOOKUP('Données projet'!$B$12,Paramètres!$A$1:$I$89,3,0)*VLOOKUP('Données projet'!$B$12,Paramètres!$A$1:$I$89,5,0)</f>
        <v>186.95040000000003</v>
      </c>
      <c r="CA188" s="13">
        <f t="shared" si="170"/>
        <v>46.865095976617653</v>
      </c>
      <c r="CB188" s="20">
        <f t="shared" si="171"/>
        <v>407.22865549260911</v>
      </c>
      <c r="CC188" s="59">
        <f t="shared" si="119"/>
        <v>700.56198882594242</v>
      </c>
      <c r="CD188" s="59">
        <f ca="1">AVERAGE(OFFSET($CC$3,0,0,'Données projet'!$E$12+1,1))-AVERAGE(OFFSET($H$3,0,0,'Données projet'!$E$12+1,1))</f>
        <v>164.24405955980575</v>
      </c>
      <c r="CE188" s="59">
        <f t="shared" si="148"/>
        <v>379.20713858755209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148.39628895278571</v>
      </c>
      <c r="AO189" s="59">
        <f t="shared" si="144"/>
        <v>361.07991692964788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1.8057580636196897</v>
      </c>
      <c r="AW189" s="21">
        <f>EXP(-LN(2)/2)*AW188+(1-EXP(-LN(2)/2))/(LN(2)/2)*AQ189*AT189*VLOOKUP('Données projet'!$B$10,Paramètres!$A$1:$I$89,3,0)*0.475*44/12</f>
        <v>1.4876679866722505E-25</v>
      </c>
      <c r="AX189" s="21">
        <f t="shared" si="166"/>
        <v>1.8057580636196897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234.00000000000003</v>
      </c>
      <c r="BE189" s="13">
        <f>BD189*VLOOKUP('Données projet'!$B$11,Paramètres!$A$1:$I$89,3,0)*VLOOKUP('Données projet'!$B$11,Paramètres!$A$1:$I$89,5,0)</f>
        <v>189.82080000000005</v>
      </c>
      <c r="BF189" s="13">
        <f t="shared" si="167"/>
        <v>47.500332100049796</v>
      </c>
      <c r="BG189" s="20">
        <f t="shared" si="168"/>
        <v>413.33430507425345</v>
      </c>
      <c r="BH189" s="59">
        <f t="shared" si="116"/>
        <v>706.66763840758676</v>
      </c>
      <c r="BI189" s="59">
        <f ca="1">AVERAGE(OFFSET($BH$3,0,0,'Données projet'!$E$11+1,1))-AVERAGE(OFFSET($H$3,0,0,'Données projet'!$E$11+1,1))</f>
        <v>181.20458942529478</v>
      </c>
      <c r="BJ189" s="59">
        <f t="shared" si="146"/>
        <v>144.05254691566421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5.672570850771498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5.672570850771498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214</v>
      </c>
      <c r="BZ189" s="13">
        <f>BY189*VLOOKUP('Données projet'!$B$12,Paramètres!$A$1:$I$89,3,0)*VLOOKUP('Données projet'!$B$12,Paramètres!$A$1:$I$89,5,0)</f>
        <v>186.95040000000003</v>
      </c>
      <c r="CA189" s="13">
        <f t="shared" si="170"/>
        <v>46.865095976617653</v>
      </c>
      <c r="CB189" s="20">
        <f t="shared" si="171"/>
        <v>407.22865549260911</v>
      </c>
      <c r="CC189" s="59">
        <f t="shared" si="119"/>
        <v>700.56198882594242</v>
      </c>
      <c r="CD189" s="59">
        <f ca="1">AVERAGE(OFFSET($CC$3,0,0,'Données projet'!$E$12+1,1))-AVERAGE(OFFSET($H$3,0,0,'Données projet'!$E$12+1,1))</f>
        <v>164.24405955980575</v>
      </c>
      <c r="CE189" s="59">
        <f t="shared" si="148"/>
        <v>379.20713858755209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148.39628895278571</v>
      </c>
      <c r="AO190" s="59">
        <f t="shared" si="144"/>
        <v>361.07991692964788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1.7563795144093199</v>
      </c>
      <c r="AW190" s="21">
        <f>EXP(-LN(2)/2)*AW189+(1-EXP(-LN(2)/2))/(LN(2)/2)*AQ190*AT190*VLOOKUP('Données projet'!$B$10,Paramètres!$A$1:$I$89,3,0)*0.475*44/12</f>
        <v>1.0519401215300867E-25</v>
      </c>
      <c r="AX190" s="21">
        <f t="shared" si="166"/>
        <v>1.7563795144093199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234.00000000000003</v>
      </c>
      <c r="BE190" s="13">
        <f>BD190*VLOOKUP('Données projet'!$B$11,Paramètres!$A$1:$I$89,3,0)*VLOOKUP('Données projet'!$B$11,Paramètres!$A$1:$I$89,5,0)</f>
        <v>189.82080000000005</v>
      </c>
      <c r="BF190" s="13">
        <f t="shared" si="167"/>
        <v>47.500332100049796</v>
      </c>
      <c r="BG190" s="20">
        <f t="shared" si="168"/>
        <v>413.33430507425345</v>
      </c>
      <c r="BH190" s="59">
        <f t="shared" si="116"/>
        <v>706.66763840758676</v>
      </c>
      <c r="BI190" s="59">
        <f ca="1">AVERAGE(OFFSET($BH$3,0,0,'Données projet'!$E$11+1,1))-AVERAGE(OFFSET($H$3,0,0,'Données projet'!$E$11+1,1))</f>
        <v>181.20458942529478</v>
      </c>
      <c r="BJ190" s="59">
        <f t="shared" si="146"/>
        <v>144.05254691566421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5.5613351963144488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5.5613351963144488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214</v>
      </c>
      <c r="BZ190" s="13">
        <f>BY190*VLOOKUP('Données projet'!$B$12,Paramètres!$A$1:$I$89,3,0)*VLOOKUP('Données projet'!$B$12,Paramètres!$A$1:$I$89,5,0)</f>
        <v>186.95040000000003</v>
      </c>
      <c r="CA190" s="13">
        <f t="shared" si="170"/>
        <v>46.865095976617653</v>
      </c>
      <c r="CB190" s="20">
        <f t="shared" si="171"/>
        <v>407.22865549260911</v>
      </c>
      <c r="CC190" s="59">
        <f t="shared" si="119"/>
        <v>700.56198882594242</v>
      </c>
      <c r="CD190" s="59">
        <f ca="1">AVERAGE(OFFSET($CC$3,0,0,'Données projet'!$E$12+1,1))-AVERAGE(OFFSET($H$3,0,0,'Données projet'!$E$12+1,1))</f>
        <v>164.24405955980575</v>
      </c>
      <c r="CE190" s="59">
        <f t="shared" si="148"/>
        <v>379.20713858755209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148.39628895278571</v>
      </c>
      <c r="AO191" s="59">
        <f t="shared" si="144"/>
        <v>361.07991692964788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1.7083512242238126</v>
      </c>
      <c r="AW191" s="21">
        <f>EXP(-LN(2)/2)*AW190+(1-EXP(-LN(2)/2))/(LN(2)/2)*AQ191*AT191*VLOOKUP('Données projet'!$B$10,Paramètres!$A$1:$I$89,3,0)*0.475*44/12</f>
        <v>7.4383399333612527E-26</v>
      </c>
      <c r="AX191" s="21">
        <f t="shared" si="166"/>
        <v>1.7083512242238126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234.00000000000003</v>
      </c>
      <c r="BE191" s="13">
        <f>BD191*VLOOKUP('Données projet'!$B$11,Paramètres!$A$1:$I$89,3,0)*VLOOKUP('Données projet'!$B$11,Paramètres!$A$1:$I$89,5,0)</f>
        <v>189.82080000000005</v>
      </c>
      <c r="BF191" s="13">
        <f t="shared" si="167"/>
        <v>47.500332100049796</v>
      </c>
      <c r="BG191" s="20">
        <f t="shared" si="168"/>
        <v>413.33430507425345</v>
      </c>
      <c r="BH191" s="59">
        <f t="shared" si="116"/>
        <v>706.66763840758676</v>
      </c>
      <c r="BI191" s="59">
        <f ca="1">AVERAGE(OFFSET($BH$3,0,0,'Données projet'!$E$11+1,1))-AVERAGE(OFFSET($H$3,0,0,'Données projet'!$E$11+1,1))</f>
        <v>181.20458942529478</v>
      </c>
      <c r="BJ191" s="59">
        <f t="shared" si="146"/>
        <v>144.05254691566421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5.4522808051942526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5.4522808051942526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214</v>
      </c>
      <c r="BZ191" s="13">
        <f>BY191*VLOOKUP('Données projet'!$B$12,Paramètres!$A$1:$I$89,3,0)*VLOOKUP('Données projet'!$B$12,Paramètres!$A$1:$I$89,5,0)</f>
        <v>186.95040000000003</v>
      </c>
      <c r="CA191" s="13">
        <f t="shared" si="170"/>
        <v>46.865095976617653</v>
      </c>
      <c r="CB191" s="20">
        <f t="shared" si="171"/>
        <v>407.22865549260911</v>
      </c>
      <c r="CC191" s="59">
        <f t="shared" si="119"/>
        <v>700.56198882594242</v>
      </c>
      <c r="CD191" s="59">
        <f ca="1">AVERAGE(OFFSET($CC$3,0,0,'Données projet'!$E$12+1,1))-AVERAGE(OFFSET($H$3,0,0,'Données projet'!$E$12+1,1))</f>
        <v>164.24405955980575</v>
      </c>
      <c r="CE191" s="59">
        <f t="shared" si="148"/>
        <v>379.20713858755209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148.39628895278571</v>
      </c>
      <c r="AO192" s="59">
        <f t="shared" si="144"/>
        <v>361.07991692964788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1.6616362701591261</v>
      </c>
      <c r="AW192" s="21">
        <f>EXP(-LN(2)/2)*AW191+(1-EXP(-LN(2)/2))/(LN(2)/2)*AQ192*AT192*VLOOKUP('Données projet'!$B$10,Paramètres!$A$1:$I$89,3,0)*0.475*44/12</f>
        <v>5.2597006076504337E-26</v>
      </c>
      <c r="AX192" s="21">
        <f t="shared" si="166"/>
        <v>1.6616362701591261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234.00000000000003</v>
      </c>
      <c r="BE192" s="13">
        <f>BD192*VLOOKUP('Données projet'!$B$11,Paramètres!$A$1:$I$89,3,0)*VLOOKUP('Données projet'!$B$11,Paramètres!$A$1:$I$89,5,0)</f>
        <v>189.82080000000005</v>
      </c>
      <c r="BF192" s="13">
        <f t="shared" si="167"/>
        <v>47.500332100049796</v>
      </c>
      <c r="BG192" s="20">
        <f t="shared" si="168"/>
        <v>413.33430507425345</v>
      </c>
      <c r="BH192" s="59">
        <f t="shared" si="116"/>
        <v>706.66763840758676</v>
      </c>
      <c r="BI192" s="59">
        <f ca="1">AVERAGE(OFFSET($BH$3,0,0,'Données projet'!$E$11+1,1))-AVERAGE(OFFSET($H$3,0,0,'Données projet'!$E$11+1,1))</f>
        <v>181.20458942529478</v>
      </c>
      <c r="BJ192" s="59">
        <f t="shared" si="146"/>
        <v>144.05254691566421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5.3453649041673126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5.3453649041673126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214</v>
      </c>
      <c r="BZ192" s="13">
        <f>BY192*VLOOKUP('Données projet'!$B$12,Paramètres!$A$1:$I$89,3,0)*VLOOKUP('Données projet'!$B$12,Paramètres!$A$1:$I$89,5,0)</f>
        <v>186.95040000000003</v>
      </c>
      <c r="CA192" s="13">
        <f t="shared" si="170"/>
        <v>46.865095976617653</v>
      </c>
      <c r="CB192" s="20">
        <f t="shared" si="171"/>
        <v>407.22865549260911</v>
      </c>
      <c r="CC192" s="59">
        <f t="shared" si="119"/>
        <v>700.56198882594242</v>
      </c>
      <c r="CD192" s="59">
        <f ca="1">AVERAGE(OFFSET($CC$3,0,0,'Données projet'!$E$12+1,1))-AVERAGE(OFFSET($H$3,0,0,'Données projet'!$E$12+1,1))</f>
        <v>164.24405955980575</v>
      </c>
      <c r="CE192" s="59">
        <f t="shared" si="148"/>
        <v>379.20713858755209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148.39628895278571</v>
      </c>
      <c r="AO193" s="59">
        <f t="shared" si="144"/>
        <v>361.07991692964788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1.616198738969971</v>
      </c>
      <c r="AW193" s="21">
        <f>EXP(-LN(2)/2)*AW192+(1-EXP(-LN(2)/2))/(LN(2)/2)*AQ193*AT193*VLOOKUP('Données projet'!$B$10,Paramètres!$A$1:$I$89,3,0)*0.475*44/12</f>
        <v>3.7191699666806263E-26</v>
      </c>
      <c r="AX193" s="21">
        <f t="shared" si="166"/>
        <v>1.616198738969971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234.00000000000003</v>
      </c>
      <c r="BE193" s="13">
        <f>BD193*VLOOKUP('Données projet'!$B$11,Paramètres!$A$1:$I$89,3,0)*VLOOKUP('Données projet'!$B$11,Paramètres!$A$1:$I$89,5,0)</f>
        <v>189.82080000000005</v>
      </c>
      <c r="BF193" s="13">
        <f t="shared" si="167"/>
        <v>47.500332100049796</v>
      </c>
      <c r="BG193" s="20">
        <f t="shared" si="168"/>
        <v>413.33430507425345</v>
      </c>
      <c r="BH193" s="59">
        <f t="shared" si="116"/>
        <v>706.66763840758676</v>
      </c>
      <c r="BI193" s="59">
        <f ca="1">AVERAGE(OFFSET($BH$3,0,0,'Données projet'!$E$11+1,1))-AVERAGE(OFFSET($H$3,0,0,'Données projet'!$E$11+1,1))</f>
        <v>181.20458942529478</v>
      </c>
      <c r="BJ193" s="59">
        <f t="shared" si="146"/>
        <v>144.05254691566421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5.2405455587472503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5.2405455587472503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214</v>
      </c>
      <c r="BZ193" s="13">
        <f>BY193*VLOOKUP('Données projet'!$B$12,Paramètres!$A$1:$I$89,3,0)*VLOOKUP('Données projet'!$B$12,Paramètres!$A$1:$I$89,5,0)</f>
        <v>186.95040000000003</v>
      </c>
      <c r="CA193" s="13">
        <f t="shared" si="170"/>
        <v>46.865095976617653</v>
      </c>
      <c r="CB193" s="20">
        <f t="shared" si="171"/>
        <v>407.22865549260911</v>
      </c>
      <c r="CC193" s="59">
        <f t="shared" si="119"/>
        <v>700.56198882594242</v>
      </c>
      <c r="CD193" s="59">
        <f ca="1">AVERAGE(OFFSET($CC$3,0,0,'Données projet'!$E$12+1,1))-AVERAGE(OFFSET($H$3,0,0,'Données projet'!$E$12+1,1))</f>
        <v>164.24405955980575</v>
      </c>
      <c r="CE193" s="59">
        <f t="shared" si="148"/>
        <v>379.20713858755209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148.39628895278571</v>
      </c>
      <c r="AO194" s="59">
        <f t="shared" si="144"/>
        <v>361.07991692964788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1.5720036994606394</v>
      </c>
      <c r="AW194" s="21">
        <f>EXP(-LN(2)/2)*AW193+(1-EXP(-LN(2)/2))/(LN(2)/2)*AQ194*AT194*VLOOKUP('Données projet'!$B$10,Paramètres!$A$1:$I$89,3,0)*0.475*44/12</f>
        <v>2.6298503038252169E-26</v>
      </c>
      <c r="AX194" s="21">
        <f t="shared" si="166"/>
        <v>1.5720036994606394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234.00000000000003</v>
      </c>
      <c r="BE194" s="13">
        <f>BD194*VLOOKUP('Données projet'!$B$11,Paramètres!$A$1:$I$89,3,0)*VLOOKUP('Données projet'!$B$11,Paramètres!$A$1:$I$89,5,0)</f>
        <v>189.82080000000005</v>
      </c>
      <c r="BF194" s="13">
        <f t="shared" si="167"/>
        <v>47.500332100049796</v>
      </c>
      <c r="BG194" s="20">
        <f t="shared" si="168"/>
        <v>413.33430507425345</v>
      </c>
      <c r="BH194" s="59">
        <f t="shared" si="116"/>
        <v>706.66763840758676</v>
      </c>
      <c r="BI194" s="59">
        <f ca="1">AVERAGE(OFFSET($BH$3,0,0,'Données projet'!$E$11+1,1))-AVERAGE(OFFSET($H$3,0,0,'Données projet'!$E$11+1,1))</f>
        <v>181.20458942529478</v>
      </c>
      <c r="BJ194" s="59">
        <f t="shared" si="146"/>
        <v>144.05254691566421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5.1377816567573875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5.1377816567573875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214</v>
      </c>
      <c r="BZ194" s="13">
        <f>BY194*VLOOKUP('Données projet'!$B$12,Paramètres!$A$1:$I$89,3,0)*VLOOKUP('Données projet'!$B$12,Paramètres!$A$1:$I$89,5,0)</f>
        <v>186.95040000000003</v>
      </c>
      <c r="CA194" s="13">
        <f t="shared" si="170"/>
        <v>46.865095976617653</v>
      </c>
      <c r="CB194" s="20">
        <f t="shared" si="171"/>
        <v>407.22865549260911</v>
      </c>
      <c r="CC194" s="59">
        <f t="shared" si="119"/>
        <v>700.56198882594242</v>
      </c>
      <c r="CD194" s="59">
        <f ca="1">AVERAGE(OFFSET($CC$3,0,0,'Données projet'!$E$12+1,1))-AVERAGE(OFFSET($H$3,0,0,'Données projet'!$E$12+1,1))</f>
        <v>164.24405955980575</v>
      </c>
      <c r="CE194" s="59">
        <f t="shared" si="148"/>
        <v>379.20713858755209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148.39628895278571</v>
      </c>
      <c r="AO195" s="59">
        <f t="shared" si="144"/>
        <v>361.07991692964788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1.5290171756308066</v>
      </c>
      <c r="AW195" s="21">
        <f>EXP(-LN(2)/2)*AW194+(1-EXP(-LN(2)/2))/(LN(2)/2)*AQ195*AT195*VLOOKUP('Données projet'!$B$10,Paramètres!$A$1:$I$89,3,0)*0.475*44/12</f>
        <v>1.8595849833403132E-26</v>
      </c>
      <c r="AX195" s="21">
        <f t="shared" si="166"/>
        <v>1.5290171756308066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234.00000000000003</v>
      </c>
      <c r="BE195" s="13">
        <f>BD195*VLOOKUP('Données projet'!$B$11,Paramètres!$A$1:$I$89,3,0)*VLOOKUP('Données projet'!$B$11,Paramètres!$A$1:$I$89,5,0)</f>
        <v>189.82080000000005</v>
      </c>
      <c r="BF195" s="13">
        <f t="shared" si="167"/>
        <v>47.500332100049796</v>
      </c>
      <c r="BG195" s="20">
        <f t="shared" si="168"/>
        <v>413.33430507425345</v>
      </c>
      <c r="BH195" s="59">
        <f t="shared" si="116"/>
        <v>706.66763840758676</v>
      </c>
      <c r="BI195" s="59">
        <f ca="1">AVERAGE(OFFSET($BH$3,0,0,'Données projet'!$E$11+1,1))-AVERAGE(OFFSET($H$3,0,0,'Données projet'!$E$11+1,1))</f>
        <v>181.20458942529478</v>
      </c>
      <c r="BJ195" s="59">
        <f t="shared" si="146"/>
        <v>144.05254691566421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5.0370328922057546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5.0370328922057546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214</v>
      </c>
      <c r="BZ195" s="13">
        <f>BY195*VLOOKUP('Données projet'!$B$12,Paramètres!$A$1:$I$89,3,0)*VLOOKUP('Données projet'!$B$12,Paramètres!$A$1:$I$89,5,0)</f>
        <v>186.95040000000003</v>
      </c>
      <c r="CA195" s="13">
        <f t="shared" si="170"/>
        <v>46.865095976617653</v>
      </c>
      <c r="CB195" s="20">
        <f t="shared" si="171"/>
        <v>407.22865549260911</v>
      </c>
      <c r="CC195" s="59">
        <f t="shared" si="119"/>
        <v>700.56198882594242</v>
      </c>
      <c r="CD195" s="59">
        <f ca="1">AVERAGE(OFFSET($CC$3,0,0,'Données projet'!$E$12+1,1))-AVERAGE(OFFSET($H$3,0,0,'Données projet'!$E$12+1,1))</f>
        <v>164.24405955980575</v>
      </c>
      <c r="CE195" s="59">
        <f t="shared" si="148"/>
        <v>379.20713858755209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148.39628895278571</v>
      </c>
      <c r="AO196" s="59">
        <f t="shared" si="144"/>
        <v>361.07991692964788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1.4872061205556635</v>
      </c>
      <c r="AW196" s="21">
        <f>EXP(-LN(2)/2)*AW195+(1-EXP(-LN(2)/2))/(LN(2)/2)*AQ196*AT196*VLOOKUP('Données projet'!$B$10,Paramètres!$A$1:$I$89,3,0)*0.475*44/12</f>
        <v>1.3149251519126084E-26</v>
      </c>
      <c r="AX196" s="21">
        <f t="shared" si="166"/>
        <v>1.4872061205556635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234.00000000000003</v>
      </c>
      <c r="BE196" s="13">
        <f>BD196*VLOOKUP('Données projet'!$B$11,Paramètres!$A$1:$I$89,3,0)*VLOOKUP('Données projet'!$B$11,Paramètres!$A$1:$I$89,5,0)</f>
        <v>189.82080000000005</v>
      </c>
      <c r="BF196" s="13">
        <f t="shared" si="167"/>
        <v>47.500332100049796</v>
      </c>
      <c r="BG196" s="20">
        <f t="shared" si="168"/>
        <v>413.33430507425345</v>
      </c>
      <c r="BH196" s="59">
        <f t="shared" ref="BH196:BH203" si="194">BG196+(AY196+AZ196)*44/12</f>
        <v>706.66763840758676</v>
      </c>
      <c r="BI196" s="59">
        <f ca="1">AVERAGE(OFFSET($BH$3,0,0,'Données projet'!$E$11+1,1))-AVERAGE(OFFSET($H$3,0,0,'Données projet'!$E$11+1,1))</f>
        <v>181.20458942529478</v>
      </c>
      <c r="BJ196" s="59">
        <f t="shared" si="146"/>
        <v>144.05254691566421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4.938259749476301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4.938259749476301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214</v>
      </c>
      <c r="BZ196" s="13">
        <f>BY196*VLOOKUP('Données projet'!$B$12,Paramètres!$A$1:$I$89,3,0)*VLOOKUP('Données projet'!$B$12,Paramètres!$A$1:$I$89,5,0)</f>
        <v>186.95040000000003</v>
      </c>
      <c r="CA196" s="13">
        <f t="shared" si="170"/>
        <v>46.865095976617653</v>
      </c>
      <c r="CB196" s="20">
        <f t="shared" si="171"/>
        <v>407.22865549260911</v>
      </c>
      <c r="CC196" s="59">
        <f t="shared" ref="CC196:CC203" si="195">CB196+(BT196+BU196)*44/12</f>
        <v>700.56198882594242</v>
      </c>
      <c r="CD196" s="59">
        <f ca="1">AVERAGE(OFFSET($CC$3,0,0,'Données projet'!$E$12+1,1))-AVERAGE(OFFSET($H$3,0,0,'Données projet'!$E$12+1,1))</f>
        <v>164.24405955980575</v>
      </c>
      <c r="CE196" s="59">
        <f t="shared" si="148"/>
        <v>379.20713858755209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148.39628895278571</v>
      </c>
      <c r="AO197" s="59">
        <f t="shared" ref="AO197:AO203" si="205">$AO$3</f>
        <v>361.07991692964788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1.446538390980298</v>
      </c>
      <c r="AW197" s="21">
        <f>EXP(-LN(2)/2)*AW196+(1-EXP(-LN(2)/2))/(LN(2)/2)*AQ197*AT197*VLOOKUP('Données projet'!$B$10,Paramètres!$A$1:$I$89,3,0)*0.475*44/12</f>
        <v>9.2979249167015658E-27</v>
      </c>
      <c r="AX197" s="21">
        <f t="shared" si="166"/>
        <v>1.446538390980298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234.00000000000003</v>
      </c>
      <c r="BE197" s="13">
        <f>BD197*VLOOKUP('Données projet'!$B$11,Paramètres!$A$1:$I$89,3,0)*VLOOKUP('Données projet'!$B$11,Paramètres!$A$1:$I$89,5,0)</f>
        <v>189.82080000000005</v>
      </c>
      <c r="BF197" s="13">
        <f t="shared" si="167"/>
        <v>47.500332100049796</v>
      </c>
      <c r="BG197" s="20">
        <f t="shared" si="168"/>
        <v>413.33430507425345</v>
      </c>
      <c r="BH197" s="59">
        <f t="shared" si="194"/>
        <v>706.66763840758676</v>
      </c>
      <c r="BI197" s="59">
        <f ca="1">AVERAGE(OFFSET($BH$3,0,0,'Données projet'!$E$11+1,1))-AVERAGE(OFFSET($H$3,0,0,'Données projet'!$E$11+1,1))</f>
        <v>181.20458942529478</v>
      </c>
      <c r="BJ197" s="59">
        <f t="shared" ref="BJ197:BJ203" si="206">$BJ$3</f>
        <v>144.05254691566421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4.8414234878301032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4.8414234878301032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214</v>
      </c>
      <c r="BZ197" s="13">
        <f>BY197*VLOOKUP('Données projet'!$B$12,Paramètres!$A$1:$I$89,3,0)*VLOOKUP('Données projet'!$B$12,Paramètres!$A$1:$I$89,5,0)</f>
        <v>186.95040000000003</v>
      </c>
      <c r="CA197" s="13">
        <f t="shared" si="170"/>
        <v>46.865095976617653</v>
      </c>
      <c r="CB197" s="20">
        <f t="shared" si="171"/>
        <v>407.22865549260911</v>
      </c>
      <c r="CC197" s="59">
        <f t="shared" si="195"/>
        <v>700.56198882594242</v>
      </c>
      <c r="CD197" s="59">
        <f ca="1">AVERAGE(OFFSET($CC$3,0,0,'Données projet'!$E$12+1,1))-AVERAGE(OFFSET($H$3,0,0,'Données projet'!$E$12+1,1))</f>
        <v>164.24405955980575</v>
      </c>
      <c r="CE197" s="59">
        <f t="shared" ref="CE197:CE203" si="207">$CE$3</f>
        <v>379.20713858755209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148.39628895278571</v>
      </c>
      <c r="AO198" s="59">
        <f t="shared" si="205"/>
        <v>361.07991692964788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1.4069827226087939</v>
      </c>
      <c r="AW198" s="21">
        <f>EXP(-LN(2)/2)*AW197+(1-EXP(-LN(2)/2))/(LN(2)/2)*AQ198*AT198*VLOOKUP('Données projet'!$B$10,Paramètres!$A$1:$I$89,3,0)*0.475*44/12</f>
        <v>6.5746257595630422E-27</v>
      </c>
      <c r="AX198" s="21">
        <f t="shared" si="166"/>
        <v>1.4069827226087939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234.00000000000003</v>
      </c>
      <c r="BE198" s="13">
        <f>BD198*VLOOKUP('Données projet'!$B$11,Paramètres!$A$1:$I$89,3,0)*VLOOKUP('Données projet'!$B$11,Paramètres!$A$1:$I$89,5,0)</f>
        <v>189.82080000000005</v>
      </c>
      <c r="BF198" s="13">
        <f t="shared" si="167"/>
        <v>47.500332100049796</v>
      </c>
      <c r="BG198" s="20">
        <f t="shared" si="168"/>
        <v>413.33430507425345</v>
      </c>
      <c r="BH198" s="59">
        <f t="shared" si="194"/>
        <v>706.66763840758676</v>
      </c>
      <c r="BI198" s="59">
        <f ca="1">AVERAGE(OFFSET($BH$3,0,0,'Données projet'!$E$11+1,1))-AVERAGE(OFFSET($H$3,0,0,'Données projet'!$E$11+1,1))</f>
        <v>181.20458942529478</v>
      </c>
      <c r="BJ198" s="59">
        <f t="shared" si="206"/>
        <v>144.05254691566421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4.7464861262104998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4.7464861262104998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214</v>
      </c>
      <c r="BZ198" s="13">
        <f>BY198*VLOOKUP('Données projet'!$B$12,Paramètres!$A$1:$I$89,3,0)*VLOOKUP('Données projet'!$B$12,Paramètres!$A$1:$I$89,5,0)</f>
        <v>186.95040000000003</v>
      </c>
      <c r="CA198" s="13">
        <f t="shared" si="170"/>
        <v>46.865095976617653</v>
      </c>
      <c r="CB198" s="20">
        <f t="shared" si="171"/>
        <v>407.22865549260911</v>
      </c>
      <c r="CC198" s="59">
        <f t="shared" si="195"/>
        <v>700.56198882594242</v>
      </c>
      <c r="CD198" s="59">
        <f ca="1">AVERAGE(OFFSET($CC$3,0,0,'Données projet'!$E$12+1,1))-AVERAGE(OFFSET($H$3,0,0,'Données projet'!$E$12+1,1))</f>
        <v>164.24405955980575</v>
      </c>
      <c r="CE198" s="59">
        <f t="shared" si="207"/>
        <v>379.20713858755209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148.39628895278571</v>
      </c>
      <c r="AO199" s="59">
        <f t="shared" si="205"/>
        <v>361.07991692964788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1.3685087060690506</v>
      </c>
      <c r="AW199" s="21">
        <f>EXP(-LN(2)/2)*AW198+(1-EXP(-LN(2)/2))/(LN(2)/2)*AQ199*AT199*VLOOKUP('Données projet'!$B$10,Paramètres!$A$1:$I$89,3,0)*0.475*44/12</f>
        <v>4.6489624583507829E-27</v>
      </c>
      <c r="AX199" s="21">
        <f t="shared" si="166"/>
        <v>1.3685087060690506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234.00000000000003</v>
      </c>
      <c r="BE199" s="13">
        <f>BD199*VLOOKUP('Données projet'!$B$11,Paramètres!$A$1:$I$89,3,0)*VLOOKUP('Données projet'!$B$11,Paramètres!$A$1:$I$89,5,0)</f>
        <v>189.82080000000005</v>
      </c>
      <c r="BF199" s="13">
        <f t="shared" si="167"/>
        <v>47.500332100049796</v>
      </c>
      <c r="BG199" s="20">
        <f t="shared" si="168"/>
        <v>413.33430507425345</v>
      </c>
      <c r="BH199" s="59">
        <f t="shared" si="194"/>
        <v>706.66763840758676</v>
      </c>
      <c r="BI199" s="59">
        <f ca="1">AVERAGE(OFFSET($BH$3,0,0,'Données projet'!$E$11+1,1))-AVERAGE(OFFSET($H$3,0,0,'Données projet'!$E$11+1,1))</f>
        <v>181.20458942529478</v>
      </c>
      <c r="BJ199" s="59">
        <f t="shared" si="206"/>
        <v>144.05254691566421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4.6534104283461843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4.6534104283461843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214</v>
      </c>
      <c r="BZ199" s="13">
        <f>BY199*VLOOKUP('Données projet'!$B$12,Paramètres!$A$1:$I$89,3,0)*VLOOKUP('Données projet'!$B$12,Paramètres!$A$1:$I$89,5,0)</f>
        <v>186.95040000000003</v>
      </c>
      <c r="CA199" s="13">
        <f t="shared" si="170"/>
        <v>46.865095976617653</v>
      </c>
      <c r="CB199" s="20">
        <f t="shared" si="171"/>
        <v>407.22865549260911</v>
      </c>
      <c r="CC199" s="59">
        <f t="shared" si="195"/>
        <v>700.56198882594242</v>
      </c>
      <c r="CD199" s="59">
        <f ca="1">AVERAGE(OFFSET($CC$3,0,0,'Données projet'!$E$12+1,1))-AVERAGE(OFFSET($H$3,0,0,'Données projet'!$E$12+1,1))</f>
        <v>164.24405955980575</v>
      </c>
      <c r="CE199" s="59">
        <f t="shared" si="207"/>
        <v>379.20713858755209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148.39628895278571</v>
      </c>
      <c r="AO200" s="59">
        <f t="shared" si="205"/>
        <v>361.07991692964788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1.3310867635348473</v>
      </c>
      <c r="AW200" s="21">
        <f>EXP(-LN(2)/2)*AW199+(1-EXP(-LN(2)/2))/(LN(2)/2)*AQ200*AT200*VLOOKUP('Données projet'!$B$10,Paramètres!$A$1:$I$89,3,0)*0.475*44/12</f>
        <v>3.2873128797815211E-27</v>
      </c>
      <c r="AX200" s="21">
        <f t="shared" si="166"/>
        <v>1.3310867635348473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234.00000000000003</v>
      </c>
      <c r="BE200" s="13">
        <f>BD200*VLOOKUP('Données projet'!$B$11,Paramètres!$A$1:$I$89,3,0)*VLOOKUP('Données projet'!$B$11,Paramètres!$A$1:$I$89,5,0)</f>
        <v>189.82080000000005</v>
      </c>
      <c r="BF200" s="13">
        <f t="shared" si="167"/>
        <v>47.500332100049796</v>
      </c>
      <c r="BG200" s="20">
        <f t="shared" si="168"/>
        <v>413.33430507425345</v>
      </c>
      <c r="BH200" s="59">
        <f t="shared" si="194"/>
        <v>706.66763840758676</v>
      </c>
      <c r="BI200" s="59">
        <f ca="1">AVERAGE(OFFSET($BH$3,0,0,'Données projet'!$E$11+1,1))-AVERAGE(OFFSET($H$3,0,0,'Données projet'!$E$11+1,1))</f>
        <v>181.20458942529478</v>
      </c>
      <c r="BJ200" s="59">
        <f t="shared" si="206"/>
        <v>144.05254691566421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4.562159888146418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4.562159888146418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214</v>
      </c>
      <c r="BZ200" s="13">
        <f>BY200*VLOOKUP('Données projet'!$B$12,Paramètres!$A$1:$I$89,3,0)*VLOOKUP('Données projet'!$B$12,Paramètres!$A$1:$I$89,5,0)</f>
        <v>186.95040000000003</v>
      </c>
      <c r="CA200" s="13">
        <f t="shared" si="170"/>
        <v>46.865095976617653</v>
      </c>
      <c r="CB200" s="20">
        <f t="shared" si="171"/>
        <v>407.22865549260911</v>
      </c>
      <c r="CC200" s="59">
        <f t="shared" si="195"/>
        <v>700.56198882594242</v>
      </c>
      <c r="CD200" s="59">
        <f ca="1">AVERAGE(OFFSET($CC$3,0,0,'Données projet'!$E$12+1,1))-AVERAGE(OFFSET($H$3,0,0,'Données projet'!$E$12+1,1))</f>
        <v>164.24405955980575</v>
      </c>
      <c r="CE200" s="59">
        <f t="shared" si="207"/>
        <v>379.20713858755209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148.39628895278571</v>
      </c>
      <c r="AO201" s="59">
        <f t="shared" si="205"/>
        <v>361.07991692964788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1.2946881259871763</v>
      </c>
      <c r="AW201" s="21">
        <f>EXP(-LN(2)/2)*AW200+(1-EXP(-LN(2)/2))/(LN(2)/2)*AQ201*AT201*VLOOKUP('Données projet'!$B$10,Paramètres!$A$1:$I$89,3,0)*0.475*44/12</f>
        <v>2.3244812291753915E-27</v>
      </c>
      <c r="AX201" s="21">
        <f t="shared" si="166"/>
        <v>1.2946881259871763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234.00000000000003</v>
      </c>
      <c r="BE201" s="13">
        <f>BD201*VLOOKUP('Données projet'!$B$11,Paramètres!$A$1:$I$89,3,0)*VLOOKUP('Données projet'!$B$11,Paramètres!$A$1:$I$89,5,0)</f>
        <v>189.82080000000005</v>
      </c>
      <c r="BF201" s="13">
        <f t="shared" si="167"/>
        <v>47.500332100049796</v>
      </c>
      <c r="BG201" s="20">
        <f t="shared" si="168"/>
        <v>413.33430507425345</v>
      </c>
      <c r="BH201" s="59">
        <f t="shared" si="194"/>
        <v>706.66763840758676</v>
      </c>
      <c r="BI201" s="59">
        <f ca="1">AVERAGE(OFFSET($BH$3,0,0,'Données projet'!$E$11+1,1))-AVERAGE(OFFSET($H$3,0,0,'Données projet'!$E$11+1,1))</f>
        <v>181.20458942529478</v>
      </c>
      <c r="BJ201" s="59">
        <f t="shared" si="206"/>
        <v>144.05254691566421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4.4726987153826352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4.4726987153826352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214</v>
      </c>
      <c r="BZ201" s="13">
        <f>BY201*VLOOKUP('Données projet'!$B$12,Paramètres!$A$1:$I$89,3,0)*VLOOKUP('Données projet'!$B$12,Paramètres!$A$1:$I$89,5,0)</f>
        <v>186.95040000000003</v>
      </c>
      <c r="CA201" s="13">
        <f t="shared" si="170"/>
        <v>46.865095976617653</v>
      </c>
      <c r="CB201" s="20">
        <f t="shared" si="171"/>
        <v>407.22865549260911</v>
      </c>
      <c r="CC201" s="59">
        <f t="shared" si="195"/>
        <v>700.56198882594242</v>
      </c>
      <c r="CD201" s="59">
        <f ca="1">AVERAGE(OFFSET($CC$3,0,0,'Données projet'!$E$12+1,1))-AVERAGE(OFFSET($H$3,0,0,'Données projet'!$E$12+1,1))</f>
        <v>164.24405955980575</v>
      </c>
      <c r="CE201" s="59">
        <f t="shared" si="207"/>
        <v>379.20713858755209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148.39628895278571</v>
      </c>
      <c r="AO202" s="59">
        <f t="shared" si="205"/>
        <v>361.07991692964788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1.2592848110973676</v>
      </c>
      <c r="AW202" s="21">
        <f>EXP(-LN(2)/2)*AW201+(1-EXP(-LN(2)/2))/(LN(2)/2)*AQ202*AT202*VLOOKUP('Données projet'!$B$10,Paramètres!$A$1:$I$89,3,0)*0.475*44/12</f>
        <v>1.6436564398907605E-27</v>
      </c>
      <c r="AX202" s="21">
        <f t="shared" si="166"/>
        <v>1.2592848110973676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234.00000000000003</v>
      </c>
      <c r="BE202" s="13">
        <f>BD202*VLOOKUP('Données projet'!$B$11,Paramètres!$A$1:$I$89,3,0)*VLOOKUP('Données projet'!$B$11,Paramètres!$A$1:$I$89,5,0)</f>
        <v>189.82080000000005</v>
      </c>
      <c r="BF202" s="13">
        <f t="shared" si="167"/>
        <v>47.500332100049796</v>
      </c>
      <c r="BG202" s="20">
        <f t="shared" si="168"/>
        <v>413.33430507425345</v>
      </c>
      <c r="BH202" s="59">
        <f t="shared" si="194"/>
        <v>706.66763840758676</v>
      </c>
      <c r="BI202" s="59">
        <f ca="1">AVERAGE(OFFSET($BH$3,0,0,'Données projet'!$E$11+1,1))-AVERAGE(OFFSET($H$3,0,0,'Données projet'!$E$11+1,1))</f>
        <v>181.20458942529478</v>
      </c>
      <c r="BJ202" s="59">
        <f t="shared" si="206"/>
        <v>144.05254691566421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4.3849918216508232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4.3849918216508232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214</v>
      </c>
      <c r="BZ202" s="13">
        <f>BY202*VLOOKUP('Données projet'!$B$12,Paramètres!$A$1:$I$89,3,0)*VLOOKUP('Données projet'!$B$12,Paramètres!$A$1:$I$89,5,0)</f>
        <v>186.95040000000003</v>
      </c>
      <c r="CA202" s="13">
        <f t="shared" si="170"/>
        <v>46.865095976617653</v>
      </c>
      <c r="CB202" s="20">
        <f t="shared" si="171"/>
        <v>407.22865549260911</v>
      </c>
      <c r="CC202" s="59">
        <f t="shared" si="195"/>
        <v>700.56198882594242</v>
      </c>
      <c r="CD202" s="59">
        <f ca="1">AVERAGE(OFFSET($CC$3,0,0,'Données projet'!$E$12+1,1))-AVERAGE(OFFSET($H$3,0,0,'Données projet'!$E$12+1,1))</f>
        <v>164.24405955980575</v>
      </c>
      <c r="CE202" s="59">
        <f t="shared" si="207"/>
        <v>379.20713858755209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148.39628895278571</v>
      </c>
      <c r="AO203" s="59">
        <f t="shared" si="205"/>
        <v>361.07991692964788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1.2248496017149999</v>
      </c>
      <c r="AW203" s="21">
        <f>EXP(-LN(2)/2)*AW202+(1-EXP(-LN(2)/2))/(LN(2)/2)*AQ203*AT203*VLOOKUP('Données projet'!$B$10,Paramètres!$A$1:$I$89,3,0)*0.475*44/12</f>
        <v>1.1622406145876957E-27</v>
      </c>
      <c r="AX203" s="21">
        <f t="shared" si="166"/>
        <v>1.2248496017149999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234.00000000000003</v>
      </c>
      <c r="BE203" s="13">
        <f>BD203*VLOOKUP('Données projet'!$B$11,Paramètres!$A$1:$I$89,3,0)*VLOOKUP('Données projet'!$B$11,Paramètres!$A$1:$I$89,5,0)</f>
        <v>189.82080000000005</v>
      </c>
      <c r="BF203" s="13">
        <f t="shared" si="167"/>
        <v>47.500332100049796</v>
      </c>
      <c r="BG203" s="20">
        <f t="shared" si="168"/>
        <v>413.33430507425345</v>
      </c>
      <c r="BH203" s="59">
        <f t="shared" si="194"/>
        <v>706.66763840758676</v>
      </c>
      <c r="BI203" s="59">
        <f ca="1">AVERAGE(OFFSET($BH$3,0,0,'Données projet'!$E$11+1,1))-AVERAGE(OFFSET($H$3,0,0,'Données projet'!$E$11+1,1))</f>
        <v>181.20458942529478</v>
      </c>
      <c r="BJ203" s="59">
        <f t="shared" si="206"/>
        <v>144.05254691566421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4.2990048066091688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4.2990048066091688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214</v>
      </c>
      <c r="BZ203" s="13">
        <f>BY203*VLOOKUP('Données projet'!$B$12,Paramètres!$A$1:$I$89,3,0)*VLOOKUP('Données projet'!$B$12,Paramètres!$A$1:$I$89,5,0)</f>
        <v>186.95040000000003</v>
      </c>
      <c r="CA203" s="13">
        <f t="shared" si="170"/>
        <v>46.865095976617653</v>
      </c>
      <c r="CB203" s="20">
        <f t="shared" si="171"/>
        <v>407.22865549260911</v>
      </c>
      <c r="CC203" s="59">
        <f t="shared" si="195"/>
        <v>700.56198882594242</v>
      </c>
      <c r="CD203" s="59">
        <f ca="1">AVERAGE(OFFSET($CC$3,0,0,'Données projet'!$E$12+1,1))-AVERAGE(OFFSET($H$3,0,0,'Données projet'!$E$12+1,1))</f>
        <v>164.24405955980575</v>
      </c>
      <c r="CE203" s="59">
        <f t="shared" si="207"/>
        <v>379.20713858755209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1.4943820583928935</v>
      </c>
      <c r="BA205" s="81">
        <f>EXP(LN('Données projet'!B88)/'Données projet'!A88)</f>
        <v>1.282970348825361</v>
      </c>
      <c r="BV205" s="81">
        <f>EXP(LN('Données projet'!B114)/'Données projet'!A114)</f>
        <v>2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67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16.076419213200001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2385.6809508881433</v>
      </c>
      <c r="G6" s="145">
        <f ca="1">F6*(100%-'Données projet'!$C$24)*(100%-'Données projet'!$C$25)*(100%-'Données projet'!$C$26)*(100%-'Données projet'!$C$27)</f>
        <v>1460.0367419435438</v>
      </c>
      <c r="H6" s="146">
        <f>IF(OR('Données projet'!B9="",'Données projet'!C9="",'Données projet'!C9=0%),0,AVERAGE(Calculateur!$AC$3:$AC$33)*B6)</f>
        <v>277.58722343846222</v>
      </c>
      <c r="I6" s="147">
        <f>H6*(100%-'Données projet'!$C$24)*(100%-'Données projet'!$C$25)*(100%-'Données projet'!$C$26)*(100%-'Données projet'!$C$27)</f>
        <v>169.88338074433889</v>
      </c>
      <c r="J6" s="148">
        <f>IF(OR('Données projet'!B9="",'Données projet'!C9="",'Données projet'!C9=0%),0,SUM(Calculateur!$V$3:$V$33)*VLOOKUP('Données projet'!$B$9,Paramètres!$A$1:$I$89,9,0)*B6)</f>
        <v>4192.4086024182961</v>
      </c>
      <c r="K6" s="149">
        <f>J6*(100%-'Données projet'!$C$24)*(100%-'Données projet'!$C$25)*(100%-'Données projet'!$C$26)*(100%-'Données projet'!$C$27)</f>
        <v>2565.7540646799976</v>
      </c>
      <c r="L6" s="150">
        <f ca="1">G6+I6+K6</f>
        <v>4195.6741873678802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Pin taeda</v>
      </c>
      <c r="B7" s="152">
        <f>'Données projet'!D10</f>
        <v>0.50691411935999997</v>
      </c>
      <c r="C7" s="145">
        <f ca="1">IF(OR('Données projet'!B10="",'Données projet'!C10="",'Données projet'!C10=0%),0,Calculateur!AN3)</f>
        <v>148.39628895278571</v>
      </c>
      <c r="D7" s="145">
        <f>IF(OR('Données projet'!B10="",'Données projet'!C10="",'Données projet'!C10=0%),0,Calculateur!AO3)</f>
        <v>361.07991692964788</v>
      </c>
      <c r="E7" s="145">
        <f t="shared" ref="E7:E15" ca="1" si="0">MIN(C7,D7)</f>
        <v>148.39628895278571</v>
      </c>
      <c r="F7" s="145">
        <f t="shared" ref="F7:F15" ca="1" si="1">E7*B7</f>
        <v>75.224174130793457</v>
      </c>
      <c r="G7" s="145">
        <f ca="1">F7*(100%-'Données projet'!$C$24)*(100%-'Données projet'!$C$25)*(100%-'Données projet'!$C$26)*(100%-'Données projet'!$C$27)</f>
        <v>46.037194568045592</v>
      </c>
      <c r="H7" s="153">
        <f>IF(OR('Données projet'!B10="",'Données projet'!C10="",'Données projet'!C10=0%),0,AVERAGE(Calculateur!$AX$3:$AX$33)*B7)</f>
        <v>8.6509215691710377</v>
      </c>
      <c r="I7" s="147">
        <f>H7*(100%-'Données projet'!$C$24)*(100%-'Données projet'!$C$25)*(100%-'Données projet'!$C$26)*(100%-'Données projet'!$C$27)</f>
        <v>5.294364000332676</v>
      </c>
      <c r="J7" s="148">
        <f>IF(OR('Données projet'!B10="",'Données projet'!C10="",'Données projet'!C10=0%),0,SUM(Calculateur!$AQ$3:$AQ$33)*VLOOKUP('Données projet'!$B$10,Paramètres!$A$1:$I$89,9,0)*B7)</f>
        <v>96.344097525561594</v>
      </c>
      <c r="K7" s="149">
        <f>J7*(100%-'Données projet'!$C$24)*(100%-'Données projet'!$C$25)*(100%-'Données projet'!$C$26)*(100%-'Données projet'!$C$27)</f>
        <v>58.962587685643697</v>
      </c>
      <c r="L7" s="150">
        <f t="shared" ref="L7:L15" ca="1" si="2">G7+I7+K7</f>
        <v>110.29414625402197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Bouleau verruqueux</v>
      </c>
      <c r="B8" s="152">
        <f>'Données projet'!D11</f>
        <v>0.50000000006250001</v>
      </c>
      <c r="C8" s="145">
        <f ca="1">IF(OR('Données projet'!B11="",'Données projet'!C11="",'Données projet'!C11=0%),0,Calculateur!BI3)</f>
        <v>181.20458942529478</v>
      </c>
      <c r="D8" s="145">
        <f>IF(OR('Données projet'!B11="",'Données projet'!C11="",'Données projet'!C11=0%),0,Calculateur!BJ3)</f>
        <v>144.05254691566421</v>
      </c>
      <c r="E8" s="145">
        <f t="shared" ca="1" si="0"/>
        <v>144.05254691566421</v>
      </c>
      <c r="F8" s="145">
        <f t="shared" ca="1" si="1"/>
        <v>72.026273466835391</v>
      </c>
      <c r="G8" s="145">
        <f ca="1">F8*(100%-'Données projet'!$C$24)*(100%-'Données projet'!$C$25)*(100%-'Données projet'!$C$26)*(100%-'Données projet'!$C$27)</f>
        <v>44.080079361703262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4.5000000005625003</v>
      </c>
      <c r="K8" s="149">
        <f>J8*(100%-'Données projet'!$C$24)*(100%-'Données projet'!$C$25)*(100%-'Données projet'!$C$26)*(100%-'Données projet'!$C$27)</f>
        <v>2.7540000003442504</v>
      </c>
      <c r="L8" s="150">
        <f t="shared" ca="1" si="2"/>
        <v>46.834079362047511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Eucalyptus</v>
      </c>
      <c r="B9" s="152">
        <f>'Données projet'!D12</f>
        <v>0.16666666667024999</v>
      </c>
      <c r="C9" s="145">
        <f ca="1">IF(OR('Données projet'!B12="",'Données projet'!C12="",'Données projet'!C12=0%),0,Calculateur!CD3)</f>
        <v>164.24405955980575</v>
      </c>
      <c r="D9" s="145">
        <f>IF(OR('Données projet'!B12="",'Données projet'!C12="",'Données projet'!C12=0%),0,Calculateur!CE3)</f>
        <v>379.20713858755209</v>
      </c>
      <c r="E9" s="145">
        <f t="shared" ca="1" si="0"/>
        <v>164.24405955980575</v>
      </c>
      <c r="F9" s="145">
        <f t="shared" ca="1" si="1"/>
        <v>27.374009927222829</v>
      </c>
      <c r="G9" s="145">
        <f ca="1">F9*(100%-'Données projet'!$C$24)*(100%-'Données projet'!$C$25)*(100%-'Données projet'!$C$26)*(100%-'Données projet'!$C$27)</f>
        <v>16.752894075460372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16.752894075460372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2560.3054084129949</v>
      </c>
      <c r="G16" s="164">
        <f t="shared" ca="1" si="3"/>
        <v>1566.9069099487529</v>
      </c>
      <c r="H16" s="165">
        <f t="shared" si="3"/>
        <v>286.23814500763325</v>
      </c>
      <c r="I16" s="165">
        <f t="shared" si="3"/>
        <v>175.17774474467157</v>
      </c>
      <c r="J16" s="166">
        <f t="shared" si="3"/>
        <v>4293.2526999444199</v>
      </c>
      <c r="K16" s="166">
        <f t="shared" si="3"/>
        <v>2627.4706523659852</v>
      </c>
      <c r="L16" s="167">
        <f t="shared" ca="1" si="3"/>
        <v>4369.5553070594096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Eucalyptus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16.076419213200001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Pin taeda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0.50691411935999997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Bouleau verruqueux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0.50000000006250001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Eucalyptus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0.16666666667024999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Pin taeda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11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str">
        <f>IF(O53+1&lt;=MIN('Données projet'!$E$9:$E$18),O53+1,"STOP")</f>
        <v>STOP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12</v>
      </c>
      <c r="B55" s="179">
        <f>'Données projet'!D63</f>
        <v>34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13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14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15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16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17</v>
      </c>
      <c r="B60" s="179">
        <f>'Données projet'!D68</f>
        <v>43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18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19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20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21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22</v>
      </c>
      <c r="B65" s="179">
        <f>'Données projet'!D73</f>
        <v>56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23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24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25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26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27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28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29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30</v>
      </c>
      <c r="B73" s="179">
        <f>'Données projet'!D81</f>
        <v>309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Bouleau verruqueux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15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10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11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12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13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14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14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14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14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14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14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14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13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85</v>
      </c>
      <c r="B99" s="179">
        <f>'Données projet'!D102</f>
        <v>13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90</v>
      </c>
      <c r="B100" s="179">
        <f>'Données projet'!D103</f>
        <v>12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Eucalyptus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2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3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4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5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6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7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8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9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11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12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13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14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15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16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17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18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19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20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2024-07-26T15:01:14Z</dcterms:modified>
</cp:coreProperties>
</file>