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74 - MANO (40) - BOUILLE Marie Chrystel\Dossier à déposer\"/>
    </mc:Choice>
  </mc:AlternateContent>
  <xr:revisionPtr revIDLastSave="0" documentId="13_ncr:1_{17BA14E9-4562-498D-BB8F-1B4B4636F3F8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EB156" i="2" l="1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EX161" i="2"/>
  <c r="FS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I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EB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BC68" i="2" a="1"/>
  <c r="BC68" i="2" s="1"/>
  <c r="BC58" i="2" a="1"/>
  <c r="BC58" i="2" s="1"/>
  <c r="BC185" i="2" a="1"/>
  <c r="BC185" i="2" s="1"/>
  <c r="BC117" i="2" a="1"/>
  <c r="BC117" i="2" s="1"/>
  <c r="FS203" i="2"/>
  <c r="BC34" i="2" a="1"/>
  <c r="BC34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<sst xmlns="http://schemas.openxmlformats.org/spreadsheetml/2006/main" count="1169" uniqueCount="324">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</sst>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J22" sqref="J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27.1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0.11439000000000001</v>
      </c>
      <c r="D9" s="36">
        <f t="shared" ref="D9:D18" si="0">C9*$C$5</f>
        <v>3.0999690000000002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0.2077</v>
      </c>
      <c r="D10" s="36">
        <f t="shared" si="0"/>
        <v>5.6286700000000005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36</v>
      </c>
      <c r="C11" s="35">
        <v>0.62729999999999997</v>
      </c>
      <c r="D11" s="36">
        <f t="shared" si="0"/>
        <v>16.999829999999999</v>
      </c>
      <c r="E11" s="37">
        <v>38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13</v>
      </c>
      <c r="C12" s="35">
        <v>5.0500000000000003E-2</v>
      </c>
      <c r="D12" s="36">
        <f t="shared" si="0"/>
        <v>1.3685500000000002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0.99988999999999995</v>
      </c>
      <c r="D19" s="41">
        <f>SUM(D9:D18)</f>
        <v>27.097019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53">
        <v>106</v>
      </c>
      <c r="C36" s="53">
        <v>1</v>
      </c>
      <c r="D36" s="53">
        <v>34</v>
      </c>
      <c r="E36" s="53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53">
        <v>176</v>
      </c>
      <c r="C37" s="53">
        <v>2</v>
      </c>
      <c r="D37" s="53">
        <v>43</v>
      </c>
      <c r="E37" s="57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53">
        <v>232</v>
      </c>
      <c r="C38" s="53">
        <v>3</v>
      </c>
      <c r="D38" s="53">
        <v>56</v>
      </c>
      <c r="E38" s="57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53">
        <v>309</v>
      </c>
      <c r="C39" s="53">
        <v>4</v>
      </c>
      <c r="D39" s="53">
        <v>309</v>
      </c>
      <c r="E39" s="57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13</v>
      </c>
      <c r="B88" s="63">
        <v>75</v>
      </c>
      <c r="C88" s="63">
        <v>1</v>
      </c>
      <c r="D88" s="63">
        <v>15</v>
      </c>
      <c r="E88" s="54"/>
      <c r="F88" s="54"/>
      <c r="G88" s="54">
        <v>1</v>
      </c>
      <c r="H88" s="93"/>
      <c r="I88" s="56">
        <f>IFERROR(B88/A88,"")</f>
        <v>5.7692307692307692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19</v>
      </c>
      <c r="B89" s="63">
        <v>163</v>
      </c>
      <c r="C89" s="63">
        <v>2</v>
      </c>
      <c r="D89" s="63">
        <v>40</v>
      </c>
      <c r="E89" s="54">
        <v>0.3</v>
      </c>
      <c r="F89" s="54"/>
      <c r="G89" s="54">
        <v>0.7</v>
      </c>
      <c r="H89" s="93"/>
      <c r="I89" s="56">
        <f t="shared" ref="I89:I103" si="3">IF(A89&lt;&gt;0,(B89-(B88-D88))/(A89-A88),"")</f>
        <v>17.166666666666668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222</v>
      </c>
      <c r="C90" s="63">
        <v>3</v>
      </c>
      <c r="D90" s="63">
        <v>54</v>
      </c>
      <c r="E90" s="93">
        <v>0.4</v>
      </c>
      <c r="F90" s="93">
        <v>0.2</v>
      </c>
      <c r="G90" s="93">
        <v>0.4</v>
      </c>
      <c r="H90" s="93"/>
      <c r="I90" s="56">
        <f t="shared" si="3"/>
        <v>16.5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237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13.8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38</v>
      </c>
      <c r="B92" s="63">
        <v>338</v>
      </c>
      <c r="C92" s="63">
        <v>5</v>
      </c>
      <c r="D92" s="63">
        <v>338</v>
      </c>
      <c r="E92" s="93">
        <v>0.7</v>
      </c>
      <c r="F92" s="93"/>
      <c r="G92" s="93">
        <v>0.3</v>
      </c>
      <c r="H92" s="93"/>
      <c r="I92" s="56">
        <f t="shared" si="3"/>
        <v>12.625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ref="I104:I107" si="4">IF(A104&lt;&gt;0,(B104-(B103-D103))/(A104-A103),"")</f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rouge d'Amérique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132</v>
      </c>
      <c r="C114" s="53">
        <v>1</v>
      </c>
      <c r="D114" s="63">
        <v>50</v>
      </c>
      <c r="E114" s="54"/>
      <c r="F114" s="54"/>
      <c r="G114" s="54"/>
      <c r="H114" s="54">
        <v>1</v>
      </c>
      <c r="I114" s="56">
        <f>IFERROR(B114/A114,"")</f>
        <v>6.6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143</v>
      </c>
      <c r="C115" s="53">
        <v>2</v>
      </c>
      <c r="D115" s="63">
        <v>37</v>
      </c>
      <c r="E115" s="54"/>
      <c r="F115" s="54"/>
      <c r="G115" s="54"/>
      <c r="H115" s="54">
        <v>1</v>
      </c>
      <c r="I115" s="56">
        <f t="shared" ref="I115:I129" si="5">IF(A115&lt;&gt;0,(B115-(B114-D114))/(A115-A114),"")</f>
        <v>12.2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163</v>
      </c>
      <c r="C116" s="53">
        <v>3</v>
      </c>
      <c r="D116" s="63">
        <v>37</v>
      </c>
      <c r="E116" s="54"/>
      <c r="F116" s="54"/>
      <c r="G116" s="54"/>
      <c r="H116" s="54">
        <v>1</v>
      </c>
      <c r="I116" s="56">
        <f t="shared" si="5"/>
        <v>11.4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179</v>
      </c>
      <c r="C117" s="53">
        <v>4</v>
      </c>
      <c r="D117" s="63">
        <v>36</v>
      </c>
      <c r="E117" s="54"/>
      <c r="F117" s="54"/>
      <c r="G117" s="54"/>
      <c r="H117" s="54"/>
      <c r="I117" s="56">
        <f t="shared" si="5"/>
        <v>10.6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191</v>
      </c>
      <c r="C118" s="53">
        <v>5</v>
      </c>
      <c r="D118" s="63">
        <v>33</v>
      </c>
      <c r="E118" s="54"/>
      <c r="F118" s="54"/>
      <c r="G118" s="54"/>
      <c r="H118" s="54"/>
      <c r="I118" s="56">
        <f t="shared" si="5"/>
        <v>9.6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201</v>
      </c>
      <c r="C119" s="53">
        <v>6</v>
      </c>
      <c r="D119" s="63">
        <v>31</v>
      </c>
      <c r="E119" s="54"/>
      <c r="F119" s="54"/>
      <c r="G119" s="54"/>
      <c r="H119" s="54"/>
      <c r="I119" s="56">
        <f t="shared" si="5"/>
        <v>8.6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209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5"/>
        <v>7.8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215</v>
      </c>
      <c r="C121" s="63">
        <v>8</v>
      </c>
      <c r="D121" s="63">
        <v>25</v>
      </c>
      <c r="E121" s="93"/>
      <c r="F121" s="93"/>
      <c r="G121" s="93"/>
      <c r="H121" s="93"/>
      <c r="I121" s="56">
        <f t="shared" si="5"/>
        <v>6.8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220</v>
      </c>
      <c r="C122" s="63">
        <v>9</v>
      </c>
      <c r="D122" s="63">
        <v>22</v>
      </c>
      <c r="E122" s="93"/>
      <c r="F122" s="93"/>
      <c r="G122" s="93"/>
      <c r="H122" s="93"/>
      <c r="I122" s="56">
        <f t="shared" si="5"/>
        <v>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224</v>
      </c>
      <c r="C123" s="63">
        <v>10</v>
      </c>
      <c r="D123" s="63">
        <v>20</v>
      </c>
      <c r="E123" s="93"/>
      <c r="F123" s="93"/>
      <c r="G123" s="93"/>
      <c r="H123" s="93"/>
      <c r="I123" s="56">
        <f t="shared" si="5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227</v>
      </c>
      <c r="C124" s="63">
        <v>11</v>
      </c>
      <c r="D124" s="63">
        <v>17</v>
      </c>
      <c r="E124" s="93"/>
      <c r="F124" s="93"/>
      <c r="G124" s="93"/>
      <c r="H124" s="93"/>
      <c r="I124" s="56">
        <f t="shared" si="5"/>
        <v>4.5999999999999996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230</v>
      </c>
      <c r="C125" s="63">
        <v>12</v>
      </c>
      <c r="D125" s="63">
        <v>15</v>
      </c>
      <c r="E125" s="93"/>
      <c r="F125" s="93"/>
      <c r="G125" s="93"/>
      <c r="H125" s="93"/>
      <c r="I125" s="56">
        <f t="shared" si="5"/>
        <v>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233</v>
      </c>
      <c r="C126" s="63">
        <v>13</v>
      </c>
      <c r="D126" s="63">
        <v>13</v>
      </c>
      <c r="E126" s="68"/>
      <c r="F126" s="68"/>
      <c r="G126" s="68"/>
      <c r="H126" s="68"/>
      <c r="I126" s="56">
        <f t="shared" si="5"/>
        <v>3.6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235</v>
      </c>
      <c r="C127" s="63">
        <v>14</v>
      </c>
      <c r="D127" s="63">
        <v>12</v>
      </c>
      <c r="E127" s="68"/>
      <c r="F127" s="68"/>
      <c r="G127" s="68"/>
      <c r="H127" s="68"/>
      <c r="I127" s="56">
        <f t="shared" si="5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236</v>
      </c>
      <c r="C128" s="53">
        <v>15</v>
      </c>
      <c r="D128" s="53">
        <v>236</v>
      </c>
      <c r="E128" s="57"/>
      <c r="F128" s="57"/>
      <c r="G128" s="57"/>
      <c r="H128" s="57"/>
      <c r="I128" s="56">
        <f t="shared" si="5"/>
        <v>2.6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ref="I130:I133" si="6">IF(A130&lt;&gt;0,(B130-(B129-D129))/(A130-A129),"")</f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6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6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6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7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7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7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7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7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7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7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7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7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7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7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7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7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7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7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7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7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7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8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8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8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8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8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8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8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8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8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8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8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8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8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8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9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9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9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9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maritime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rouge d'Amérique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157.98488572680344</v>
      </c>
      <c r="BJ3" s="62">
        <f>IF('Données projet'!E11&gt;30,$BH$33-$H$33,LOOKUP('Données projet'!$E$11,$A$3:$A$203,BH3:BH203)-LOOKUP('Données projet'!$E$11,$A$3:$A$203,$H$3:$H$203))</f>
        <v>269.20989374735825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236.12531905695994</v>
      </c>
      <c r="CE3" s="62">
        <f>IF('Données projet'!E12&gt;30,$CC$33-$H$33,LOOKUP('Données projet'!$E$12,$A$3:$A$203,CC3:CC203)-LOOKUP('Données projet'!$E$12,$A$3:$A$203,$H$3:$H$203))</f>
        <v>270.64539221029258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5.7692307692307692</v>
      </c>
      <c r="BD4" s="13">
        <f>IF('Données projet'!$A$88&gt;35,BD3+BC4-BL3,IF(A4&lt;'Données projet'!$A$88,$BA$205^A4,IF(A4='Données projet'!$A$88,'Données projet'!$B$88,BD3+BC4-BL3)))</f>
        <v>1.3939124009120489</v>
      </c>
      <c r="BE4" s="14">
        <f>BD4*VLOOKUP('Données projet'!$B$11,Paramètres!$A$1:$I$89,3,0)*VLOOKUP('Données projet'!$B$11,Paramètres!$A$1:$I$89,5,0)</f>
        <v>0.83355961574540538</v>
      </c>
      <c r="BF4" s="14">
        <f>EXP(-1.0587+0.8836*LN(BE4)+0.284)</f>
        <v>0.39236630327500827</v>
      </c>
      <c r="BG4" s="22">
        <f t="shared" ref="BG4:BG67" si="7">(BE4+BF4)*0.475*44/12</f>
        <v>2.1351543089605536</v>
      </c>
      <c r="BH4" s="62">
        <f t="shared" ref="BH4:BH67" si="8">BG4+(AY4+AZ4)*44/12</f>
        <v>295.46848764229389</v>
      </c>
      <c r="BI4" s="62">
        <f ca="1">AVERAGE(OFFSET($BH$3,0,0,'Données projet'!$E$11+1,1))-AVERAGE(OFFSET($H$3,0,0,'Données projet'!$E$11+1,1))</f>
        <v>157.98488572680344</v>
      </c>
      <c r="BJ4" s="62">
        <f>$BJ$3</f>
        <v>269.20989374735825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6.6</v>
      </c>
      <c r="BY4" s="13">
        <f>IF('Données projet'!$A$114&gt;35,BY3+BX4-CG3,IF(A4&lt;'Données projet'!$A$114,$BV$205^A4,IF(A4='Données projet'!$A$114,'Données projet'!$B$114,BY3+BX4-CG3)))</f>
        <v>1.2765231539157764</v>
      </c>
      <c r="BZ4" s="14">
        <f>BY4*VLOOKUP('Données projet'!$B$12,Paramètres!$A$1:$I$89,3,0)*VLOOKUP('Données projet'!$B$12,Paramètres!$A$1:$I$89,5,0)</f>
        <v>1.1151706272608224</v>
      </c>
      <c r="CA4" s="14">
        <f>EXP(-1.0587+0.8836*LN(BZ4)+0.284)</f>
        <v>0.50743784838663863</v>
      </c>
      <c r="CB4" s="22">
        <f t="shared" ref="CB4:CB67" si="10">(BZ4+CA4)*0.475*44/12</f>
        <v>2.8260430950859945</v>
      </c>
      <c r="CC4" s="62">
        <f t="shared" ref="CC4:CC67" si="11">CB4+(BT4+BU4)*44/12</f>
        <v>296.15937642841931</v>
      </c>
      <c r="CD4" s="62">
        <f ca="1">AVERAGE(OFFSET($CC$3,0,0,'Données projet'!$E$12+1,1))-AVERAGE(OFFSET($H$3,0,0,'Données projet'!$E$12+1,1))</f>
        <v>236.12531905695994</v>
      </c>
      <c r="CE4" s="62">
        <f>$CE$3</f>
        <v>270.64539221029258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5.7692307692307692</v>
      </c>
      <c r="BD5" s="13">
        <f>IF('Données projet'!$A$88&gt;35,BD4+BC5-BL4,IF(A5&lt;'Données projet'!$A$88,$BA$205^A5,IF(A5='Données projet'!$A$88,'Données projet'!$B$88,BD4+BC5-BL4)))</f>
        <v>1.9429917814163926</v>
      </c>
      <c r="BE5" s="14">
        <f>BD5*VLOOKUP('Données projet'!$B$11,Paramètres!$A$1:$I$89,3,0)*VLOOKUP('Données projet'!$B$11,Paramètres!$A$1:$I$89,5,0)</f>
        <v>1.1619090852870029</v>
      </c>
      <c r="BF5" s="14">
        <f t="shared" ref="BF5:BF68" si="37">EXP(-1.0587+0.8836*LN(BE5)+0.284)</f>
        <v>0.52618464987689018</v>
      </c>
      <c r="BG5" s="22">
        <f t="shared" si="7"/>
        <v>2.9400965887437809</v>
      </c>
      <c r="BH5" s="62">
        <f t="shared" si="8"/>
        <v>296.27342992207707</v>
      </c>
      <c r="BI5" s="62">
        <f ca="1">AVERAGE(OFFSET($BH$3,0,0,'Données projet'!$E$11+1,1))-AVERAGE(OFFSET($H$3,0,0,'Données projet'!$E$11+1,1))</f>
        <v>157.98488572680344</v>
      </c>
      <c r="BJ5" s="62">
        <f t="shared" ref="BJ5:BJ68" si="38">$BJ$3</f>
        <v>269.20989374735825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6.6</v>
      </c>
      <c r="BY5" s="13">
        <f>IF('Données projet'!$A$114&gt;35,BY4+BX5-CG4,IF(A5&lt;'Données projet'!$A$114,$BV$205^A5,IF(A5='Données projet'!$A$114,'Données projet'!$B$114,BY4+BX5-CG4)))</f>
        <v>1.629511362483081</v>
      </c>
      <c r="BZ5" s="14">
        <f>BY5*VLOOKUP('Données projet'!$B$12,Paramètres!$A$1:$I$89,3,0)*VLOOKUP('Données projet'!$B$12,Paramètres!$A$1:$I$89,5,0)</f>
        <v>1.4235411262652198</v>
      </c>
      <c r="CA5" s="14">
        <f t="shared" ref="CA5:CA68" si="39">EXP(-1.0587+0.8836*LN(BZ5)+0.284)</f>
        <v>0.62960738463416654</v>
      </c>
      <c r="CB5" s="22">
        <f t="shared" si="10"/>
        <v>3.5759003231497637</v>
      </c>
      <c r="CC5" s="62">
        <f t="shared" si="11"/>
        <v>296.90923365648308</v>
      </c>
      <c r="CD5" s="62">
        <f ca="1">AVERAGE(OFFSET($CC$3,0,0,'Données projet'!$E$12+1,1))-AVERAGE(OFFSET($H$3,0,0,'Données projet'!$E$12+1,1))</f>
        <v>236.12531905695994</v>
      </c>
      <c r="CE5" s="62">
        <f t="shared" ref="CE5:CE68" si="40">$CE$3</f>
        <v>270.64539221029258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5.7692307692307692</v>
      </c>
      <c r="BD6" s="13">
        <f>IF('Données projet'!$A$88&gt;35,BD5+BC6-BL5,IF(A6&lt;'Données projet'!$A$88,$BA$205^A6,IF(A6='Données projet'!$A$88,'Données projet'!$B$88,BD5+BC6-BL5)))</f>
        <v>2.7083603389865027</v>
      </c>
      <c r="BE6" s="14">
        <f>BD6*VLOOKUP('Données projet'!$B$11,Paramètres!$A$1:$I$89,3,0)*VLOOKUP('Données projet'!$B$11,Paramètres!$A$1:$I$89,5,0)</f>
        <v>1.6195994827139286</v>
      </c>
      <c r="BF6" s="14">
        <f t="shared" si="37"/>
        <v>0.70564236392136903</v>
      </c>
      <c r="BG6" s="22">
        <f t="shared" si="7"/>
        <v>4.0497962162231431</v>
      </c>
      <c r="BH6" s="62">
        <f t="shared" si="8"/>
        <v>297.38312954955643</v>
      </c>
      <c r="BI6" s="62">
        <f ca="1">AVERAGE(OFFSET($BH$3,0,0,'Données projet'!$E$11+1,1))-AVERAGE(OFFSET($H$3,0,0,'Données projet'!$E$11+1,1))</f>
        <v>157.98488572680344</v>
      </c>
      <c r="BJ6" s="62">
        <f t="shared" si="38"/>
        <v>269.20989374735825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6.6</v>
      </c>
      <c r="BY6" s="13">
        <f>IF('Données projet'!$A$114&gt;35,BY5+BX6-CG5,IF(A6&lt;'Données projet'!$A$114,$BV$205^A6,IF(A6='Données projet'!$A$114,'Données projet'!$B$114,BY5+BX6-CG5)))</f>
        <v>2.0801089837784965</v>
      </c>
      <c r="BZ6" s="14">
        <f>BY6*VLOOKUP('Données projet'!$B$12,Paramètres!$A$1:$I$89,3,0)*VLOOKUP('Données projet'!$B$12,Paramètres!$A$1:$I$89,5,0)</f>
        <v>1.8171832082288948</v>
      </c>
      <c r="CA6" s="14">
        <f t="shared" si="39"/>
        <v>0.7811901694881791</v>
      </c>
      <c r="CB6" s="22">
        <f t="shared" si="10"/>
        <v>4.5255002995239044</v>
      </c>
      <c r="CC6" s="62">
        <f t="shared" si="11"/>
        <v>297.85883363285723</v>
      </c>
      <c r="CD6" s="62">
        <f ca="1">AVERAGE(OFFSET($CC$3,0,0,'Données projet'!$E$12+1,1))-AVERAGE(OFFSET($H$3,0,0,'Données projet'!$E$12+1,1))</f>
        <v>236.12531905695994</v>
      </c>
      <c r="CE6" s="62">
        <f t="shared" si="40"/>
        <v>270.64539221029258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5.7692307692307692</v>
      </c>
      <c r="BD7" s="13">
        <f>IF('Données projet'!$A$88&gt;35,BD6+BC7-BL6,IF(A7&lt;'Données projet'!$A$88,$BA$205^A7,IF(A7='Données projet'!$A$88,'Données projet'!$B$88,BD6+BC7-BL6)))</f>
        <v>3.775217062651647</v>
      </c>
      <c r="BE7" s="14">
        <f>BD7*VLOOKUP('Données projet'!$B$11,Paramètres!$A$1:$I$89,3,0)*VLOOKUP('Données projet'!$B$11,Paramètres!$A$1:$I$89,5,0)</f>
        <v>2.2575798034656849</v>
      </c>
      <c r="BF7" s="14">
        <f t="shared" si="37"/>
        <v>0.94630496324253699</v>
      </c>
      <c r="BG7" s="22">
        <f t="shared" si="7"/>
        <v>5.5800993020168193</v>
      </c>
      <c r="BH7" s="62">
        <f t="shared" si="8"/>
        <v>298.91343263535015</v>
      </c>
      <c r="BI7" s="62">
        <f ca="1">AVERAGE(OFFSET($BH$3,0,0,'Données projet'!$E$11+1,1))-AVERAGE(OFFSET($H$3,0,0,'Données projet'!$E$11+1,1))</f>
        <v>157.98488572680344</v>
      </c>
      <c r="BJ7" s="62">
        <f t="shared" si="38"/>
        <v>269.20989374735825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6.6</v>
      </c>
      <c r="BY7" s="13">
        <f>IF('Données projet'!$A$114&gt;35,BY6+BX7-CG6,IF(A7&lt;'Données projet'!$A$114,$BV$205^A7,IF(A7='Données projet'!$A$114,'Données projet'!$B$114,BY6+BX7-CG6)))</f>
        <v>2.655307280461467</v>
      </c>
      <c r="BZ7" s="14">
        <f>BY7*VLOOKUP('Données projet'!$B$12,Paramètres!$A$1:$I$89,3,0)*VLOOKUP('Données projet'!$B$12,Paramètres!$A$1:$I$89,5,0)</f>
        <v>2.3196764402111376</v>
      </c>
      <c r="CA7" s="14">
        <f t="shared" si="39"/>
        <v>0.96926766711854973</v>
      </c>
      <c r="CB7" s="22">
        <f t="shared" si="10"/>
        <v>5.7282443202658717</v>
      </c>
      <c r="CC7" s="62">
        <f t="shared" si="11"/>
        <v>299.06157765359916</v>
      </c>
      <c r="CD7" s="62">
        <f ca="1">AVERAGE(OFFSET($CC$3,0,0,'Données projet'!$E$12+1,1))-AVERAGE(OFFSET($H$3,0,0,'Données projet'!$E$12+1,1))</f>
        <v>236.12531905695994</v>
      </c>
      <c r="CE7" s="62">
        <f t="shared" si="40"/>
        <v>270.64539221029258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5.7692307692307692</v>
      </c>
      <c r="BD8" s="13">
        <f>IF('Données projet'!$A$88&gt;35,BD7+BC8-BL7,IF(A8&lt;'Données projet'!$A$88,$BA$205^A8,IF(A8='Données projet'!$A$88,'Données projet'!$B$88,BD7+BC8-BL7)))</f>
        <v>5.2623218797648903</v>
      </c>
      <c r="BE8" s="14">
        <f>BD8*VLOOKUP('Données projet'!$B$11,Paramètres!$A$1:$I$89,3,0)*VLOOKUP('Données projet'!$B$11,Paramètres!$A$1:$I$89,5,0)</f>
        <v>3.1468684840994046</v>
      </c>
      <c r="BF8" s="14">
        <f t="shared" si="37"/>
        <v>1.2690466576879811</v>
      </c>
      <c r="BG8" s="22">
        <f t="shared" si="7"/>
        <v>7.6910522052796955</v>
      </c>
      <c r="BH8" s="62">
        <f t="shared" si="8"/>
        <v>301.02438553861299</v>
      </c>
      <c r="BI8" s="62">
        <f ca="1">AVERAGE(OFFSET($BH$3,0,0,'Données projet'!$E$11+1,1))-AVERAGE(OFFSET($H$3,0,0,'Données projet'!$E$11+1,1))</f>
        <v>157.98488572680344</v>
      </c>
      <c r="BJ8" s="62">
        <f t="shared" si="38"/>
        <v>269.20989374735825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6.6</v>
      </c>
      <c r="BY8" s="13">
        <f>IF('Données projet'!$A$114&gt;35,BY7+BX8-CG7,IF(A8&lt;'Données projet'!$A$114,$BV$205^A8,IF(A8='Données projet'!$A$114,'Données projet'!$B$114,BY7+BX8-CG7)))</f>
        <v>3.3895612242701949</v>
      </c>
      <c r="BZ8" s="14">
        <f>BY8*VLOOKUP('Données projet'!$B$12,Paramètres!$A$1:$I$89,3,0)*VLOOKUP('Données projet'!$B$12,Paramètres!$A$1:$I$89,5,0)</f>
        <v>2.9611206855224426</v>
      </c>
      <c r="CA8" s="14">
        <f t="shared" si="39"/>
        <v>1.2026262582604759</v>
      </c>
      <c r="CB8" s="22">
        <f t="shared" si="10"/>
        <v>7.2518592604219156</v>
      </c>
      <c r="CC8" s="62">
        <f t="shared" si="11"/>
        <v>300.58519259375521</v>
      </c>
      <c r="CD8" s="62">
        <f ca="1">AVERAGE(OFFSET($CC$3,0,0,'Données projet'!$E$12+1,1))-AVERAGE(OFFSET($H$3,0,0,'Données projet'!$E$12+1,1))</f>
        <v>236.12531905695994</v>
      </c>
      <c r="CE8" s="62">
        <f t="shared" si="40"/>
        <v>270.64539221029258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5.7692307692307692</v>
      </c>
      <c r="BD9" s="13">
        <f>IF('Données projet'!$A$88&gt;35,BD8+BC9-BL8,IF(A9&lt;'Données projet'!$A$88,$BA$205^A9,IF(A9='Données projet'!$A$88,'Données projet'!$B$88,BD8+BC9-BL8)))</f>
        <v>7.3352157257950852</v>
      </c>
      <c r="BE9" s="14">
        <f>BD9*VLOOKUP('Données projet'!$B$11,Paramètres!$A$1:$I$89,3,0)*VLOOKUP('Données projet'!$B$11,Paramètres!$A$1:$I$89,5,0)</f>
        <v>4.3864590040254612</v>
      </c>
      <c r="BF9" s="14">
        <f t="shared" si="37"/>
        <v>1.7018609031391834</v>
      </c>
      <c r="BG9" s="22">
        <f t="shared" si="7"/>
        <v>10.603823838311754</v>
      </c>
      <c r="BH9" s="62">
        <f t="shared" si="8"/>
        <v>303.93715717164508</v>
      </c>
      <c r="BI9" s="62">
        <f ca="1">AVERAGE(OFFSET($BH$3,0,0,'Données projet'!$E$11+1,1))-AVERAGE(OFFSET($H$3,0,0,'Données projet'!$E$11+1,1))</f>
        <v>157.98488572680344</v>
      </c>
      <c r="BJ9" s="62">
        <f t="shared" si="38"/>
        <v>269.20989374735825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6.6</v>
      </c>
      <c r="BY9" s="13">
        <f>IF('Données projet'!$A$114&gt;35,BY8+BX9-CG8,IF(A9&lt;'Données projet'!$A$114,$BV$205^A9,IF(A9='Données projet'!$A$114,'Données projet'!$B$114,BY8+BX9-CG8)))</f>
        <v>4.32685338439601</v>
      </c>
      <c r="BZ9" s="14">
        <f>BY9*VLOOKUP('Données projet'!$B$12,Paramètres!$A$1:$I$89,3,0)*VLOOKUP('Données projet'!$B$12,Paramètres!$A$1:$I$89,5,0)</f>
        <v>3.7799391166083551</v>
      </c>
      <c r="CA9" s="14">
        <f t="shared" si="39"/>
        <v>1.4921677118944865</v>
      </c>
      <c r="CB9" s="22">
        <f t="shared" si="10"/>
        <v>9.1822527263091143</v>
      </c>
      <c r="CC9" s="62">
        <f t="shared" si="11"/>
        <v>302.51558605964243</v>
      </c>
      <c r="CD9" s="62">
        <f ca="1">AVERAGE(OFFSET($CC$3,0,0,'Données projet'!$E$12+1,1))-AVERAGE(OFFSET($H$3,0,0,'Données projet'!$E$12+1,1))</f>
        <v>236.12531905695994</v>
      </c>
      <c r="CE9" s="62">
        <f t="shared" si="40"/>
        <v>270.64539221029258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5.7692307692307692</v>
      </c>
      <c r="BD10" s="13">
        <f>IF('Données projet'!$A$88&gt;35,BD9+BC10-BL9,IF(A10&lt;'Données projet'!$A$88,$BA$205^A10,IF(A10='Données projet'!$A$88,'Données projet'!$B$88,BD9+BC10-BL9)))</f>
        <v>10.224648163550844</v>
      </c>
      <c r="BE10" s="14">
        <f>BD10*VLOOKUP('Données projet'!$B$11,Paramètres!$A$1:$I$89,3,0)*VLOOKUP('Données projet'!$B$11,Paramètres!$A$1:$I$89,5,0)</f>
        <v>6.1143396018034055</v>
      </c>
      <c r="BF10" s="14">
        <f t="shared" si="37"/>
        <v>2.2822884533736612</v>
      </c>
      <c r="BG10" s="22">
        <f t="shared" si="7"/>
        <v>14.624127196100055</v>
      </c>
      <c r="BH10" s="62">
        <f t="shared" si="8"/>
        <v>307.95746052943338</v>
      </c>
      <c r="BI10" s="62">
        <f ca="1">AVERAGE(OFFSET($BH$3,0,0,'Données projet'!$E$11+1,1))-AVERAGE(OFFSET($H$3,0,0,'Données projet'!$E$11+1,1))</f>
        <v>157.98488572680344</v>
      </c>
      <c r="BJ10" s="62">
        <f t="shared" si="38"/>
        <v>269.20989374735825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6.6</v>
      </c>
      <c r="BY10" s="13">
        <f>IF('Données projet'!$A$114&gt;35,BY9+BX10-CG9,IF(A10&lt;'Données projet'!$A$114,$BV$205^A10,IF(A10='Données projet'!$A$114,'Données projet'!$B$114,BY9+BX10-CG9)))</f>
        <v>5.5233285287803451</v>
      </c>
      <c r="BZ10" s="14">
        <f>BY10*VLOOKUP('Données projet'!$B$12,Paramètres!$A$1:$I$89,3,0)*VLOOKUP('Données projet'!$B$12,Paramètres!$A$1:$I$89,5,0)</f>
        <v>4.8251798027425101</v>
      </c>
      <c r="CA10" s="14">
        <f t="shared" si="39"/>
        <v>1.8514184811173284</v>
      </c>
      <c r="CB10" s="22">
        <f t="shared" si="10"/>
        <v>11.628408677722552</v>
      </c>
      <c r="CC10" s="62">
        <f t="shared" si="11"/>
        <v>304.96174201105589</v>
      </c>
      <c r="CD10" s="62">
        <f ca="1">AVERAGE(OFFSET($CC$3,0,0,'Données projet'!$E$12+1,1))-AVERAGE(OFFSET($H$3,0,0,'Données projet'!$E$12+1,1))</f>
        <v>236.12531905695994</v>
      </c>
      <c r="CE10" s="62">
        <f t="shared" si="40"/>
        <v>270.64539221029258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5.7692307692307692</v>
      </c>
      <c r="BD11" s="13">
        <f>IF('Données projet'!$A$88&gt;35,BD10+BC11-BL10,IF(A11&lt;'Données projet'!$A$88,$BA$205^A11,IF(A11='Données projet'!$A$88,'Données projet'!$B$88,BD10+BC11-BL10)))</f>
        <v>14.252263870136129</v>
      </c>
      <c r="BE11" s="14">
        <f>BD11*VLOOKUP('Données projet'!$B$11,Paramètres!$A$1:$I$89,3,0)*VLOOKUP('Données projet'!$B$11,Paramètres!$A$1:$I$89,5,0)</f>
        <v>8.5228537943414064</v>
      </c>
      <c r="BF11" s="14">
        <f t="shared" si="37"/>
        <v>3.0606735102702713</v>
      </c>
      <c r="BG11" s="22">
        <f t="shared" si="7"/>
        <v>20.174643388865338</v>
      </c>
      <c r="BH11" s="62">
        <f t="shared" si="8"/>
        <v>313.50797672219863</v>
      </c>
      <c r="BI11" s="62">
        <f ca="1">AVERAGE(OFFSET($BH$3,0,0,'Données projet'!$E$11+1,1))-AVERAGE(OFFSET($H$3,0,0,'Données projet'!$E$11+1,1))</f>
        <v>157.98488572680344</v>
      </c>
      <c r="BJ11" s="62">
        <f t="shared" si="38"/>
        <v>269.20989374735825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6.6</v>
      </c>
      <c r="BY11" s="13">
        <f>IF('Données projet'!$A$114&gt;35,BY10+BX11-CG10,IF(A11&lt;'Données projet'!$A$114,$BV$205^A11,IF(A11='Données projet'!$A$114,'Données projet'!$B$114,BY10+BX11-CG10)))</f>
        <v>7.0506567536716718</v>
      </c>
      <c r="BZ11" s="14">
        <f>BY11*VLOOKUP('Données projet'!$B$12,Paramètres!$A$1:$I$89,3,0)*VLOOKUP('Données projet'!$B$12,Paramètres!$A$1:$I$89,5,0)</f>
        <v>6.1594537400075735</v>
      </c>
      <c r="CA11" s="14">
        <f t="shared" si="39"/>
        <v>2.2971616158822084</v>
      </c>
      <c r="CB11" s="22">
        <f t="shared" si="10"/>
        <v>14.728605078174702</v>
      </c>
      <c r="CC11" s="62">
        <f t="shared" si="11"/>
        <v>308.06193841150804</v>
      </c>
      <c r="CD11" s="62">
        <f ca="1">AVERAGE(OFFSET($CC$3,0,0,'Données projet'!$E$12+1,1))-AVERAGE(OFFSET($H$3,0,0,'Données projet'!$E$12+1,1))</f>
        <v>236.12531905695994</v>
      </c>
      <c r="CE11" s="62">
        <f t="shared" si="40"/>
        <v>270.64539221029258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5.7692307692307692</v>
      </c>
      <c r="BD12" s="13">
        <f>IF('Données projet'!$A$88&gt;35,BD11+BC12-BL11,IF(A12&lt;'Données projet'!$A$88,$BA$205^A12,IF(A12='Données projet'!$A$88,'Données projet'!$B$88,BD11+BC12-BL11)))</f>
        <v>19.866407349653503</v>
      </c>
      <c r="BE12" s="14">
        <f>BD12*VLOOKUP('Données projet'!$B$11,Paramètres!$A$1:$I$89,3,0)*VLOOKUP('Données projet'!$B$11,Paramètres!$A$1:$I$89,5,0)</f>
        <v>11.880111595092796</v>
      </c>
      <c r="BF12" s="14">
        <f t="shared" si="37"/>
        <v>4.1045303991363813</v>
      </c>
      <c r="BG12" s="22">
        <f t="shared" si="7"/>
        <v>27.839918139949148</v>
      </c>
      <c r="BH12" s="62">
        <f t="shared" si="8"/>
        <v>321.17325147328245</v>
      </c>
      <c r="BI12" s="62">
        <f ca="1">AVERAGE(OFFSET($BH$3,0,0,'Données projet'!$E$11+1,1))-AVERAGE(OFFSET($H$3,0,0,'Données projet'!$E$11+1,1))</f>
        <v>157.98488572680344</v>
      </c>
      <c r="BJ12" s="62">
        <f t="shared" si="38"/>
        <v>269.20989374735825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6.6</v>
      </c>
      <c r="BY12" s="13">
        <f>IF('Données projet'!$A$114&gt;35,BY11+BX12-CG11,IF(A12&lt;'Données projet'!$A$114,$BV$205^A12,IF(A12='Données projet'!$A$114,'Données projet'!$B$114,BY11+BX12-CG11)))</f>
        <v>9.0003265963745314</v>
      </c>
      <c r="BZ12" s="14">
        <f>BY12*VLOOKUP('Données projet'!$B$12,Paramètres!$A$1:$I$89,3,0)*VLOOKUP('Données projet'!$B$12,Paramètres!$A$1:$I$89,5,0)</f>
        <v>7.8626853145927917</v>
      </c>
      <c r="CA12" s="14">
        <f t="shared" si="39"/>
        <v>2.8502208135558442</v>
      </c>
      <c r="CB12" s="22">
        <f t="shared" si="10"/>
        <v>18.658311506525539</v>
      </c>
      <c r="CC12" s="62">
        <f t="shared" si="11"/>
        <v>311.99164483985885</v>
      </c>
      <c r="CD12" s="62">
        <f ca="1">AVERAGE(OFFSET($CC$3,0,0,'Données projet'!$E$12+1,1))-AVERAGE(OFFSET($H$3,0,0,'Données projet'!$E$12+1,1))</f>
        <v>236.12531905695994</v>
      </c>
      <c r="CE12" s="62">
        <f t="shared" si="40"/>
        <v>270.64539221029258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5.7692307692307692</v>
      </c>
      <c r="BD13" s="13">
        <f>IF('Données projet'!$A$88&gt;35,BD12+BC13-BL12,IF(A13&lt;'Données projet'!$A$88,$BA$205^A13,IF(A13='Données projet'!$A$88,'Données projet'!$B$88,BD12+BC13-BL12)))</f>
        <v>27.69203156625229</v>
      </c>
      <c r="BE13" s="14">
        <f>BD13*VLOOKUP('Données projet'!$B$11,Paramètres!$A$1:$I$89,3,0)*VLOOKUP('Données projet'!$B$11,Paramètres!$A$1:$I$89,5,0)</f>
        <v>16.559834876618869</v>
      </c>
      <c r="BF13" s="14">
        <f t="shared" si="37"/>
        <v>5.5043995188977117</v>
      </c>
      <c r="BG13" s="22">
        <f t="shared" si="7"/>
        <v>38.428541572191371</v>
      </c>
      <c r="BH13" s="62">
        <f t="shared" si="8"/>
        <v>331.76187490552468</v>
      </c>
      <c r="BI13" s="62">
        <f ca="1">AVERAGE(OFFSET($BH$3,0,0,'Données projet'!$E$11+1,1))-AVERAGE(OFFSET($H$3,0,0,'Données projet'!$E$11+1,1))</f>
        <v>157.98488572680344</v>
      </c>
      <c r="BJ13" s="62">
        <f t="shared" si="38"/>
        <v>269.20989374735825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6.6</v>
      </c>
      <c r="BY13" s="13">
        <f>IF('Données projet'!$A$114&gt;35,BY12+BX13-CG12,IF(A13&lt;'Données projet'!$A$114,$BV$205^A13,IF(A13='Données projet'!$A$114,'Données projet'!$B$114,BY12+BX13-CG12)))</f>
        <v>11.489125293076063</v>
      </c>
      <c r="BZ13" s="14">
        <f>BY13*VLOOKUP('Données projet'!$B$12,Paramètres!$A$1:$I$89,3,0)*VLOOKUP('Données projet'!$B$12,Paramètres!$A$1:$I$89,5,0)</f>
        <v>10.036899856031249</v>
      </c>
      <c r="CA13" s="14">
        <f t="shared" si="39"/>
        <v>3.5364332356333024</v>
      </c>
      <c r="CB13" s="22">
        <f t="shared" si="10"/>
        <v>23.640221801315761</v>
      </c>
      <c r="CC13" s="62">
        <f t="shared" si="11"/>
        <v>316.97355513464908</v>
      </c>
      <c r="CD13" s="62">
        <f ca="1">AVERAGE(OFFSET($CC$3,0,0,'Données projet'!$E$12+1,1))-AVERAGE(OFFSET($H$3,0,0,'Données projet'!$E$12+1,1))</f>
        <v>236.12531905695994</v>
      </c>
      <c r="CE13" s="62">
        <f t="shared" si="40"/>
        <v>270.64539221029258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5.7692307692307692</v>
      </c>
      <c r="BD14" s="13">
        <f>IF('Données projet'!$A$88&gt;35,BD13+BC14-BL13,IF(A14&lt;'Données projet'!$A$88,$BA$205^A14,IF(A14='Données projet'!$A$88,'Données projet'!$B$88,BD13+BC14-BL13)))</f>
        <v>38.600266206646971</v>
      </c>
      <c r="BE14" s="14">
        <f>BD14*VLOOKUP('Données projet'!$B$11,Paramètres!$A$1:$I$89,3,0)*VLOOKUP('Données projet'!$B$11,Paramètres!$A$1:$I$89,5,0)</f>
        <v>23.08295919157489</v>
      </c>
      <c r="BF14" s="14">
        <f t="shared" si="37"/>
        <v>7.3817004912465372</v>
      </c>
      <c r="BG14" s="22">
        <f t="shared" si="7"/>
        <v>53.059282280913983</v>
      </c>
      <c r="BH14" s="62">
        <f t="shared" si="8"/>
        <v>346.39261561424729</v>
      </c>
      <c r="BI14" s="62">
        <f ca="1">AVERAGE(OFFSET($BH$3,0,0,'Données projet'!$E$11+1,1))-AVERAGE(OFFSET($H$3,0,0,'Données projet'!$E$11+1,1))</f>
        <v>157.98488572680344</v>
      </c>
      <c r="BJ14" s="62">
        <f t="shared" si="38"/>
        <v>269.20989374735825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6.6</v>
      </c>
      <c r="BY14" s="13">
        <f>IF('Données projet'!$A$114&gt;35,BY13+BX14-CG13,IF(A14&lt;'Données projet'!$A$114,$BV$205^A14,IF(A14='Données projet'!$A$114,'Données projet'!$B$114,BY13+BX14-CG13)))</f>
        <v>14.666134454850974</v>
      </c>
      <c r="BZ14" s="14">
        <f>BY14*VLOOKUP('Données projet'!$B$12,Paramètres!$A$1:$I$89,3,0)*VLOOKUP('Données projet'!$B$12,Paramètres!$A$1:$I$89,5,0)</f>
        <v>12.812335059757812</v>
      </c>
      <c r="CA14" s="14">
        <f t="shared" si="39"/>
        <v>4.3878565375042955</v>
      </c>
      <c r="CB14" s="22">
        <f t="shared" si="10"/>
        <v>29.957000365231504</v>
      </c>
      <c r="CC14" s="62">
        <f t="shared" si="11"/>
        <v>323.29033369856484</v>
      </c>
      <c r="CD14" s="62">
        <f ca="1">AVERAGE(OFFSET($CC$3,0,0,'Données projet'!$E$12+1,1))-AVERAGE(OFFSET($H$3,0,0,'Données projet'!$E$12+1,1))</f>
        <v>236.12531905695994</v>
      </c>
      <c r="CE14" s="62">
        <f t="shared" si="40"/>
        <v>270.64539221029258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5.7692307692307692</v>
      </c>
      <c r="BD15" s="13">
        <f>IF('Données projet'!$A$88&gt;35,BD14+BC15-BL14,IF(A15&lt;'Données projet'!$A$88,$BA$205^A15,IF(A15='Données projet'!$A$88,'Données projet'!$B$88,BD14+BC15-BL14)))</f>
        <v>53.805389743951515</v>
      </c>
      <c r="BE15" s="14">
        <f>BD15*VLOOKUP('Données projet'!$B$11,Paramètres!$A$1:$I$89,3,0)*VLOOKUP('Données projet'!$B$11,Paramètres!$A$1:$I$89,5,0)</f>
        <v>32.175623066883006</v>
      </c>
      <c r="BF15" s="14">
        <f t="shared" si="37"/>
        <v>9.8992636627112418</v>
      </c>
      <c r="BG15" s="22">
        <f t="shared" si="7"/>
        <v>73.28042772070998</v>
      </c>
      <c r="BH15" s="62">
        <f t="shared" si="8"/>
        <v>366.61376105404327</v>
      </c>
      <c r="BI15" s="62">
        <f ca="1">AVERAGE(OFFSET($BH$3,0,0,'Données projet'!$E$11+1,1))-AVERAGE(OFFSET($H$3,0,0,'Données projet'!$E$11+1,1))</f>
        <v>157.98488572680344</v>
      </c>
      <c r="BJ15" s="62">
        <f t="shared" si="38"/>
        <v>269.20989374735825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6.6</v>
      </c>
      <c r="BY15" s="13">
        <f>IF('Données projet'!$A$114&gt;35,BY14+BX15-CG14,IF(A15&lt;'Données projet'!$A$114,$BV$205^A15,IF(A15='Données projet'!$A$114,'Données projet'!$B$114,BY14+BX15-CG14)))</f>
        <v>18.721660210059202</v>
      </c>
      <c r="BZ15" s="14">
        <f>BY15*VLOOKUP('Données projet'!$B$12,Paramètres!$A$1:$I$89,3,0)*VLOOKUP('Données projet'!$B$12,Paramètres!$A$1:$I$89,5,0)</f>
        <v>16.35524235950772</v>
      </c>
      <c r="CA15" s="14">
        <f t="shared" si="39"/>
        <v>5.4442664998513175</v>
      </c>
      <c r="CB15" s="22">
        <f t="shared" si="10"/>
        <v>37.967477930050322</v>
      </c>
      <c r="CC15" s="62">
        <f t="shared" si="11"/>
        <v>331.30081126338365</v>
      </c>
      <c r="CD15" s="62">
        <f ca="1">AVERAGE(OFFSET($CC$3,0,0,'Données projet'!$E$12+1,1))-AVERAGE(OFFSET($H$3,0,0,'Données projet'!$E$12+1,1))</f>
        <v>236.12531905695994</v>
      </c>
      <c r="CE15" s="62">
        <f t="shared" si="40"/>
        <v>270.64539221029258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>
        <f>VLOOKUP(A16,'Données projet'!$A$87:$I$107,2,0)</f>
        <v>75</v>
      </c>
      <c r="BB16" s="13">
        <f>VLOOKUP(A16,'Données projet'!$A$87:$I$107,9,0)</f>
        <v>5.7692307692307692</v>
      </c>
      <c r="BC16" s="13">
        <f t="array" ref="BC16">INDEX(BB:BB,MIN(IF(ISNUMBER(BB16:BB212),ROW(BB16:BB212),"")))</f>
        <v>5.7692307692307692</v>
      </c>
      <c r="BD16" s="13">
        <f>IF('Données projet'!$A$88&gt;35,BD15+BC16-BL15,IF(A16&lt;'Données projet'!$A$88,$BA$205^A16,IF(A16='Données projet'!$A$88,'Données projet'!$B$88,BD15+BC16-BL15)))</f>
        <v>75</v>
      </c>
      <c r="BE16" s="14">
        <f>BD16*VLOOKUP('Données projet'!$B$11,Paramètres!$A$1:$I$89,3,0)*VLOOKUP('Données projet'!$B$11,Paramètres!$A$1:$I$89,5,0)</f>
        <v>44.85</v>
      </c>
      <c r="BF16" s="14">
        <f t="shared" si="37"/>
        <v>13.275453424327006</v>
      </c>
      <c r="BG16" s="22">
        <f t="shared" si="7"/>
        <v>101.2351647140362</v>
      </c>
      <c r="BH16" s="62">
        <f t="shared" si="8"/>
        <v>394.56849804736953</v>
      </c>
      <c r="BI16" s="62">
        <f ca="1">AVERAGE(OFFSET($BH$3,0,0,'Données projet'!$E$11+1,1))-AVERAGE(OFFSET($H$3,0,0,'Données projet'!$E$11+1,1))</f>
        <v>157.98488572680344</v>
      </c>
      <c r="BJ16" s="62">
        <f t="shared" si="38"/>
        <v>269.20989374735825</v>
      </c>
      <c r="BK16" s="16">
        <f>IF(ISNA(VLOOKUP(A16,'Données projet'!$A$87:$I$107,3,0)),0,VLOOKUP(A16,'Données projet'!$A$87:$I$107,3,0))</f>
        <v>1</v>
      </c>
      <c r="BL16" s="16">
        <f>IF(ISNA(VLOOKUP(A16,'Données projet'!$A$87:$I$107,4,0)),0,VLOOKUP(A16,'Données projet'!$A$87:$I$107,4,0))</f>
        <v>15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1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10.1561237088124</v>
      </c>
      <c r="BS16" s="24">
        <f t="shared" si="9"/>
        <v>10.1561237088124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6.6</v>
      </c>
      <c r="BY16" s="13">
        <f>IF('Données projet'!$A$114&gt;35,BY15+BX16-CG15,IF(A16&lt;'Données projet'!$A$114,$BV$205^A16,IF(A16='Données projet'!$A$114,'Données projet'!$B$114,BY15+BX16-CG15)))</f>
        <v>23.89863273788427</v>
      </c>
      <c r="BZ16" s="14">
        <f>BY16*VLOOKUP('Données projet'!$B$12,Paramètres!$A$1:$I$89,3,0)*VLOOKUP('Données projet'!$B$12,Paramètres!$A$1:$I$89,5,0)</f>
        <v>20.8778455598157</v>
      </c>
      <c r="CA16" s="14">
        <f t="shared" si="39"/>
        <v>6.7550152262411558</v>
      </c>
      <c r="CB16" s="22">
        <f t="shared" si="10"/>
        <v>48.127232535715684</v>
      </c>
      <c r="CC16" s="62">
        <f t="shared" si="11"/>
        <v>341.46056586904899</v>
      </c>
      <c r="CD16" s="62">
        <f ca="1">AVERAGE(OFFSET($CC$3,0,0,'Données projet'!$E$12+1,1))-AVERAGE(OFFSET($H$3,0,0,'Données projet'!$E$12+1,1))</f>
        <v>236.12531905695994</v>
      </c>
      <c r="CE16" s="62">
        <f t="shared" si="40"/>
        <v>270.64539221029258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17.166666666666668</v>
      </c>
      <c r="BD17" s="13">
        <f>IF('Données projet'!$A$88&gt;35,BD16+BC17-BL16,IF(A17&lt;'Données projet'!$A$88,$BA$205^A17,IF(A17='Données projet'!$A$88,'Données projet'!$B$88,BD16+BC17-BL16)))</f>
        <v>77.166666666666671</v>
      </c>
      <c r="BE17" s="14">
        <f>BD17*VLOOKUP('Données projet'!$B$11,Paramètres!$A$1:$I$89,3,0)*VLOOKUP('Données projet'!$B$11,Paramètres!$A$1:$I$89,5,0)</f>
        <v>46.145666666666671</v>
      </c>
      <c r="BF17" s="14">
        <f t="shared" si="37"/>
        <v>13.613761874667908</v>
      </c>
      <c r="BG17" s="22">
        <f t="shared" si="7"/>
        <v>104.08100470949104</v>
      </c>
      <c r="BH17" s="62">
        <f t="shared" si="8"/>
        <v>397.41433804282434</v>
      </c>
      <c r="BI17" s="62">
        <f ca="1">AVERAGE(OFFSET($BH$3,0,0,'Données projet'!$E$11+1,1))-AVERAGE(OFFSET($H$3,0,0,'Données projet'!$E$11+1,1))</f>
        <v>157.98488572680344</v>
      </c>
      <c r="BJ17" s="62">
        <f t="shared" si="38"/>
        <v>269.20989374735825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7.1814639450707176</v>
      </c>
      <c r="BS17" s="24">
        <f t="shared" si="9"/>
        <v>7.1814639450707176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6.6</v>
      </c>
      <c r="BY17" s="13">
        <f>IF('Données projet'!$A$114&gt;35,BY16+BX17-CG16,IF(A17&lt;'Données projet'!$A$114,$BV$205^A17,IF(A17='Données projet'!$A$114,'Données projet'!$B$114,BY16+BX17-CG16)))</f>
        <v>30.50715803683886</v>
      </c>
      <c r="BZ17" s="14">
        <f>BY17*VLOOKUP('Données projet'!$B$12,Paramètres!$A$1:$I$89,3,0)*VLOOKUP('Données projet'!$B$12,Paramètres!$A$1:$I$89,5,0)</f>
        <v>26.651053260982433</v>
      </c>
      <c r="CA17" s="14">
        <f t="shared" si="39"/>
        <v>8.3813367159737684</v>
      </c>
      <c r="CB17" s="22">
        <f t="shared" si="10"/>
        <v>61.014745876532061</v>
      </c>
      <c r="CC17" s="62">
        <f t="shared" si="11"/>
        <v>354.34807920986538</v>
      </c>
      <c r="CD17" s="62">
        <f ca="1">AVERAGE(OFFSET($CC$3,0,0,'Données projet'!$E$12+1,1))-AVERAGE(OFFSET($H$3,0,0,'Données projet'!$E$12+1,1))</f>
        <v>236.12531905695994</v>
      </c>
      <c r="CE17" s="62">
        <f t="shared" si="40"/>
        <v>270.64539221029258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17.166666666666668</v>
      </c>
      <c r="BD18" s="13">
        <f>IF('Données projet'!$A$88&gt;35,BD17+BC18-BL17,IF(A18&lt;'Données projet'!$A$88,$BA$205^A18,IF(A18='Données projet'!$A$88,'Données projet'!$B$88,BD17+BC18-BL17)))</f>
        <v>94.333333333333343</v>
      </c>
      <c r="BE18" s="14">
        <f>BD18*VLOOKUP('Données projet'!$B$11,Paramètres!$A$1:$I$89,3,0)*VLOOKUP('Données projet'!$B$11,Paramètres!$A$1:$I$89,5,0)</f>
        <v>56.411333333333339</v>
      </c>
      <c r="BF18" s="14">
        <f t="shared" si="37"/>
        <v>16.257710461388346</v>
      </c>
      <c r="BG18" s="22">
        <f t="shared" si="7"/>
        <v>126.56525127580693</v>
      </c>
      <c r="BH18" s="62">
        <f t="shared" si="8"/>
        <v>419.89858460914024</v>
      </c>
      <c r="BI18" s="62">
        <f ca="1">AVERAGE(OFFSET($BH$3,0,0,'Données projet'!$E$11+1,1))-AVERAGE(OFFSET($H$3,0,0,'Données projet'!$E$11+1,1))</f>
        <v>157.98488572680344</v>
      </c>
      <c r="BJ18" s="62">
        <f t="shared" si="38"/>
        <v>269.20989374735825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5.0780618544062008</v>
      </c>
      <c r="BS18" s="24">
        <f t="shared" si="9"/>
        <v>5.0780618544062008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6.6</v>
      </c>
      <c r="BY18" s="13">
        <f>IF('Données projet'!$A$114&gt;35,BY17+BX18-CG17,IF(A18&lt;'Données projet'!$A$114,$BV$205^A18,IF(A18='Données projet'!$A$114,'Données projet'!$B$114,BY17+BX18-CG17)))</f>
        <v>38.943093594192561</v>
      </c>
      <c r="BZ18" s="14">
        <f>BY18*VLOOKUP('Données projet'!$B$12,Paramètres!$A$1:$I$89,3,0)*VLOOKUP('Données projet'!$B$12,Paramètres!$A$1:$I$89,5,0)</f>
        <v>34.02068656388662</v>
      </c>
      <c r="CA18" s="14">
        <f t="shared" si="39"/>
        <v>10.399207521197393</v>
      </c>
      <c r="CB18" s="22">
        <f t="shared" si="10"/>
        <v>77.364648864854644</v>
      </c>
      <c r="CC18" s="62">
        <f t="shared" si="11"/>
        <v>370.69798219818796</v>
      </c>
      <c r="CD18" s="62">
        <f ca="1">AVERAGE(OFFSET($CC$3,0,0,'Données projet'!$E$12+1,1))-AVERAGE(OFFSET($H$3,0,0,'Données projet'!$E$12+1,1))</f>
        <v>236.12531905695994</v>
      </c>
      <c r="CE18" s="62">
        <f t="shared" si="40"/>
        <v>270.64539221029258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17.166666666666668</v>
      </c>
      <c r="BD19" s="13">
        <f>IF('Données projet'!$A$88&gt;35,BD18+BC19-BL18,IF(A19&lt;'Données projet'!$A$88,$BA$205^A19,IF(A19='Données projet'!$A$88,'Données projet'!$B$88,BD18+BC19-BL18)))</f>
        <v>111.50000000000001</v>
      </c>
      <c r="BE19" s="14">
        <f>BD19*VLOOKUP('Données projet'!$B$11,Paramètres!$A$1:$I$89,3,0)*VLOOKUP('Données projet'!$B$11,Paramètres!$A$1:$I$89,5,0)</f>
        <v>66.677000000000007</v>
      </c>
      <c r="BF19" s="14">
        <f t="shared" si="37"/>
        <v>18.845918291779732</v>
      </c>
      <c r="BG19" s="22">
        <f t="shared" si="7"/>
        <v>148.95241602484973</v>
      </c>
      <c r="BH19" s="62">
        <f t="shared" si="8"/>
        <v>442.28574935818301</v>
      </c>
      <c r="BI19" s="62">
        <f ca="1">AVERAGE(OFFSET($BH$3,0,0,'Données projet'!$E$11+1,1))-AVERAGE(OFFSET($H$3,0,0,'Données projet'!$E$11+1,1))</f>
        <v>157.98488572680344</v>
      </c>
      <c r="BJ19" s="62">
        <f t="shared" si="38"/>
        <v>269.20989374735825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3.5907319725353593</v>
      </c>
      <c r="BS19" s="24">
        <f t="shared" si="9"/>
        <v>3.5907319725353593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6.6</v>
      </c>
      <c r="BY19" s="13">
        <f>IF('Données projet'!$A$114&gt;35,BY18+BX19-CG18,IF(A19&lt;'Données projet'!$A$114,$BV$205^A19,IF(A19='Données projet'!$A$114,'Données projet'!$B$114,BY18+BX19-CG18)))</f>
        <v>49.711760658095955</v>
      </c>
      <c r="BZ19" s="14">
        <f>BY19*VLOOKUP('Données projet'!$B$12,Paramètres!$A$1:$I$89,3,0)*VLOOKUP('Données projet'!$B$12,Paramètres!$A$1:$I$89,5,0)</f>
        <v>43.428194110912635</v>
      </c>
      <c r="CA19" s="14">
        <f t="shared" si="39"/>
        <v>12.902896129065022</v>
      </c>
      <c r="CB19" s="22">
        <f t="shared" si="10"/>
        <v>98.109982167961064</v>
      </c>
      <c r="CC19" s="62">
        <f t="shared" si="11"/>
        <v>391.44331550129436</v>
      </c>
      <c r="CD19" s="62">
        <f ca="1">AVERAGE(OFFSET($CC$3,0,0,'Données projet'!$E$12+1,1))-AVERAGE(OFFSET($H$3,0,0,'Données projet'!$E$12+1,1))</f>
        <v>236.12531905695994</v>
      </c>
      <c r="CE19" s="62">
        <f t="shared" si="40"/>
        <v>270.64539221029258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17.166666666666668</v>
      </c>
      <c r="BD20" s="13">
        <f>IF('Données projet'!$A$88&gt;35,BD19+BC20-BL19,IF(A20&lt;'Données projet'!$A$88,$BA$205^A20,IF(A20='Données projet'!$A$88,'Données projet'!$B$88,BD19+BC20-BL19)))</f>
        <v>128.66666666666669</v>
      </c>
      <c r="BE20" s="14">
        <f>BD20*VLOOKUP('Données projet'!$B$11,Paramètres!$A$1:$I$89,3,0)*VLOOKUP('Données projet'!$B$11,Paramètres!$A$1:$I$89,5,0)</f>
        <v>76.942666666666682</v>
      </c>
      <c r="BF20" s="14">
        <f t="shared" si="37"/>
        <v>21.387963426287346</v>
      </c>
      <c r="BG20" s="22">
        <f t="shared" si="7"/>
        <v>171.25918074522826</v>
      </c>
      <c r="BH20" s="62">
        <f t="shared" si="8"/>
        <v>464.59251407856158</v>
      </c>
      <c r="BI20" s="62">
        <f ca="1">AVERAGE(OFFSET($BH$3,0,0,'Données projet'!$E$11+1,1))-AVERAGE(OFFSET($H$3,0,0,'Données projet'!$E$11+1,1))</f>
        <v>157.98488572680344</v>
      </c>
      <c r="BJ20" s="62">
        <f t="shared" si="38"/>
        <v>269.20989374735825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2.5390309272031004</v>
      </c>
      <c r="BS20" s="24">
        <f t="shared" si="9"/>
        <v>2.5390309272031004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6.6</v>
      </c>
      <c r="BY20" s="13">
        <f>IF('Données projet'!$A$114&gt;35,BY19+BX20-CG19,IF(A20&lt;'Données projet'!$A$114,$BV$205^A20,IF(A20='Données projet'!$A$114,'Données projet'!$B$114,BY19+BX20-CG19)))</f>
        <v>63.458213501978861</v>
      </c>
      <c r="BZ20" s="14">
        <f>BY20*VLOOKUP('Données projet'!$B$12,Paramètres!$A$1:$I$89,3,0)*VLOOKUP('Données projet'!$B$12,Paramètres!$A$1:$I$89,5,0)</f>
        <v>55.437095315328747</v>
      </c>
      <c r="CA20" s="14">
        <f t="shared" si="39"/>
        <v>16.009366884744278</v>
      </c>
      <c r="CB20" s="22">
        <f t="shared" si="10"/>
        <v>124.4359216651272</v>
      </c>
      <c r="CC20" s="62">
        <f t="shared" si="11"/>
        <v>417.7692549984605</v>
      </c>
      <c r="CD20" s="62">
        <f ca="1">AVERAGE(OFFSET($CC$3,0,0,'Données projet'!$E$12+1,1))-AVERAGE(OFFSET($H$3,0,0,'Données projet'!$E$12+1,1))</f>
        <v>236.12531905695994</v>
      </c>
      <c r="CE20" s="62">
        <f t="shared" si="40"/>
        <v>270.64539221029258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17.166666666666668</v>
      </c>
      <c r="BD21" s="13">
        <f>IF('Données projet'!$A$88&gt;35,BD20+BC21-BL20,IF(A21&lt;'Données projet'!$A$88,$BA$205^A21,IF(A21='Données projet'!$A$88,'Données projet'!$B$88,BD20+BC21-BL20)))</f>
        <v>145.83333333333334</v>
      </c>
      <c r="BE21" s="14">
        <f>BD21*VLOOKUP('Données projet'!$B$11,Paramètres!$A$1:$I$89,3,0)*VLOOKUP('Données projet'!$B$11,Paramètres!$A$1:$I$89,5,0)</f>
        <v>87.208333333333343</v>
      </c>
      <c r="BF21" s="14">
        <f t="shared" si="37"/>
        <v>23.890712489742075</v>
      </c>
      <c r="BG21" s="22">
        <f t="shared" si="7"/>
        <v>193.49750480852299</v>
      </c>
      <c r="BH21" s="62">
        <f t="shared" si="8"/>
        <v>486.8308381418563</v>
      </c>
      <c r="BI21" s="62">
        <f ca="1">AVERAGE(OFFSET($BH$3,0,0,'Données projet'!$E$11+1,1))-AVERAGE(OFFSET($H$3,0,0,'Données projet'!$E$11+1,1))</f>
        <v>157.98488572680344</v>
      </c>
      <c r="BJ21" s="62">
        <f t="shared" si="38"/>
        <v>269.20989374735825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1.7953659862676796</v>
      </c>
      <c r="BS21" s="24">
        <f t="shared" si="9"/>
        <v>1.7953659862676796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6.6</v>
      </c>
      <c r="BY21" s="13">
        <f>IF('Données projet'!$A$114&gt;35,BY20+BX21-CG20,IF(A21&lt;'Données projet'!$A$114,$BV$205^A21,IF(A21='Données projet'!$A$114,'Données projet'!$B$114,BY20+BX21-CG20)))</f>
        <v>81.005878841406769</v>
      </c>
      <c r="BZ21" s="14">
        <f>BY21*VLOOKUP('Données projet'!$B$12,Paramètres!$A$1:$I$89,3,0)*VLOOKUP('Données projet'!$B$12,Paramètres!$A$1:$I$89,5,0)</f>
        <v>70.766735755852963</v>
      </c>
      <c r="CA21" s="14">
        <f t="shared" si="39"/>
        <v>19.863744192515547</v>
      </c>
      <c r="CB21" s="22">
        <f t="shared" si="10"/>
        <v>157.84808591007513</v>
      </c>
      <c r="CC21" s="62">
        <f t="shared" si="11"/>
        <v>451.18141924340841</v>
      </c>
      <c r="CD21" s="62">
        <f ca="1">AVERAGE(OFFSET($CC$3,0,0,'Données projet'!$E$12+1,1))-AVERAGE(OFFSET($H$3,0,0,'Données projet'!$E$12+1,1))</f>
        <v>236.12531905695994</v>
      </c>
      <c r="CE21" s="62">
        <f t="shared" si="40"/>
        <v>270.64539221029258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163</v>
      </c>
      <c r="BB22" s="13">
        <f>VLOOKUP(A22,'Données projet'!$A$87:$I$107,9,0)</f>
        <v>17.166666666666668</v>
      </c>
      <c r="BC22" s="13">
        <f t="array" ref="BC22">INDEX(BB:BB,MIN(IF(ISNUMBER(BB22:BB218),ROW(BB22:BB218),"")))</f>
        <v>17.166666666666668</v>
      </c>
      <c r="BD22" s="13">
        <f>IF('Données projet'!$A$88&gt;35,BD21+BC22-BL21,IF(A22&lt;'Données projet'!$A$88,$BA$205^A22,IF(A22='Données projet'!$A$88,'Données projet'!$B$88,BD21+BC22-BL21)))</f>
        <v>163</v>
      </c>
      <c r="BE22" s="14">
        <f>BD22*VLOOKUP('Données projet'!$B$11,Paramètres!$A$1:$I$89,3,0)*VLOOKUP('Données projet'!$B$11,Paramètres!$A$1:$I$89,5,0)</f>
        <v>97.474000000000004</v>
      </c>
      <c r="BF22" s="14">
        <f t="shared" si="37"/>
        <v>26.359319748929014</v>
      </c>
      <c r="BG22" s="22">
        <f t="shared" si="7"/>
        <v>215.67636522938469</v>
      </c>
      <c r="BH22" s="62">
        <f t="shared" si="8"/>
        <v>509.00969856271797</v>
      </c>
      <c r="BI22" s="62">
        <f ca="1">AVERAGE(OFFSET($BH$3,0,0,'Données projet'!$E$11+1,1))-AVERAGE(OFFSET($H$3,0,0,'Données projet'!$E$11+1,1))</f>
        <v>157.98488572680344</v>
      </c>
      <c r="BJ22" s="62">
        <f t="shared" si="38"/>
        <v>269.20989374735825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40</v>
      </c>
      <c r="BM22" s="17">
        <f>IF(ISNA(VLOOKUP(A22,'Données projet'!$A$87:$I$107,5,0)),0%,VLOOKUP(A22,'Données projet'!$A$87:$I$107,5,0)*VLOOKUP('Données projet'!$B$11,Paramètres!$A$1:$I$89,7,0))</f>
        <v>0.13500000000000001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0.7</v>
      </c>
      <c r="BP22" s="23">
        <f>EXP(-LN(2)/35)*BP21+(1-EXP(-LN(2)/35))/(LN(2)/35)*BL22*BM22*VLOOKUP('Données projet'!$B$11,Paramètres!$A$1:$I$89,3,0)*0.475*44/12</f>
        <v>4.2837419395053642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20.227613053384697</v>
      </c>
      <c r="BS22" s="24">
        <f t="shared" si="9"/>
        <v>24.511354992890062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6.6</v>
      </c>
      <c r="BY22" s="13">
        <f>IF('Données projet'!$A$114&gt;35,BY21+BX22-CG21,IF(A22&lt;'Données projet'!$A$114,$BV$205^A22,IF(A22='Données projet'!$A$114,'Données projet'!$B$114,BY21+BX22-CG21)))</f>
        <v>103.40587994435182</v>
      </c>
      <c r="BZ22" s="14">
        <f>BY22*VLOOKUP('Données projet'!$B$12,Paramètres!$A$1:$I$89,3,0)*VLOOKUP('Données projet'!$B$12,Paramètres!$A$1:$I$89,5,0)</f>
        <v>90.335376719385764</v>
      </c>
      <c r="CA22" s="14">
        <f t="shared" si="39"/>
        <v>24.646092265003244</v>
      </c>
      <c r="CB22" s="22">
        <f t="shared" si="10"/>
        <v>200.25939181447754</v>
      </c>
      <c r="CC22" s="62">
        <f t="shared" si="11"/>
        <v>493.59272514781082</v>
      </c>
      <c r="CD22" s="62">
        <f ca="1">AVERAGE(OFFSET($CC$3,0,0,'Données projet'!$E$12+1,1))-AVERAGE(OFFSET($H$3,0,0,'Données projet'!$E$12+1,1))</f>
        <v>236.12531905695994</v>
      </c>
      <c r="CE22" s="62">
        <f t="shared" si="40"/>
        <v>270.64539221029258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16.5</v>
      </c>
      <c r="BD23" s="13">
        <f>IF('Données projet'!$A$88&gt;35,BD22+BC23-BL22,IF(A23&lt;'Données projet'!$A$88,$BA$205^A23,IF(A23='Données projet'!$A$88,'Données projet'!$B$88,BD22+BC23-BL22)))</f>
        <v>139.5</v>
      </c>
      <c r="BE23" s="14">
        <f>BD23*VLOOKUP('Données projet'!$B$11,Paramètres!$A$1:$I$89,3,0)*VLOOKUP('Données projet'!$B$11,Paramètres!$A$1:$I$89,5,0)</f>
        <v>83.421000000000006</v>
      </c>
      <c r="BF23" s="14">
        <f t="shared" si="37"/>
        <v>22.97158706718762</v>
      </c>
      <c r="BG23" s="22">
        <f t="shared" si="7"/>
        <v>185.30042247535178</v>
      </c>
      <c r="BH23" s="62">
        <f t="shared" si="8"/>
        <v>478.63375580868512</v>
      </c>
      <c r="BI23" s="62">
        <f ca="1">AVERAGE(OFFSET($BH$3,0,0,'Données projet'!$E$11+1,1))-AVERAGE(OFFSET($H$3,0,0,'Données projet'!$E$11+1,1))</f>
        <v>157.98488572680344</v>
      </c>
      <c r="BJ23" s="62">
        <f t="shared" si="38"/>
        <v>269.20989374735825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4.1997403728962519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14.303082357265847</v>
      </c>
      <c r="BS23" s="24">
        <f t="shared" si="9"/>
        <v>18.502822730162098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132</v>
      </c>
      <c r="BW23" s="13">
        <f>VLOOKUP(A23,'Données projet'!$A$113:$I$133,9,0)</f>
        <v>6.6</v>
      </c>
      <c r="BX23" s="13">
        <f t="array" ref="BX23">INDEX(BW:BW,MIN(IF(ISNUMBER(BW23:BW219),ROW(BW23:BW219),"")))</f>
        <v>6.6</v>
      </c>
      <c r="BY23" s="13">
        <f>IF('Données projet'!$A$114&gt;35,BY22+BX23-CG22,IF(A23&lt;'Données projet'!$A$114,$BV$205^A23,IF(A23='Données projet'!$A$114,'Données projet'!$B$114,BY22+BX23-CG22)))</f>
        <v>132</v>
      </c>
      <c r="BZ23" s="14">
        <f>BY23*VLOOKUP('Données projet'!$B$12,Paramètres!$A$1:$I$89,3,0)*VLOOKUP('Données projet'!$B$12,Paramètres!$A$1:$I$89,5,0)</f>
        <v>115.3152</v>
      </c>
      <c r="CA23" s="14">
        <f t="shared" si="39"/>
        <v>30.579827148797317</v>
      </c>
      <c r="CB23" s="22">
        <f t="shared" si="10"/>
        <v>254.10050561748861</v>
      </c>
      <c r="CC23" s="62">
        <f t="shared" si="11"/>
        <v>547.43383895082195</v>
      </c>
      <c r="CD23" s="62">
        <f ca="1">AVERAGE(OFFSET($CC$3,0,0,'Données projet'!$E$12+1,1))-AVERAGE(OFFSET($H$3,0,0,'Données projet'!$E$12+1,1))</f>
        <v>236.12531905695994</v>
      </c>
      <c r="CE23" s="62">
        <f t="shared" si="40"/>
        <v>270.64539221029258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50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16.5</v>
      </c>
      <c r="BD24" s="13">
        <f>IF('Données projet'!$A$88&gt;35,BD23+BC24-BL23,IF(A24&lt;'Données projet'!$A$88,$BA$205^A24,IF(A24='Données projet'!$A$88,'Données projet'!$B$88,BD23+BC24-BL23)))</f>
        <v>156</v>
      </c>
      <c r="BE24" s="14">
        <f>BD24*VLOOKUP('Données projet'!$B$11,Paramètres!$A$1:$I$89,3,0)*VLOOKUP('Données projet'!$B$11,Paramètres!$A$1:$I$89,5,0)</f>
        <v>93.288000000000011</v>
      </c>
      <c r="BF24" s="14">
        <f t="shared" si="37"/>
        <v>25.356547829040977</v>
      </c>
      <c r="BG24" s="22">
        <f t="shared" si="7"/>
        <v>206.63925413557971</v>
      </c>
      <c r="BH24" s="62">
        <f t="shared" si="8"/>
        <v>499.97258746891305</v>
      </c>
      <c r="BI24" s="62">
        <f ca="1">AVERAGE(OFFSET($BH$3,0,0,'Données projet'!$E$11+1,1))-AVERAGE(OFFSET($H$3,0,0,'Données projet'!$E$11+1,1))</f>
        <v>157.98488572680344</v>
      </c>
      <c r="BJ24" s="62">
        <f t="shared" si="38"/>
        <v>269.20989374735825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4.1173860257724479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10.11380652669235</v>
      </c>
      <c r="BS24" s="24">
        <f t="shared" si="9"/>
        <v>14.231192552464798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12.2</v>
      </c>
      <c r="BY24" s="13">
        <f>IF('Données projet'!$A$114&gt;35,BY23+BX24-CG23,IF(A24&lt;'Données projet'!$A$114,$BV$205^A24,IF(A24='Données projet'!$A$114,'Données projet'!$B$114,BY23+BX24-CG23)))</f>
        <v>94.199999999999989</v>
      </c>
      <c r="BZ24" s="14">
        <f>BY24*VLOOKUP('Données projet'!$B$12,Paramètres!$A$1:$I$89,3,0)*VLOOKUP('Données projet'!$B$12,Paramètres!$A$1:$I$89,5,0)</f>
        <v>82.293120000000002</v>
      </c>
      <c r="CA24" s="14">
        <f t="shared" si="39"/>
        <v>22.696938367376966</v>
      </c>
      <c r="CB24" s="22">
        <f t="shared" si="10"/>
        <v>182.85768498984825</v>
      </c>
      <c r="CC24" s="62">
        <f t="shared" si="11"/>
        <v>476.19101832318154</v>
      </c>
      <c r="CD24" s="62">
        <f ca="1">AVERAGE(OFFSET($CC$3,0,0,'Données projet'!$E$12+1,1))-AVERAGE(OFFSET($H$3,0,0,'Données projet'!$E$12+1,1))</f>
        <v>236.12531905695994</v>
      </c>
      <c r="CE24" s="62">
        <f t="shared" si="40"/>
        <v>270.64539221029258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16.5</v>
      </c>
      <c r="BD25" s="13">
        <f>IF('Données projet'!$A$88&gt;35,BD24+BC25-BL24,IF(A25&lt;'Données projet'!$A$88,$BA$205^A25,IF(A25='Données projet'!$A$88,'Données projet'!$B$88,BD24+BC25-BL24)))</f>
        <v>172.5</v>
      </c>
      <c r="BE25" s="14">
        <f>BD25*VLOOKUP('Données projet'!$B$11,Paramètres!$A$1:$I$89,3,0)*VLOOKUP('Données projet'!$B$11,Paramètres!$A$1:$I$89,5,0)</f>
        <v>103.15500000000002</v>
      </c>
      <c r="BF25" s="14">
        <f t="shared" si="37"/>
        <v>27.71226857071613</v>
      </c>
      <c r="BG25" s="22">
        <f t="shared" si="7"/>
        <v>227.92715942733059</v>
      </c>
      <c r="BH25" s="62">
        <f t="shared" si="8"/>
        <v>521.26049276066396</v>
      </c>
      <c r="BI25" s="62">
        <f ca="1">AVERAGE(OFFSET($BH$3,0,0,'Données projet'!$E$11+1,1))-AVERAGE(OFFSET($H$3,0,0,'Données projet'!$E$11+1,1))</f>
        <v>157.98488572680344</v>
      </c>
      <c r="BJ25" s="62">
        <f t="shared" si="38"/>
        <v>269.20989374735825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4.03664659716455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7.1515411786329244</v>
      </c>
      <c r="BS25" s="24">
        <f t="shared" si="9"/>
        <v>11.188187775797473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12.2</v>
      </c>
      <c r="BY25" s="13">
        <f>IF('Données projet'!$A$114&gt;35,BY24+BX25-CG24,IF(A25&lt;'Données projet'!$A$114,$BV$205^A25,IF(A25='Données projet'!$A$114,'Données projet'!$B$114,BY24+BX25-CG24)))</f>
        <v>106.39999999999999</v>
      </c>
      <c r="BZ25" s="14">
        <f>BY25*VLOOKUP('Données projet'!$B$12,Paramètres!$A$1:$I$89,3,0)*VLOOKUP('Données projet'!$B$12,Paramètres!$A$1:$I$89,5,0)</f>
        <v>92.951040000000006</v>
      </c>
      <c r="CA25" s="14">
        <f t="shared" si="39"/>
        <v>25.275602869272223</v>
      </c>
      <c r="CB25" s="22">
        <f t="shared" si="10"/>
        <v>205.9114029973158</v>
      </c>
      <c r="CC25" s="62">
        <f t="shared" si="11"/>
        <v>499.24473633064912</v>
      </c>
      <c r="CD25" s="62">
        <f ca="1">AVERAGE(OFFSET($CC$3,0,0,'Données projet'!$E$12+1,1))-AVERAGE(OFFSET($H$3,0,0,'Données projet'!$E$12+1,1))</f>
        <v>236.12531905695994</v>
      </c>
      <c r="CE25" s="62">
        <f t="shared" si="40"/>
        <v>270.64539221029258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16.5</v>
      </c>
      <c r="BD26" s="13">
        <f>IF('Données projet'!$A$88&gt;35,BD25+BC26-BL25,IF(A26&lt;'Données projet'!$A$88,$BA$205^A26,IF(A26='Données projet'!$A$88,'Données projet'!$B$88,BD25+BC26-BL25)))</f>
        <v>189</v>
      </c>
      <c r="BE26" s="14">
        <f>BD26*VLOOKUP('Données projet'!$B$11,Paramètres!$A$1:$I$89,3,0)*VLOOKUP('Données projet'!$B$11,Paramètres!$A$1:$I$89,5,0)</f>
        <v>113.02200000000001</v>
      </c>
      <c r="BF26" s="14">
        <f t="shared" si="37"/>
        <v>30.041864379091852</v>
      </c>
      <c r="BG26" s="22">
        <f t="shared" si="7"/>
        <v>249.16956379358496</v>
      </c>
      <c r="BH26" s="62">
        <f t="shared" si="8"/>
        <v>542.50289712691824</v>
      </c>
      <c r="BI26" s="62">
        <f ca="1">AVERAGE(OFFSET($BH$3,0,0,'Données projet'!$E$11+1,1))-AVERAGE(OFFSET($H$3,0,0,'Données projet'!$E$11+1,1))</f>
        <v>157.98488572680344</v>
      </c>
      <c r="BJ26" s="62">
        <f t="shared" si="38"/>
        <v>269.20989374735825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3.9574904195054641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5.0569032633461761</v>
      </c>
      <c r="BS26" s="24">
        <f t="shared" si="9"/>
        <v>9.0143936828516402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12.2</v>
      </c>
      <c r="BY26" s="13">
        <f>IF('Données projet'!$A$114&gt;35,BY25+BX26-CG25,IF(A26&lt;'Données projet'!$A$114,$BV$205^A26,IF(A26='Données projet'!$A$114,'Données projet'!$B$114,BY25+BX26-CG25)))</f>
        <v>118.6</v>
      </c>
      <c r="BZ26" s="14">
        <f>BY26*VLOOKUP('Données projet'!$B$12,Paramètres!$A$1:$I$89,3,0)*VLOOKUP('Données projet'!$B$12,Paramètres!$A$1:$I$89,5,0)</f>
        <v>103.60896</v>
      </c>
      <c r="CA26" s="14">
        <f t="shared" si="39"/>
        <v>27.820000397643376</v>
      </c>
      <c r="CB26" s="22">
        <f t="shared" si="10"/>
        <v>228.90543935922889</v>
      </c>
      <c r="CC26" s="62">
        <f t="shared" si="11"/>
        <v>522.23877269256218</v>
      </c>
      <c r="CD26" s="62">
        <f ca="1">AVERAGE(OFFSET($CC$3,0,0,'Données projet'!$E$12+1,1))-AVERAGE(OFFSET($H$3,0,0,'Données projet'!$E$12+1,1))</f>
        <v>236.12531905695994</v>
      </c>
      <c r="CE26" s="62">
        <f t="shared" si="40"/>
        <v>270.64539221029258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16.5</v>
      </c>
      <c r="BD27" s="13">
        <f>IF('Données projet'!$A$88&gt;35,BD26+BC27-BL26,IF(A27&lt;'Données projet'!$A$88,$BA$205^A27,IF(A27='Données projet'!$A$88,'Données projet'!$B$88,BD26+BC27-BL26)))</f>
        <v>205.5</v>
      </c>
      <c r="BE27" s="14">
        <f>BD27*VLOOKUP('Données projet'!$B$11,Paramètres!$A$1:$I$89,3,0)*VLOOKUP('Données projet'!$B$11,Paramètres!$A$1:$I$89,5,0)</f>
        <v>122.88900000000001</v>
      </c>
      <c r="BF27" s="14">
        <f t="shared" si="37"/>
        <v>32.347875332170432</v>
      </c>
      <c r="BG27" s="22">
        <f t="shared" si="7"/>
        <v>270.37089120353011</v>
      </c>
      <c r="BH27" s="62">
        <f t="shared" si="8"/>
        <v>563.70422453686342</v>
      </c>
      <c r="BI27" s="62">
        <f ca="1">AVERAGE(OFFSET($BH$3,0,0,'Données projet'!$E$11+1,1))-AVERAGE(OFFSET($H$3,0,0,'Données projet'!$E$11+1,1))</f>
        <v>157.98488572680344</v>
      </c>
      <c r="BJ27" s="62">
        <f t="shared" si="38"/>
        <v>269.20989374735825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3.8798864462097717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3.5757705893164631</v>
      </c>
      <c r="BS27" s="24">
        <f t="shared" si="9"/>
        <v>7.4556570355262348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12.2</v>
      </c>
      <c r="BY27" s="13">
        <f>IF('Données projet'!$A$114&gt;35,BY26+BX27-CG26,IF(A27&lt;'Données projet'!$A$114,$BV$205^A27,IF(A27='Données projet'!$A$114,'Données projet'!$B$114,BY26+BX27-CG26)))</f>
        <v>130.79999999999998</v>
      </c>
      <c r="BZ27" s="14">
        <f>BY27*VLOOKUP('Données projet'!$B$12,Paramètres!$A$1:$I$89,3,0)*VLOOKUP('Données projet'!$B$12,Paramètres!$A$1:$I$89,5,0)</f>
        <v>114.26687999999999</v>
      </c>
      <c r="CA27" s="14">
        <f t="shared" si="39"/>
        <v>30.334057329879929</v>
      </c>
      <c r="CB27" s="22">
        <f t="shared" si="10"/>
        <v>251.84663251620748</v>
      </c>
      <c r="CC27" s="62">
        <f t="shared" si="11"/>
        <v>545.17996584954085</v>
      </c>
      <c r="CD27" s="62">
        <f ca="1">AVERAGE(OFFSET($CC$3,0,0,'Données projet'!$E$12+1,1))-AVERAGE(OFFSET($H$3,0,0,'Données projet'!$E$12+1,1))</f>
        <v>236.12531905695994</v>
      </c>
      <c r="CE27" s="62">
        <f t="shared" si="40"/>
        <v>270.64539221029258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222</v>
      </c>
      <c r="BB28" s="13">
        <f>VLOOKUP(A28,'Données projet'!$A$87:$I$107,9,0)</f>
        <v>16.5</v>
      </c>
      <c r="BC28" s="13">
        <f t="array" ref="BC28">INDEX(BB:BB,MIN(IF(ISNUMBER(BB28:BB224),ROW(BB28:BB224),"")))</f>
        <v>16.5</v>
      </c>
      <c r="BD28" s="13">
        <f>IF('Données projet'!$A$88&gt;35,BD27+BC28-BL27,IF(A28&lt;'Données projet'!$A$88,$BA$205^A28,IF(A28='Données projet'!$A$88,'Données projet'!$B$88,BD27+BC28-BL27)))</f>
        <v>222</v>
      </c>
      <c r="BE28" s="14">
        <f>BD28*VLOOKUP('Données projet'!$B$11,Paramètres!$A$1:$I$89,3,0)*VLOOKUP('Données projet'!$B$11,Paramètres!$A$1:$I$89,5,0)</f>
        <v>132.756</v>
      </c>
      <c r="BF28" s="14">
        <f t="shared" si="37"/>
        <v>34.632410397339967</v>
      </c>
      <c r="BG28" s="22">
        <f t="shared" si="7"/>
        <v>291.53481477536712</v>
      </c>
      <c r="BH28" s="62">
        <f t="shared" si="8"/>
        <v>584.86814810870044</v>
      </c>
      <c r="BI28" s="62">
        <f ca="1">AVERAGE(OFFSET($BH$3,0,0,'Données projet'!$E$11+1,1))-AVERAGE(OFFSET($H$3,0,0,'Données projet'!$E$11+1,1))</f>
        <v>157.98488572680344</v>
      </c>
      <c r="BJ28" s="62">
        <f t="shared" si="38"/>
        <v>269.20989374735825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0.18000000000000002</v>
      </c>
      <c r="BN28" s="17">
        <f>IF(ISNA(VLOOKUP(A28,'Données projet'!$A$87:$I$107,6,0)),0%,VLOOKUP(A28,'Données projet'!$A$87:$I$107,6,0)*VLOOKUP('Données projet'!$B$11,Paramètres!$A$1:$I$89,7,0))</f>
        <v>9.0000000000000011E-2</v>
      </c>
      <c r="BO28" s="17">
        <f>IF(ISNA(VLOOKUP(A28,'Données projet'!$A$87:$I$107,7,0)),0%,VLOOKUP(A28,'Données projet'!$A$87:$I$107,7,0))</f>
        <v>0.4</v>
      </c>
      <c r="BP28" s="23">
        <f>EXP(-LN(2)/35)*BP27+(1-EXP(-LN(2)/35))/(LN(2)/35)*BL28*BM28*VLOOKUP('Données projet'!$B$11,Paramètres!$A$1:$I$89,3,0)*0.475*44/12</f>
        <v>11.514539730606312</v>
      </c>
      <c r="BQ28" s="23">
        <f>EXP(-LN(2)/25)*BQ27+(1-EXP(-LN(2)/25))/(LN(2)/25)*Calculateur!BL28*Calculateur!BN28*VLOOKUP('Données projet'!$B$11,Paramètres!$A$1:$I$89,3,0)*0.475*44/12</f>
        <v>3.8401876937302988</v>
      </c>
      <c r="BR28" s="23">
        <f>EXP(-LN(2)/2)*BR27+(1-EXP(-LN(2)/2))/(LN(2)/2)*BL28*BO28*VLOOKUP('Données projet'!$B$11,Paramètres!$A$1:$I$89,3,0)*0.475*44/12</f>
        <v>17.153269772362943</v>
      </c>
      <c r="BS28" s="24">
        <f t="shared" si="9"/>
        <v>32.507997196699556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143</v>
      </c>
      <c r="BW28" s="13">
        <f>VLOOKUP(A28,'Données projet'!$A$113:$I$133,9,0)</f>
        <v>12.2</v>
      </c>
      <c r="BX28" s="13">
        <f t="array" ref="BX28">INDEX(BW:BW,MIN(IF(ISNUMBER(BW28:BW224),ROW(BW28:BW224),"")))</f>
        <v>12.2</v>
      </c>
      <c r="BY28" s="13">
        <f>IF('Données projet'!$A$114&gt;35,BY27+BX28-CG27,IF(A28&lt;'Données projet'!$A$114,$BV$205^A28,IF(A28='Données projet'!$A$114,'Données projet'!$B$114,BY27+BX28-CG27)))</f>
        <v>142.99999999999997</v>
      </c>
      <c r="BZ28" s="14">
        <f>BY28*VLOOKUP('Données projet'!$B$12,Paramètres!$A$1:$I$89,3,0)*VLOOKUP('Données projet'!$B$12,Paramètres!$A$1:$I$89,5,0)</f>
        <v>124.9248</v>
      </c>
      <c r="CA28" s="14">
        <f t="shared" si="39"/>
        <v>32.820925500842712</v>
      </c>
      <c r="CB28" s="22">
        <f t="shared" si="10"/>
        <v>274.74047191396772</v>
      </c>
      <c r="CC28" s="62">
        <f t="shared" si="11"/>
        <v>568.07380524730104</v>
      </c>
      <c r="CD28" s="62">
        <f ca="1">AVERAGE(OFFSET($CC$3,0,0,'Données projet'!$E$12+1,1))-AVERAGE(OFFSET($H$3,0,0,'Données projet'!$E$12+1,1))</f>
        <v>236.12531905695994</v>
      </c>
      <c r="CE28" s="62">
        <f t="shared" si="40"/>
        <v>270.64539221029258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37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13.8</v>
      </c>
      <c r="BD29" s="13">
        <f>IF('Données projet'!$A$88&gt;35,BD28+BC29-BL28,IF(A29&lt;'Données projet'!$A$88,$BA$205^A29,IF(A29='Données projet'!$A$88,'Données projet'!$B$88,BD28+BC29-BL28)))</f>
        <v>181.8</v>
      </c>
      <c r="BE29" s="14">
        <f>BD29*VLOOKUP('Données projet'!$B$11,Paramètres!$A$1:$I$89,3,0)*VLOOKUP('Données projet'!$B$11,Paramètres!$A$1:$I$89,5,0)</f>
        <v>108.71640000000002</v>
      </c>
      <c r="BF29" s="14">
        <f t="shared" si="37"/>
        <v>29.028352113364011</v>
      </c>
      <c r="BG29" s="22">
        <f t="shared" si="7"/>
        <v>239.90544326410898</v>
      </c>
      <c r="BH29" s="62">
        <f t="shared" si="8"/>
        <v>533.23877659744232</v>
      </c>
      <c r="BI29" s="62">
        <f ca="1">AVERAGE(OFFSET($BH$3,0,0,'Données projet'!$E$11+1,1))-AVERAGE(OFFSET($H$3,0,0,'Données projet'!$E$11+1,1))</f>
        <v>157.98488572680344</v>
      </c>
      <c r="BJ29" s="62">
        <f t="shared" si="38"/>
        <v>269.20989374735825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11.288746629664876</v>
      </c>
      <c r="BQ29" s="23">
        <f>EXP(-LN(2)/25)*BQ28+(1-EXP(-LN(2)/25))/(LN(2)/25)*Calculateur!BL29*Calculateur!BN29*VLOOKUP('Données projet'!$B$11,Paramètres!$A$1:$I$89,3,0)*0.475*44/12</f>
        <v>3.7351775592985499</v>
      </c>
      <c r="BR29" s="23">
        <f>EXP(-LN(2)/2)*BR28+(1-EXP(-LN(2)/2))/(LN(2)/2)*BL29*BO29*VLOOKUP('Données projet'!$B$11,Paramètres!$A$1:$I$89,3,0)*0.475*44/12</f>
        <v>12.129193375560064</v>
      </c>
      <c r="BS29" s="24">
        <f t="shared" si="9"/>
        <v>27.153117564523491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11.4</v>
      </c>
      <c r="BY29" s="13">
        <f>IF('Données projet'!$A$114&gt;35,BY28+BX29-CG28,IF(A29&lt;'Données projet'!$A$114,$BV$205^A29,IF(A29='Données projet'!$A$114,'Données projet'!$B$114,BY28+BX29-CG28)))</f>
        <v>117.39999999999998</v>
      </c>
      <c r="BZ29" s="14">
        <f>BY29*VLOOKUP('Données projet'!$B$12,Paramètres!$A$1:$I$89,3,0)*VLOOKUP('Données projet'!$B$12,Paramètres!$A$1:$I$89,5,0)</f>
        <v>102.56064000000001</v>
      </c>
      <c r="CA29" s="14">
        <f t="shared" si="39"/>
        <v>27.571134131783779</v>
      </c>
      <c r="CB29" s="22">
        <f t="shared" si="10"/>
        <v>226.64617327952342</v>
      </c>
      <c r="CC29" s="62">
        <f t="shared" si="11"/>
        <v>519.97950661285677</v>
      </c>
      <c r="CD29" s="62">
        <f ca="1">AVERAGE(OFFSET($CC$3,0,0,'Données projet'!$E$12+1,1))-AVERAGE(OFFSET($H$3,0,0,'Données projet'!$E$12+1,1))</f>
        <v>236.12531905695994</v>
      </c>
      <c r="CE29" s="62">
        <f t="shared" si="40"/>
        <v>270.64539221029258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13.8</v>
      </c>
      <c r="BD30" s="13">
        <f>IF('Données projet'!$A$88&gt;35,BD29+BC30-BL29,IF(A30&lt;'Données projet'!$A$88,$BA$205^A30,IF(A30='Données projet'!$A$88,'Données projet'!$B$88,BD29+BC30-BL29)))</f>
        <v>195.60000000000002</v>
      </c>
      <c r="BE30" s="14">
        <f>BD30*VLOOKUP('Données projet'!$B$11,Paramètres!$A$1:$I$89,3,0)*VLOOKUP('Données projet'!$B$11,Paramètres!$A$1:$I$89,5,0)</f>
        <v>116.96880000000002</v>
      </c>
      <c r="BF30" s="14">
        <f t="shared" si="37"/>
        <v>30.966972418998537</v>
      </c>
      <c r="BG30" s="22">
        <f t="shared" si="7"/>
        <v>257.6548036297558</v>
      </c>
      <c r="BH30" s="62">
        <f t="shared" si="8"/>
        <v>550.98813696308912</v>
      </c>
      <c r="BI30" s="62">
        <f ca="1">AVERAGE(OFFSET($BH$3,0,0,'Données projet'!$E$11+1,1))-AVERAGE(OFFSET($H$3,0,0,'Données projet'!$E$11+1,1))</f>
        <v>157.98488572680344</v>
      </c>
      <c r="BJ30" s="62">
        <f t="shared" si="38"/>
        <v>269.20989374735825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11.067381193712711</v>
      </c>
      <c r="BQ30" s="23">
        <f>EXP(-LN(2)/25)*BQ29+(1-EXP(-LN(2)/25))/(LN(2)/25)*Calculateur!BL30*Calculateur!BN30*VLOOKUP('Données projet'!$B$11,Paramètres!$A$1:$I$89,3,0)*0.475*44/12</f>
        <v>3.6330389325150803</v>
      </c>
      <c r="BR30" s="23">
        <f>EXP(-LN(2)/2)*BR29+(1-EXP(-LN(2)/2))/(LN(2)/2)*BL30*BO30*VLOOKUP('Données projet'!$B$11,Paramètres!$A$1:$I$89,3,0)*0.475*44/12</f>
        <v>8.5766348861814716</v>
      </c>
      <c r="BS30" s="24">
        <f t="shared" si="9"/>
        <v>23.277055012409264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11.4</v>
      </c>
      <c r="BY30" s="13">
        <f>IF('Données projet'!$A$114&gt;35,BY29+BX30-CG29,IF(A30&lt;'Données projet'!$A$114,$BV$205^A30,IF(A30='Données projet'!$A$114,'Données projet'!$B$114,BY29+BX30-CG29)))</f>
        <v>128.79999999999998</v>
      </c>
      <c r="BZ30" s="14">
        <f>BY30*VLOOKUP('Données projet'!$B$12,Paramètres!$A$1:$I$89,3,0)*VLOOKUP('Données projet'!$B$12,Paramètres!$A$1:$I$89,5,0)</f>
        <v>112.51968000000001</v>
      </c>
      <c r="CA30" s="14">
        <f t="shared" si="39"/>
        <v>29.923856072189899</v>
      </c>
      <c r="CB30" s="22">
        <f t="shared" si="10"/>
        <v>248.08915865906408</v>
      </c>
      <c r="CC30" s="62">
        <f t="shared" si="11"/>
        <v>541.42249199239745</v>
      </c>
      <c r="CD30" s="62">
        <f ca="1">AVERAGE(OFFSET($CC$3,0,0,'Données projet'!$E$12+1,1))-AVERAGE(OFFSET($H$3,0,0,'Données projet'!$E$12+1,1))</f>
        <v>236.12531905695994</v>
      </c>
      <c r="CE30" s="62">
        <f t="shared" si="40"/>
        <v>270.64539221029258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13.8</v>
      </c>
      <c r="BD31" s="13">
        <f>IF('Données projet'!$A$88&gt;35,BD30+BC31-BL30,IF(A31&lt;'Données projet'!$A$88,$BA$205^A31,IF(A31='Données projet'!$A$88,'Données projet'!$B$88,BD30+BC31-BL30)))</f>
        <v>209.40000000000003</v>
      </c>
      <c r="BE31" s="14">
        <f>BD31*VLOOKUP('Données projet'!$B$11,Paramètres!$A$1:$I$89,3,0)*VLOOKUP('Données projet'!$B$11,Paramètres!$A$1:$I$89,5,0)</f>
        <v>125.22120000000004</v>
      </c>
      <c r="BF31" s="14">
        <f t="shared" si="37"/>
        <v>32.889723553463881</v>
      </c>
      <c r="BG31" s="22">
        <f t="shared" si="7"/>
        <v>275.37652518894964</v>
      </c>
      <c r="BH31" s="62">
        <f t="shared" si="8"/>
        <v>568.70985852228296</v>
      </c>
      <c r="BI31" s="62">
        <f ca="1">AVERAGE(OFFSET($BH$3,0,0,'Données projet'!$E$11+1,1))-AVERAGE(OFFSET($H$3,0,0,'Données projet'!$E$11+1,1))</f>
        <v>157.98488572680344</v>
      </c>
      <c r="BJ31" s="62">
        <f t="shared" si="38"/>
        <v>269.20989374735825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10.850356598939982</v>
      </c>
      <c r="BQ31" s="23">
        <f>EXP(-LN(2)/25)*BQ30+(1-EXP(-LN(2)/25))/(LN(2)/25)*Calculateur!BL31*Calculateur!BN31*VLOOKUP('Données projet'!$B$11,Paramètres!$A$1:$I$89,3,0)*0.475*44/12</f>
        <v>3.5336932918522415</v>
      </c>
      <c r="BR31" s="23">
        <f>EXP(-LN(2)/2)*BR30+(1-EXP(-LN(2)/2))/(LN(2)/2)*BL31*BO31*VLOOKUP('Données projet'!$B$11,Paramètres!$A$1:$I$89,3,0)*0.475*44/12</f>
        <v>6.0645966877800319</v>
      </c>
      <c r="BS31" s="24">
        <f t="shared" si="9"/>
        <v>20.448646578572255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11.4</v>
      </c>
      <c r="BY31" s="13">
        <f>IF('Données projet'!$A$114&gt;35,BY30+BX31-CG30,IF(A31&lt;'Données projet'!$A$114,$BV$205^A31,IF(A31='Données projet'!$A$114,'Données projet'!$B$114,BY30+BX31-CG30)))</f>
        <v>140.19999999999999</v>
      </c>
      <c r="BZ31" s="14">
        <f>BY31*VLOOKUP('Données projet'!$B$12,Paramètres!$A$1:$I$89,3,0)*VLOOKUP('Données projet'!$B$12,Paramètres!$A$1:$I$89,5,0)</f>
        <v>122.47872000000001</v>
      </c>
      <c r="CA31" s="14">
        <f t="shared" si="39"/>
        <v>32.252430308904003</v>
      </c>
      <c r="CB31" s="22">
        <f t="shared" si="10"/>
        <v>269.49008678800777</v>
      </c>
      <c r="CC31" s="62">
        <f t="shared" si="11"/>
        <v>562.82342012134109</v>
      </c>
      <c r="CD31" s="62">
        <f ca="1">AVERAGE(OFFSET($CC$3,0,0,'Données projet'!$E$12+1,1))-AVERAGE(OFFSET($H$3,0,0,'Données projet'!$E$12+1,1))</f>
        <v>236.12531905695994</v>
      </c>
      <c r="CE31" s="62">
        <f t="shared" si="40"/>
        <v>270.64539221029258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13.8</v>
      </c>
      <c r="BD32" s="13">
        <f>IF('Données projet'!$A$88&gt;35,BD31+BC32-BL31,IF(A32&lt;'Données projet'!$A$88,$BA$205^A32,IF(A32='Données projet'!$A$88,'Données projet'!$B$88,BD31+BC32-BL31)))</f>
        <v>223.20000000000005</v>
      </c>
      <c r="BE32" s="14">
        <f>BD32*VLOOKUP('Données projet'!$B$11,Paramètres!$A$1:$I$89,3,0)*VLOOKUP('Données projet'!$B$11,Paramètres!$A$1:$I$89,5,0)</f>
        <v>133.47360000000003</v>
      </c>
      <c r="BF32" s="14">
        <f t="shared" si="37"/>
        <v>34.79777034418013</v>
      </c>
      <c r="BG32" s="22">
        <f t="shared" si="7"/>
        <v>293.0726366827804</v>
      </c>
      <c r="BH32" s="62">
        <f t="shared" si="8"/>
        <v>586.40597001611377</v>
      </c>
      <c r="BI32" s="62">
        <f ca="1">AVERAGE(OFFSET($BH$3,0,0,'Données projet'!$E$11+1,1))-AVERAGE(OFFSET($H$3,0,0,'Données projet'!$E$11+1,1))</f>
        <v>157.98488572680344</v>
      </c>
      <c r="BJ32" s="62">
        <f t="shared" si="38"/>
        <v>269.20989374735825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10.637587724098815</v>
      </c>
      <c r="BQ32" s="23">
        <f>EXP(-LN(2)/25)*BQ31+(1-EXP(-LN(2)/25))/(LN(2)/25)*Calculateur!BL32*Calculateur!BN32*VLOOKUP('Données projet'!$B$11,Paramètres!$A$1:$I$89,3,0)*0.475*44/12</f>
        <v>3.437064262957688</v>
      </c>
      <c r="BR32" s="23">
        <f>EXP(-LN(2)/2)*BR31+(1-EXP(-LN(2)/2))/(LN(2)/2)*BL32*BO32*VLOOKUP('Données projet'!$B$11,Paramètres!$A$1:$I$89,3,0)*0.475*44/12</f>
        <v>4.2883174430907358</v>
      </c>
      <c r="BS32" s="24">
        <f t="shared" si="9"/>
        <v>18.362969430147238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11.4</v>
      </c>
      <c r="BY32" s="13">
        <f>IF('Données projet'!$A$114&gt;35,BY31+BX32-CG31,IF(A32&lt;'Données projet'!$A$114,$BV$205^A32,IF(A32='Données projet'!$A$114,'Données projet'!$B$114,BY31+BX32-CG31)))</f>
        <v>151.6</v>
      </c>
      <c r="BZ32" s="14">
        <f>BY32*VLOOKUP('Données projet'!$B$12,Paramètres!$A$1:$I$89,3,0)*VLOOKUP('Données projet'!$B$12,Paramètres!$A$1:$I$89,5,0)</f>
        <v>132.43776</v>
      </c>
      <c r="CA32" s="14">
        <f t="shared" si="39"/>
        <v>34.559043580858436</v>
      </c>
      <c r="CB32" s="22">
        <f t="shared" si="10"/>
        <v>290.85276623666175</v>
      </c>
      <c r="CC32" s="62">
        <f t="shared" si="11"/>
        <v>584.18609956999512</v>
      </c>
      <c r="CD32" s="62">
        <f ca="1">AVERAGE(OFFSET($CC$3,0,0,'Données projet'!$E$12+1,1))-AVERAGE(OFFSET($H$3,0,0,'Données projet'!$E$12+1,1))</f>
        <v>236.12531905695994</v>
      </c>
      <c r="CE32" s="62">
        <f t="shared" si="40"/>
        <v>270.64539221029258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237</v>
      </c>
      <c r="BB33" s="13">
        <f>VLOOKUP(A33,'Données projet'!$A$87:$I$107,9,0)</f>
        <v>13.8</v>
      </c>
      <c r="BC33" s="13">
        <f t="array" ref="BC33">INDEX(BB:BB,MIN(IF(ISNUMBER(BB33:BB229),ROW(BB33:BB229),"")))</f>
        <v>13.8</v>
      </c>
      <c r="BD33" s="13">
        <f>IF('Données projet'!$A$88&gt;35,BD32+BC33-BL32,IF(A33&lt;'Données projet'!$A$88,$BA$205^A33,IF(A33='Données projet'!$A$88,'Données projet'!$B$88,BD32+BC33-BL32)))</f>
        <v>237.00000000000006</v>
      </c>
      <c r="BE33" s="14">
        <f>BD33*VLOOKUP('Données projet'!$B$11,Paramètres!$A$1:$I$89,3,0)*VLOOKUP('Données projet'!$B$11,Paramètres!$A$1:$I$89,5,0)</f>
        <v>141.72600000000003</v>
      </c>
      <c r="BF33" s="14">
        <f t="shared" si="37"/>
        <v>36.692125440686915</v>
      </c>
      <c r="BG33" s="22">
        <f t="shared" si="7"/>
        <v>310.74490180919639</v>
      </c>
      <c r="BH33" s="62">
        <f t="shared" si="8"/>
        <v>604.07823514252971</v>
      </c>
      <c r="BI33" s="62">
        <f ca="1">AVERAGE(OFFSET($BH$3,0,0,'Données projet'!$E$11+1,1))-AVERAGE(OFFSET($H$3,0,0,'Données projet'!$E$11+1,1))</f>
        <v>157.98488572680344</v>
      </c>
      <c r="BJ33" s="62">
        <f t="shared" si="38"/>
        <v>269.20989374735825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10.428991117117084</v>
      </c>
      <c r="BQ33" s="23">
        <f>EXP(-LN(2)/25)*BQ32+(1-EXP(-LN(2)/25))/(LN(2)/25)*Calculateur!BL33*Calculateur!BN33*VLOOKUP('Données projet'!$B$11,Paramètres!$A$1:$I$89,3,0)*0.475*44/12</f>
        <v>3.343077559939756</v>
      </c>
      <c r="BR33" s="23">
        <f>EXP(-LN(2)/2)*BR32+(1-EXP(-LN(2)/2))/(LN(2)/2)*BL33*BO33*VLOOKUP('Données projet'!$B$11,Paramètres!$A$1:$I$89,3,0)*0.475*44/12</f>
        <v>3.032298343890016</v>
      </c>
      <c r="BS33" s="24">
        <f t="shared" si="9"/>
        <v>16.804367020946856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163</v>
      </c>
      <c r="BW33" s="13">
        <f>VLOOKUP(A33,'Données projet'!$A$113:$I$133,9,0)</f>
        <v>11.4</v>
      </c>
      <c r="BX33" s="13">
        <f t="array" ref="BX33">INDEX(BW:BW,MIN(IF(ISNUMBER(BW33:BW229),ROW(BW33:BW229),"")))</f>
        <v>11.4</v>
      </c>
      <c r="BY33" s="13">
        <f>IF('Données projet'!$A$114&gt;35,BY32+BX33-CG32,IF(A33&lt;'Données projet'!$A$114,$BV$205^A33,IF(A33='Données projet'!$A$114,'Données projet'!$B$114,BY32+BX33-CG32)))</f>
        <v>163</v>
      </c>
      <c r="BZ33" s="14">
        <f>BY33*VLOOKUP('Données projet'!$B$12,Paramètres!$A$1:$I$89,3,0)*VLOOKUP('Données projet'!$B$12,Paramètres!$A$1:$I$89,5,0)</f>
        <v>142.39680000000004</v>
      </c>
      <c r="CA33" s="14">
        <f t="shared" si="39"/>
        <v>36.845535084476985</v>
      </c>
      <c r="CB33" s="22">
        <f t="shared" si="10"/>
        <v>312.18040027213078</v>
      </c>
      <c r="CC33" s="62">
        <f t="shared" si="11"/>
        <v>605.51373360546404</v>
      </c>
      <c r="CD33" s="62">
        <f ca="1">AVERAGE(OFFSET($CC$3,0,0,'Données projet'!$E$12+1,1))-AVERAGE(OFFSET($H$3,0,0,'Données projet'!$E$12+1,1))</f>
        <v>236.12531905695994</v>
      </c>
      <c r="CE33" s="62">
        <f t="shared" si="40"/>
        <v>270.64539221029258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37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12.625</v>
      </c>
      <c r="BD34" s="13">
        <f>IF('Données projet'!$A$88&gt;35,BD33+BC34-BL33,IF(A34&lt;'Données projet'!$A$88,$BA$205^A34,IF(A34='Données projet'!$A$88,'Données projet'!$B$88,BD33+BC34-BL33)))</f>
        <v>249.62500000000006</v>
      </c>
      <c r="BE34" s="14">
        <f>BD34*VLOOKUP('Données projet'!$B$11,Paramètres!$A$1:$I$89,3,0)*VLOOKUP('Données projet'!$B$11,Paramètres!$A$1:$I$89,5,0)</f>
        <v>149.27575000000004</v>
      </c>
      <c r="BF34" s="14">
        <f t="shared" si="37"/>
        <v>38.413950875340568</v>
      </c>
      <c r="BG34" s="22">
        <f t="shared" si="7"/>
        <v>326.89289569121826</v>
      </c>
      <c r="BH34" s="62">
        <f t="shared" si="8"/>
        <v>620.22622902455157</v>
      </c>
      <c r="BI34" s="62">
        <f ca="1">AVERAGE(OFFSET($BH$3,0,0,'Données projet'!$E$11+1,1))-AVERAGE(OFFSET($H$3,0,0,'Données projet'!$E$11+1,1))</f>
        <v>157.98488572680344</v>
      </c>
      <c r="BJ34" s="62">
        <f t="shared" si="38"/>
        <v>269.20989374735825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10.224484962366898</v>
      </c>
      <c r="BQ34" s="23">
        <f>EXP(-LN(2)/25)*BQ33+(1-EXP(-LN(2)/25))/(LN(2)/25)*Calculateur!BL34*Calculateur!BN34*VLOOKUP('Données projet'!$B$11,Paramètres!$A$1:$I$89,3,0)*0.475*44/12</f>
        <v>3.2516609282583953</v>
      </c>
      <c r="BR34" s="23">
        <f>EXP(-LN(2)/2)*BR33+(1-EXP(-LN(2)/2))/(LN(2)/2)*BL34*BO34*VLOOKUP('Données projet'!$B$11,Paramètres!$A$1:$I$89,3,0)*0.475*44/12</f>
        <v>2.1441587215453679</v>
      </c>
      <c r="BS34" s="24">
        <f t="shared" si="9"/>
        <v>15.620304612170662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IF('Données projet'!$A$114&gt;35,BY33+BX34-CG33,IF(A34&lt;'Données projet'!$A$114,$BV$205^A34,IF(A34='Données projet'!$A$114,'Données projet'!$B$114,BY33+BX34-CG33)))</f>
        <v>136.6</v>
      </c>
      <c r="BZ34" s="14">
        <f>BY34*VLOOKUP('Données projet'!$B$12,Paramètres!$A$1:$I$89,3,0)*VLOOKUP('Données projet'!$B$12,Paramètres!$A$1:$I$89,5,0)</f>
        <v>119.33376000000001</v>
      </c>
      <c r="CA34" s="14">
        <f t="shared" si="39"/>
        <v>31.519559440518702</v>
      </c>
      <c r="CB34" s="22">
        <f t="shared" si="10"/>
        <v>262.7361980255701</v>
      </c>
      <c r="CC34" s="62">
        <f t="shared" si="11"/>
        <v>556.06953135890342</v>
      </c>
      <c r="CD34" s="62">
        <f ca="1">AVERAGE(OFFSET($CC$3,0,0,'Données projet'!$E$12+1,1))-AVERAGE(OFFSET($H$3,0,0,'Données projet'!$E$12+1,1))</f>
        <v>236.12531905695994</v>
      </c>
      <c r="CE34" s="62">
        <f t="shared" si="40"/>
        <v>270.64539221029258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12.625</v>
      </c>
      <c r="BD35" s="13">
        <f>IF('Données projet'!$A$88&gt;35,BD34+BC35-BL34,IF(A35&lt;'Données projet'!$A$88,$BA$205^A35,IF(A35='Données projet'!$A$88,'Données projet'!$B$88,BD34+BC35-BL34)))</f>
        <v>262.25000000000006</v>
      </c>
      <c r="BE35" s="14">
        <f>BD35*VLOOKUP('Données projet'!$B$11,Paramètres!$A$1:$I$89,3,0)*VLOOKUP('Données projet'!$B$11,Paramètres!$A$1:$I$89,5,0)</f>
        <v>156.82550000000006</v>
      </c>
      <c r="BF35" s="14">
        <f t="shared" si="37"/>
        <v>40.12566509846944</v>
      </c>
      <c r="BG35" s="22">
        <f t="shared" si="7"/>
        <v>343.02327921316777</v>
      </c>
      <c r="BH35" s="62">
        <f t="shared" si="8"/>
        <v>636.35661254650108</v>
      </c>
      <c r="BI35" s="62">
        <f ca="1">AVERAGE(OFFSET($BH$3,0,0,'Données projet'!$E$11+1,1))-AVERAGE(OFFSET($H$3,0,0,'Données projet'!$E$11+1,1))</f>
        <v>157.98488572680344</v>
      </c>
      <c r="BJ35" s="62">
        <f t="shared" si="38"/>
        <v>269.20989374735825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10.023989048574924</v>
      </c>
      <c r="BQ35" s="23">
        <f>EXP(-LN(2)/25)*BQ34+(1-EXP(-LN(2)/25))/(LN(2)/25)*Calculateur!BL35*Calculateur!BN35*VLOOKUP('Données projet'!$B$11,Paramètres!$A$1:$I$89,3,0)*0.475*44/12</f>
        <v>3.1627440891777532</v>
      </c>
      <c r="BR35" s="23">
        <f>EXP(-LN(2)/2)*BR34+(1-EXP(-LN(2)/2))/(LN(2)/2)*BL35*BO35*VLOOKUP('Données projet'!$B$11,Paramètres!$A$1:$I$89,3,0)*0.475*44/12</f>
        <v>1.516149171945008</v>
      </c>
      <c r="BS35" s="24">
        <f t="shared" si="9"/>
        <v>14.702882309697685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IF('Données projet'!$A$114&gt;35,BY34+BX35-CG34,IF(A35&lt;'Données projet'!$A$114,$BV$205^A35,IF(A35='Données projet'!$A$114,'Données projet'!$B$114,BY34+BX35-CG34)))</f>
        <v>147.19999999999999</v>
      </c>
      <c r="BZ35" s="14">
        <f>BY35*VLOOKUP('Données projet'!$B$12,Paramètres!$A$1:$I$89,3,0)*VLOOKUP('Données projet'!$B$12,Paramètres!$A$1:$I$89,5,0)</f>
        <v>128.59392</v>
      </c>
      <c r="CA35" s="14">
        <f t="shared" si="39"/>
        <v>33.671250175837564</v>
      </c>
      <c r="CB35" s="22">
        <f t="shared" si="10"/>
        <v>282.61183805625041</v>
      </c>
      <c r="CC35" s="62">
        <f t="shared" si="11"/>
        <v>575.94517138958372</v>
      </c>
      <c r="CD35" s="62">
        <f ca="1">AVERAGE(OFFSET($CC$3,0,0,'Données projet'!$E$12+1,1))-AVERAGE(OFFSET($H$3,0,0,'Données projet'!$E$12+1,1))</f>
        <v>236.12531905695994</v>
      </c>
      <c r="CE35" s="62">
        <f t="shared" si="40"/>
        <v>270.64539221029258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12.625</v>
      </c>
      <c r="BD36" s="13">
        <f>IF('Données projet'!$A$88&gt;35,BD35+BC36-BL35,IF(A36&lt;'Données projet'!$A$88,$BA$205^A36,IF(A36='Données projet'!$A$88,'Données projet'!$B$88,BD35+BC36-BL35)))</f>
        <v>274.87500000000006</v>
      </c>
      <c r="BE36" s="14">
        <f>BD36*VLOOKUP('Données projet'!$B$11,Paramètres!$A$1:$I$89,3,0)*VLOOKUP('Données projet'!$B$11,Paramètres!$A$1:$I$89,5,0)</f>
        <v>164.37525000000005</v>
      </c>
      <c r="BF36" s="14">
        <f t="shared" si="37"/>
        <v>41.827810443115574</v>
      </c>
      <c r="BG36" s="22">
        <f t="shared" si="7"/>
        <v>359.13699693842636</v>
      </c>
      <c r="BH36" s="62">
        <f t="shared" si="8"/>
        <v>652.47033027175962</v>
      </c>
      <c r="BI36" s="62">
        <f ca="1">AVERAGE(OFFSET($BH$3,0,0,'Données projet'!$E$11+1,1))-AVERAGE(OFFSET($H$3,0,0,'Données projet'!$E$11+1,1))</f>
        <v>157.98488572680344</v>
      </c>
      <c r="BJ36" s="62">
        <f t="shared" si="38"/>
        <v>269.20989374735825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9.8274247373619783</v>
      </c>
      <c r="BQ36" s="23">
        <f>EXP(-LN(2)/25)*BQ35+(1-EXP(-LN(2)/25))/(LN(2)/25)*Calculateur!BL36*Calculateur!BN36*VLOOKUP('Données projet'!$B$11,Paramètres!$A$1:$I$89,3,0)*0.475*44/12</f>
        <v>3.0762586857377046</v>
      </c>
      <c r="BR36" s="23">
        <f>EXP(-LN(2)/2)*BR35+(1-EXP(-LN(2)/2))/(LN(2)/2)*BL36*BO36*VLOOKUP('Données projet'!$B$11,Paramètres!$A$1:$I$89,3,0)*0.475*44/12</f>
        <v>1.072079360772684</v>
      </c>
      <c r="BS36" s="24">
        <f t="shared" si="9"/>
        <v>13.975762783872366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IF('Données projet'!$A$114&gt;35,BY35+BX36-CG35,IF(A36&lt;'Données projet'!$A$114,$BV$205^A36,IF(A36='Données projet'!$A$114,'Données projet'!$B$114,BY35+BX36-CG35)))</f>
        <v>157.79999999999998</v>
      </c>
      <c r="BZ36" s="14">
        <f>BY36*VLOOKUP('Données projet'!$B$12,Paramètres!$A$1:$I$89,3,0)*VLOOKUP('Données projet'!$B$12,Paramètres!$A$1:$I$89,5,0)</f>
        <v>137.85408000000001</v>
      </c>
      <c r="CA36" s="14">
        <f t="shared" si="39"/>
        <v>35.804964283629964</v>
      </c>
      <c r="CB36" s="22">
        <f t="shared" si="10"/>
        <v>302.45616879398887</v>
      </c>
      <c r="CC36" s="62">
        <f t="shared" si="11"/>
        <v>595.78950212732218</v>
      </c>
      <c r="CD36" s="62">
        <f ca="1">AVERAGE(OFFSET($CC$3,0,0,'Données projet'!$E$12+1,1))-AVERAGE(OFFSET($H$3,0,0,'Données projet'!$E$12+1,1))</f>
        <v>236.12531905695994</v>
      </c>
      <c r="CE36" s="62">
        <f t="shared" si="40"/>
        <v>270.64539221029258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12.625</v>
      </c>
      <c r="BD37" s="13">
        <f>IF('Données projet'!$A$88&gt;35,BD36+BC37-BL36,IF(A37&lt;'Données projet'!$A$88,$BA$205^A37,IF(A37='Données projet'!$A$88,'Données projet'!$B$88,BD36+BC37-BL36)))</f>
        <v>287.50000000000006</v>
      </c>
      <c r="BE37" s="14">
        <f>BD37*VLOOKUP('Données projet'!$B$11,Paramètres!$A$1:$I$89,3,0)*VLOOKUP('Données projet'!$B$11,Paramètres!$A$1:$I$89,5,0)</f>
        <v>171.92500000000004</v>
      </c>
      <c r="BF37" s="14">
        <f t="shared" si="37"/>
        <v>43.520876607827979</v>
      </c>
      <c r="BG37" s="22">
        <f t="shared" si="7"/>
        <v>375.23490175863373</v>
      </c>
      <c r="BH37" s="62">
        <f t="shared" si="8"/>
        <v>668.56823509196704</v>
      </c>
      <c r="BI37" s="62">
        <f ca="1">AVERAGE(OFFSET($BH$3,0,0,'Données projet'!$E$11+1,1))-AVERAGE(OFFSET($H$3,0,0,'Données projet'!$E$11+1,1))</f>
        <v>157.98488572680344</v>
      </c>
      <c r="BJ37" s="62">
        <f t="shared" si="38"/>
        <v>269.20989374735825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9.6347149323995271</v>
      </c>
      <c r="BQ37" s="23">
        <f>EXP(-LN(2)/25)*BQ36+(1-EXP(-LN(2)/25))/(LN(2)/25)*Calculateur!BL37*Calculateur!BN37*VLOOKUP('Données projet'!$B$11,Paramètres!$A$1:$I$89,3,0)*0.475*44/12</f>
        <v>2.9921382302027935</v>
      </c>
      <c r="BR37" s="23">
        <f>EXP(-LN(2)/2)*BR36+(1-EXP(-LN(2)/2))/(LN(2)/2)*BL37*BO37*VLOOKUP('Données projet'!$B$11,Paramètres!$A$1:$I$89,3,0)*0.475*44/12</f>
        <v>0.75807458597250399</v>
      </c>
      <c r="BS37" s="24">
        <f t="shared" si="9"/>
        <v>13.384927748574825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IF('Données projet'!$A$114&gt;35,BY36+BX37-CG36,IF(A37&lt;'Données projet'!$A$114,$BV$205^A37,IF(A37='Données projet'!$A$114,'Données projet'!$B$114,BY36+BX37-CG36)))</f>
        <v>168.39999999999998</v>
      </c>
      <c r="BZ37" s="14">
        <f>BY37*VLOOKUP('Données projet'!$B$12,Paramètres!$A$1:$I$89,3,0)*VLOOKUP('Données projet'!$B$12,Paramètres!$A$1:$I$89,5,0)</f>
        <v>147.11424</v>
      </c>
      <c r="CA37" s="14">
        <f t="shared" si="39"/>
        <v>37.922046712608186</v>
      </c>
      <c r="CB37" s="22">
        <f t="shared" si="10"/>
        <v>322.27153269112591</v>
      </c>
      <c r="CC37" s="62">
        <f t="shared" si="11"/>
        <v>615.60486602445917</v>
      </c>
      <c r="CD37" s="62">
        <f ca="1">AVERAGE(OFFSET($CC$3,0,0,'Données projet'!$E$12+1,1))-AVERAGE(OFFSET($H$3,0,0,'Données projet'!$E$12+1,1))</f>
        <v>236.12531905695994</v>
      </c>
      <c r="CE37" s="62">
        <f t="shared" si="40"/>
        <v>270.64539221029258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12.625</v>
      </c>
      <c r="BD38" s="13">
        <f>IF('Données projet'!$A$88&gt;35,BD37+BC38-BL37,IF(A38&lt;'Données projet'!$A$88,$BA$205^A38,IF(A38='Données projet'!$A$88,'Données projet'!$B$88,BD37+BC38-BL37)))</f>
        <v>300.12500000000006</v>
      </c>
      <c r="BE38" s="14">
        <f>BD38*VLOOKUP('Données projet'!$B$11,Paramètres!$A$1:$I$89,3,0)*VLOOKUP('Données projet'!$B$11,Paramètres!$A$1:$I$89,5,0)</f>
        <v>179.47475000000006</v>
      </c>
      <c r="BF38" s="14">
        <f t="shared" si="37"/>
        <v>45.205307850969106</v>
      </c>
      <c r="BG38" s="22">
        <f t="shared" si="7"/>
        <v>391.31776742377127</v>
      </c>
      <c r="BH38" s="62">
        <f t="shared" si="8"/>
        <v>684.65110075710459</v>
      </c>
      <c r="BI38" s="62">
        <f ca="1">AVERAGE(OFFSET($BH$3,0,0,'Données projet'!$E$11+1,1))-AVERAGE(OFFSET($H$3,0,0,'Données projet'!$E$11+1,1))</f>
        <v>157.98488572680344</v>
      </c>
      <c r="BJ38" s="62">
        <f t="shared" si="38"/>
        <v>269.20989374735825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9.4457840491710154</v>
      </c>
      <c r="BQ38" s="23">
        <f>EXP(-LN(2)/25)*BQ37+(1-EXP(-LN(2)/25))/(LN(2)/25)*Calculateur!BL38*Calculateur!BN38*VLOOKUP('Données projet'!$B$11,Paramètres!$A$1:$I$89,3,0)*0.475*44/12</f>
        <v>2.9103180529481874</v>
      </c>
      <c r="BR38" s="23">
        <f>EXP(-LN(2)/2)*BR37+(1-EXP(-LN(2)/2))/(LN(2)/2)*BL38*BO38*VLOOKUP('Données projet'!$B$11,Paramètres!$A$1:$I$89,3,0)*0.475*44/12</f>
        <v>0.53603968038634198</v>
      </c>
      <c r="BS38" s="24">
        <f t="shared" si="9"/>
        <v>12.892141782505544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179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IF('Données projet'!$A$114&gt;35,BY37+BX38-CG37,IF(A38&lt;'Données projet'!$A$114,$BV$205^A38,IF(A38='Données projet'!$A$114,'Données projet'!$B$114,BY37+BX38-CG37)))</f>
        <v>178.99999999999997</v>
      </c>
      <c r="BZ38" s="14">
        <f>BY38*VLOOKUP('Données projet'!$B$12,Paramètres!$A$1:$I$89,3,0)*VLOOKUP('Données projet'!$B$12,Paramètres!$A$1:$I$89,5,0)</f>
        <v>156.37440000000001</v>
      </c>
      <c r="CA38" s="14">
        <f t="shared" si="39"/>
        <v>40.023663524293205</v>
      </c>
      <c r="CB38" s="22">
        <f t="shared" si="10"/>
        <v>342.05996063814399</v>
      </c>
      <c r="CC38" s="62">
        <f t="shared" si="11"/>
        <v>635.39329397147731</v>
      </c>
      <c r="CD38" s="62">
        <f ca="1">AVERAGE(OFFSET($CC$3,0,0,'Données projet'!$E$12+1,1))-AVERAGE(OFFSET($H$3,0,0,'Données projet'!$E$12+1,1))</f>
        <v>236.12531905695994</v>
      </c>
      <c r="CE38" s="62">
        <f t="shared" si="40"/>
        <v>270.64539221029258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36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12.625</v>
      </c>
      <c r="BD39" s="13">
        <f>IF('Données projet'!$A$88&gt;35,BD38+BC39-BL38,IF(A39&lt;'Données projet'!$A$88,$BA$205^A39,IF(A39='Données projet'!$A$88,'Données projet'!$B$88,BD38+BC39-BL38)))</f>
        <v>312.75000000000006</v>
      </c>
      <c r="BE39" s="14">
        <f>BD39*VLOOKUP('Données projet'!$B$11,Paramètres!$A$1:$I$89,3,0)*VLOOKUP('Données projet'!$B$11,Paramètres!$A$1:$I$89,5,0)</f>
        <v>187.02450000000005</v>
      </c>
      <c r="BF39" s="14">
        <f t="shared" si="37"/>
        <v>46.881508940362963</v>
      </c>
      <c r="BG39" s="22">
        <f t="shared" si="7"/>
        <v>407.38629890446555</v>
      </c>
      <c r="BH39" s="62">
        <f t="shared" si="8"/>
        <v>700.71963223779881</v>
      </c>
      <c r="BI39" s="62">
        <f ca="1">AVERAGE(OFFSET($BH$3,0,0,'Données projet'!$E$11+1,1))-AVERAGE(OFFSET($H$3,0,0,'Données projet'!$E$11+1,1))</f>
        <v>157.98488572680344</v>
      </c>
      <c r="BJ39" s="62">
        <f t="shared" si="38"/>
        <v>269.20989374735825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9.2605579853261553</v>
      </c>
      <c r="BQ39" s="23">
        <f>EXP(-LN(2)/25)*BQ38+(1-EXP(-LN(2)/25))/(LN(2)/25)*Calculateur!BL39*Calculateur!BN39*VLOOKUP('Données projet'!$B$11,Paramètres!$A$1:$I$89,3,0)*0.475*44/12</f>
        <v>2.8307352527433443</v>
      </c>
      <c r="BR39" s="23">
        <f>EXP(-LN(2)/2)*BR38+(1-EXP(-LN(2)/2))/(LN(2)/2)*BL39*BO39*VLOOKUP('Données projet'!$B$11,Paramètres!$A$1:$I$89,3,0)*0.475*44/12</f>
        <v>0.37903729298625199</v>
      </c>
      <c r="BS39" s="24">
        <f t="shared" si="9"/>
        <v>12.470330531055753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152.59999999999997</v>
      </c>
      <c r="BZ39" s="14">
        <f>BY39*VLOOKUP('Données projet'!$B$12,Paramètres!$A$1:$I$89,3,0)*VLOOKUP('Données projet'!$B$12,Paramètres!$A$1:$I$89,5,0)</f>
        <v>133.31135999999998</v>
      </c>
      <c r="CA39" s="14">
        <f t="shared" si="39"/>
        <v>34.760393689821633</v>
      </c>
      <c r="CB39" s="22">
        <f t="shared" si="10"/>
        <v>292.72497100977256</v>
      </c>
      <c r="CC39" s="62">
        <f t="shared" si="11"/>
        <v>586.05830434310587</v>
      </c>
      <c r="CD39" s="62">
        <f ca="1">AVERAGE(OFFSET($CC$3,0,0,'Données projet'!$E$12+1,1))-AVERAGE(OFFSET($H$3,0,0,'Données projet'!$E$12+1,1))</f>
        <v>236.12531905695994</v>
      </c>
      <c r="CE39" s="62">
        <f t="shared" si="40"/>
        <v>270.64539221029258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12.625</v>
      </c>
      <c r="BD40" s="13">
        <f>IF('Données projet'!$A$88&gt;35,BD39+BC40-BL39,IF(A40&lt;'Données projet'!$A$88,$BA$205^A40,IF(A40='Données projet'!$A$88,'Données projet'!$B$88,BD39+BC40-BL39)))</f>
        <v>325.37500000000006</v>
      </c>
      <c r="BE40" s="14">
        <f>BD40*VLOOKUP('Données projet'!$B$11,Paramètres!$A$1:$I$89,3,0)*VLOOKUP('Données projet'!$B$11,Paramètres!$A$1:$I$89,5,0)</f>
        <v>194.57425000000006</v>
      </c>
      <c r="BF40" s="14">
        <f t="shared" si="37"/>
        <v>48.54985011520143</v>
      </c>
      <c r="BG40" s="22">
        <f t="shared" si="7"/>
        <v>423.44114103397595</v>
      </c>
      <c r="BH40" s="62">
        <f t="shared" si="8"/>
        <v>716.77447436730927</v>
      </c>
      <c r="BI40" s="62">
        <f ca="1">AVERAGE(OFFSET($BH$3,0,0,'Données projet'!$E$11+1,1))-AVERAGE(OFFSET($H$3,0,0,'Données projet'!$E$11+1,1))</f>
        <v>157.98488572680344</v>
      </c>
      <c r="BJ40" s="62">
        <f t="shared" si="38"/>
        <v>269.20989374735825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9.0789640916165482</v>
      </c>
      <c r="BQ40" s="23">
        <f>EXP(-LN(2)/25)*BQ39+(1-EXP(-LN(2)/25))/(LN(2)/25)*Calculateur!BL40*Calculateur!BN40*VLOOKUP('Données projet'!$B$11,Paramètres!$A$1:$I$89,3,0)*0.475*44/12</f>
        <v>2.7533286483951804</v>
      </c>
      <c r="BR40" s="23">
        <f>EXP(-LN(2)/2)*BR39+(1-EXP(-LN(2)/2))/(LN(2)/2)*BL40*BO40*VLOOKUP('Données projet'!$B$11,Paramètres!$A$1:$I$89,3,0)*0.475*44/12</f>
        <v>0.26801984019317099</v>
      </c>
      <c r="BS40" s="24">
        <f t="shared" si="9"/>
        <v>12.1003125802049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162.19999999999996</v>
      </c>
      <c r="BZ40" s="14">
        <f>BY40*VLOOKUP('Données projet'!$B$12,Paramètres!$A$1:$I$89,3,0)*VLOOKUP('Données projet'!$B$12,Paramètres!$A$1:$I$89,5,0)</f>
        <v>141.69791999999998</v>
      </c>
      <c r="CA40" s="14">
        <f t="shared" si="39"/>
        <v>36.685701801209362</v>
      </c>
      <c r="CB40" s="22">
        <f t="shared" si="10"/>
        <v>310.68480797043964</v>
      </c>
      <c r="CC40" s="62">
        <f t="shared" si="11"/>
        <v>604.01814130377295</v>
      </c>
      <c r="CD40" s="62">
        <f ca="1">AVERAGE(OFFSET($CC$3,0,0,'Données projet'!$E$12+1,1))-AVERAGE(OFFSET($H$3,0,0,'Données projet'!$E$12+1,1))</f>
        <v>236.12531905695994</v>
      </c>
      <c r="CE40" s="62">
        <f t="shared" si="40"/>
        <v>270.64539221029258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>
        <f>VLOOKUP(A41,'Données projet'!$A$87:$I$107,2,0)</f>
        <v>338</v>
      </c>
      <c r="BB41" s="13">
        <f>VLOOKUP(A41,'Données projet'!$A$87:$I$107,9,0)</f>
        <v>12.625</v>
      </c>
      <c r="BC41" s="13">
        <f t="array" ref="BC41">INDEX(BB:BB,MIN(IF(ISNUMBER(BB41:BB237),ROW(BB41:BB237),"")))</f>
        <v>12.625</v>
      </c>
      <c r="BD41" s="13">
        <f>IF('Données projet'!$A$88&gt;35,BD40+BC41-BL40,IF(A41&lt;'Données projet'!$A$88,$BA$205^A41,IF(A41='Données projet'!$A$88,'Données projet'!$B$88,BD40+BC41-BL40)))</f>
        <v>338.00000000000006</v>
      </c>
      <c r="BE41" s="14">
        <f>BD41*VLOOKUP('Données projet'!$B$11,Paramètres!$A$1:$I$89,3,0)*VLOOKUP('Données projet'!$B$11,Paramètres!$A$1:$I$89,5,0)</f>
        <v>202.12400000000008</v>
      </c>
      <c r="BF41" s="14">
        <f t="shared" si="37"/>
        <v>50.210671256169846</v>
      </c>
      <c r="BG41" s="22">
        <f t="shared" si="7"/>
        <v>439.48288577116256</v>
      </c>
      <c r="BH41" s="62">
        <f t="shared" si="8"/>
        <v>732.81621910449587</v>
      </c>
      <c r="BI41" s="62">
        <f ca="1">AVERAGE(OFFSET($BH$3,0,0,'Données projet'!$E$11+1,1))-AVERAGE(OFFSET($H$3,0,0,'Données projet'!$E$11+1,1))</f>
        <v>157.98488572680344</v>
      </c>
      <c r="BJ41" s="62">
        <f t="shared" si="38"/>
        <v>269.20989374735825</v>
      </c>
      <c r="BK41" s="16">
        <f>IF(ISNA(VLOOKUP(A41,'Données projet'!$A$87:$I$107,3,0)),0,VLOOKUP(A41,'Données projet'!$A$87:$I$107,3,0))</f>
        <v>5</v>
      </c>
      <c r="BL41" s="16">
        <f>IF(ISNA(VLOOKUP(A41,'Données projet'!$A$87:$I$107,4,0)),0,VLOOKUP(A41,'Données projet'!$A$87:$I$107,4,0))</f>
        <v>338</v>
      </c>
      <c r="BM41" s="17">
        <f>IF(ISNA(VLOOKUP(A41,'Données projet'!$A$87:$I$107,5,0)),0%,VLOOKUP(A41,'Données projet'!$A$87:$I$107,5,0)*VLOOKUP('Données projet'!$B$11,Paramètres!$A$1:$I$89,7,0))</f>
        <v>0.315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0.3</v>
      </c>
      <c r="BP41" s="23">
        <f>EXP(-LN(2)/35)*BP40+(1-EXP(-LN(2)/35))/(LN(2)/35)*BL41*BM41*VLOOKUP('Données projet'!$B$11,Paramètres!$A$1:$I$89,3,0)*0.475*44/12</f>
        <v>93.362043050648666</v>
      </c>
      <c r="BQ41" s="23">
        <f>EXP(-LN(2)/25)*BQ40+(1-EXP(-LN(2)/25))/(LN(2)/25)*Calculateur!BL41*Calculateur!BN41*VLOOKUP('Données projet'!$B$11,Paramètres!$A$1:$I$89,3,0)*0.475*44/12</f>
        <v>2.6780387317135532</v>
      </c>
      <c r="BR41" s="23">
        <f>EXP(-LN(2)/2)*BR40+(1-EXP(-LN(2)/2))/(LN(2)/2)*BL41*BO41*VLOOKUP('Données projet'!$B$11,Paramètres!$A$1:$I$89,3,0)*0.475*44/12</f>
        <v>68.844914918064944</v>
      </c>
      <c r="BS41" s="24">
        <f t="shared" si="9"/>
        <v>164.88499670042717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171.79999999999995</v>
      </c>
      <c r="BZ41" s="14">
        <f>BY41*VLOOKUP('Données projet'!$B$12,Paramètres!$A$1:$I$89,3,0)*VLOOKUP('Données projet'!$B$12,Paramètres!$A$1:$I$89,5,0)</f>
        <v>150.08447999999999</v>
      </c>
      <c r="CA41" s="14">
        <f t="shared" si="39"/>
        <v>38.597783374841299</v>
      </c>
      <c r="CB41" s="22">
        <f t="shared" si="10"/>
        <v>328.62160871118186</v>
      </c>
      <c r="CC41" s="62">
        <f t="shared" si="11"/>
        <v>621.95494204451518</v>
      </c>
      <c r="CD41" s="62">
        <f ca="1">AVERAGE(OFFSET($CC$3,0,0,'Données projet'!$E$12+1,1))-AVERAGE(OFFSET($H$3,0,0,'Données projet'!$E$12+1,1))</f>
        <v>236.12531905695994</v>
      </c>
      <c r="CE41" s="62">
        <f t="shared" si="40"/>
        <v>270.64539221029258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5.6843418860808015E-14</v>
      </c>
      <c r="BE42" s="14">
        <f>BD42*VLOOKUP('Données projet'!$B$11,Paramètres!$A$1:$I$89,3,0)*VLOOKUP('Données projet'!$B$11,Paramètres!$A$1:$I$89,5,0)</f>
        <v>3.3992364478763198E-14</v>
      </c>
      <c r="BF42" s="14">
        <f t="shared" si="37"/>
        <v>5.790027782444094E-13</v>
      </c>
      <c r="BG42" s="22">
        <f t="shared" si="7"/>
        <v>1.0676332069095257E-12</v>
      </c>
      <c r="BH42" s="62">
        <f t="shared" si="8"/>
        <v>293.33333333333439</v>
      </c>
      <c r="BI42" s="62">
        <f ca="1">AVERAGE(OFFSET($BH$3,0,0,'Données projet'!$E$11+1,1))-AVERAGE(OFFSET($H$3,0,0,'Données projet'!$E$11+1,1))</f>
        <v>157.98488572680344</v>
      </c>
      <c r="BJ42" s="62">
        <f t="shared" si="38"/>
        <v>269.20989374735825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91.531270331648827</v>
      </c>
      <c r="BQ42" s="23">
        <f>EXP(-LN(2)/25)*BQ41+(1-EXP(-LN(2)/25))/(LN(2)/25)*Calculateur!BL42*Calculateur!BN42*VLOOKUP('Données projet'!$B$11,Paramètres!$A$1:$I$89,3,0)*0.475*44/12</f>
        <v>2.6048076217629101</v>
      </c>
      <c r="BR42" s="23">
        <f>EXP(-LN(2)/2)*BR41+(1-EXP(-LN(2)/2))/(LN(2)/2)*BL42*BO42*VLOOKUP('Données projet'!$B$11,Paramètres!$A$1:$I$89,3,0)*0.475*44/12</f>
        <v>48.680706188774636</v>
      </c>
      <c r="BS42" s="24">
        <f t="shared" si="9"/>
        <v>142.81678414218638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181.39999999999995</v>
      </c>
      <c r="BZ42" s="14">
        <f>BY42*VLOOKUP('Données projet'!$B$12,Paramètres!$A$1:$I$89,3,0)*VLOOKUP('Données projet'!$B$12,Paramètres!$A$1:$I$89,5,0)</f>
        <v>158.47103999999996</v>
      </c>
      <c r="CA42" s="14">
        <f t="shared" si="39"/>
        <v>40.497461727609561</v>
      </c>
      <c r="CB42" s="22">
        <f t="shared" si="10"/>
        <v>346.53680717558655</v>
      </c>
      <c r="CC42" s="62">
        <f t="shared" si="11"/>
        <v>639.8701405089198</v>
      </c>
      <c r="CD42" s="62">
        <f ca="1">AVERAGE(OFFSET($CC$3,0,0,'Données projet'!$E$12+1,1))-AVERAGE(OFFSET($H$3,0,0,'Données projet'!$E$12+1,1))</f>
        <v>236.12531905695994</v>
      </c>
      <c r="CE42" s="62">
        <f t="shared" si="40"/>
        <v>270.64539221029258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5.6843418860808015E-14</v>
      </c>
      <c r="BE43" s="14">
        <f>BD43*VLOOKUP('Données projet'!$B$11,Paramètres!$A$1:$I$89,3,0)*VLOOKUP('Données projet'!$B$11,Paramètres!$A$1:$I$89,5,0)</f>
        <v>3.3992364478763198E-14</v>
      </c>
      <c r="BF43" s="14">
        <f t="shared" si="37"/>
        <v>5.790027782444094E-13</v>
      </c>
      <c r="BG43" s="22">
        <f t="shared" si="7"/>
        <v>1.0676332069095257E-12</v>
      </c>
      <c r="BH43" s="62">
        <f t="shared" si="8"/>
        <v>293.33333333333439</v>
      </c>
      <c r="BI43" s="62">
        <f ca="1">AVERAGE(OFFSET($BH$3,0,0,'Données projet'!$E$11+1,1))-AVERAGE(OFFSET($H$3,0,0,'Données projet'!$E$11+1,1))</f>
        <v>157.98488572680344</v>
      </c>
      <c r="BJ43" s="62">
        <f t="shared" si="38"/>
        <v>269.20989374735825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89.736397949007483</v>
      </c>
      <c r="BQ43" s="23">
        <f>EXP(-LN(2)/25)*BQ42+(1-EXP(-LN(2)/25))/(LN(2)/25)*Calculateur!BL43*Calculateur!BN43*VLOOKUP('Données projet'!$B$11,Paramètres!$A$1:$I$89,3,0)*0.475*44/12</f>
        <v>2.533579020364924</v>
      </c>
      <c r="BR43" s="23">
        <f>EXP(-LN(2)/2)*BR42+(1-EXP(-LN(2)/2))/(LN(2)/2)*BL43*BO43*VLOOKUP('Données projet'!$B$11,Paramètres!$A$1:$I$89,3,0)*0.475*44/12</f>
        <v>34.422457459032479</v>
      </c>
      <c r="BS43" s="24">
        <f t="shared" si="9"/>
        <v>126.69243442840488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191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190.99999999999994</v>
      </c>
      <c r="BZ43" s="14">
        <f>BY43*VLOOKUP('Données projet'!$B$12,Paramètres!$A$1:$I$89,3,0)*VLOOKUP('Données projet'!$B$12,Paramètres!$A$1:$I$89,5,0)</f>
        <v>166.85759999999996</v>
      </c>
      <c r="CA43" s="14">
        <f t="shared" si="39"/>
        <v>42.385468111966098</v>
      </c>
      <c r="CB43" s="22">
        <f t="shared" si="10"/>
        <v>364.43167696167421</v>
      </c>
      <c r="CC43" s="62">
        <f t="shared" si="11"/>
        <v>657.76501029500753</v>
      </c>
      <c r="CD43" s="62">
        <f ca="1">AVERAGE(OFFSET($CC$3,0,0,'Données projet'!$E$12+1,1))-AVERAGE(OFFSET($H$3,0,0,'Données projet'!$E$12+1,1))</f>
        <v>236.12531905695994</v>
      </c>
      <c r="CE43" s="62">
        <f t="shared" si="40"/>
        <v>270.64539221029258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33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5.6843418860808015E-14</v>
      </c>
      <c r="BE44" s="14">
        <f>BD44*VLOOKUP('Données projet'!$B$11,Paramètres!$A$1:$I$89,3,0)*VLOOKUP('Données projet'!$B$11,Paramètres!$A$1:$I$89,5,0)</f>
        <v>3.3992364478763198E-14</v>
      </c>
      <c r="BF44" s="14">
        <f t="shared" si="37"/>
        <v>5.790027782444094E-13</v>
      </c>
      <c r="BG44" s="22">
        <f t="shared" si="7"/>
        <v>1.0676332069095257E-12</v>
      </c>
      <c r="BH44" s="62">
        <f t="shared" si="8"/>
        <v>293.33333333333439</v>
      </c>
      <c r="BI44" s="62">
        <f ca="1">AVERAGE(OFFSET($BH$3,0,0,'Données projet'!$E$11+1,1))-AVERAGE(OFFSET($H$3,0,0,'Données projet'!$E$11+1,1))</f>
        <v>157.98488572680344</v>
      </c>
      <c r="BJ44" s="62">
        <f t="shared" si="38"/>
        <v>269.20989374735825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87.976721919025678</v>
      </c>
      <c r="BQ44" s="23">
        <f>EXP(-LN(2)/25)*BQ43+(1-EXP(-LN(2)/25))/(LN(2)/25)*Calculateur!BL44*Calculateur!BN44*VLOOKUP('Données projet'!$B$11,Paramètres!$A$1:$I$89,3,0)*0.475*44/12</f>
        <v>2.4642981688179151</v>
      </c>
      <c r="BR44" s="23">
        <f>EXP(-LN(2)/2)*BR43+(1-EXP(-LN(2)/2))/(LN(2)/2)*BL44*BO44*VLOOKUP('Données projet'!$B$11,Paramètres!$A$1:$I$89,3,0)*0.475*44/12</f>
        <v>24.340353094387321</v>
      </c>
      <c r="BS44" s="24">
        <f t="shared" si="9"/>
        <v>114.78137318223092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8.6</v>
      </c>
      <c r="BY44" s="13">
        <f>IF('Données projet'!$A$114&gt;35,BY43+BX44-CG43,IF(A44&lt;'Données projet'!$A$114,$BV$205^A44,IF(A44='Données projet'!$A$114,'Données projet'!$B$114,BY43+BX44-CG43)))</f>
        <v>166.59999999999994</v>
      </c>
      <c r="BZ44" s="14">
        <f>BY44*VLOOKUP('Données projet'!$B$12,Paramètres!$A$1:$I$89,3,0)*VLOOKUP('Données projet'!$B$12,Paramètres!$A$1:$I$89,5,0)</f>
        <v>145.54175999999998</v>
      </c>
      <c r="CA44" s="14">
        <f t="shared" si="39"/>
        <v>37.563662342876064</v>
      </c>
      <c r="CB44" s="22">
        <f t="shared" si="10"/>
        <v>318.90861058050911</v>
      </c>
      <c r="CC44" s="62">
        <f t="shared" si="11"/>
        <v>612.24194391384242</v>
      </c>
      <c r="CD44" s="62">
        <f ca="1">AVERAGE(OFFSET($CC$3,0,0,'Données projet'!$E$12+1,1))-AVERAGE(OFFSET($H$3,0,0,'Données projet'!$E$12+1,1))</f>
        <v>236.12531905695994</v>
      </c>
      <c r="CE44" s="62">
        <f t="shared" si="40"/>
        <v>270.64539221029258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5.6843418860808015E-14</v>
      </c>
      <c r="BE45" s="14">
        <f>BD45*VLOOKUP('Données projet'!$B$11,Paramètres!$A$1:$I$89,3,0)*VLOOKUP('Données projet'!$B$11,Paramètres!$A$1:$I$89,5,0)</f>
        <v>3.3992364478763198E-14</v>
      </c>
      <c r="BF45" s="14">
        <f t="shared" si="37"/>
        <v>5.790027782444094E-13</v>
      </c>
      <c r="BG45" s="22">
        <f t="shared" si="7"/>
        <v>1.0676332069095257E-12</v>
      </c>
      <c r="BH45" s="62">
        <f t="shared" si="8"/>
        <v>293.33333333333439</v>
      </c>
      <c r="BI45" s="62">
        <f ca="1">AVERAGE(OFFSET($BH$3,0,0,'Données projet'!$E$11+1,1))-AVERAGE(OFFSET($H$3,0,0,'Données projet'!$E$11+1,1))</f>
        <v>157.98488572680344</v>
      </c>
      <c r="BJ45" s="62">
        <f t="shared" si="38"/>
        <v>269.20989374735825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86.251552062695424</v>
      </c>
      <c r="BQ45" s="23">
        <f>EXP(-LN(2)/25)*BQ44+(1-EXP(-LN(2)/25))/(LN(2)/25)*Calculateur!BL45*Calculateur!BN45*VLOOKUP('Données projet'!$B$11,Paramètres!$A$1:$I$89,3,0)*0.475*44/12</f>
        <v>2.3969118057997809</v>
      </c>
      <c r="BR45" s="23">
        <f>EXP(-LN(2)/2)*BR44+(1-EXP(-LN(2)/2))/(LN(2)/2)*BL45*BO45*VLOOKUP('Données projet'!$B$11,Paramètres!$A$1:$I$89,3,0)*0.475*44/12</f>
        <v>17.211228729516243</v>
      </c>
      <c r="BS45" s="24">
        <f t="shared" si="9"/>
        <v>105.85969259801143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8.6</v>
      </c>
      <c r="BY45" s="13">
        <f>IF('Données projet'!$A$114&gt;35,BY44+BX45-CG44,IF(A45&lt;'Données projet'!$A$114,$BV$205^A45,IF(A45='Données projet'!$A$114,'Données projet'!$B$114,BY44+BX45-CG44)))</f>
        <v>175.19999999999993</v>
      </c>
      <c r="BZ45" s="14">
        <f>BY45*VLOOKUP('Données projet'!$B$12,Paramètres!$A$1:$I$89,3,0)*VLOOKUP('Données projet'!$B$12,Paramètres!$A$1:$I$89,5,0)</f>
        <v>153.05471999999995</v>
      </c>
      <c r="CA45" s="14">
        <f t="shared" si="39"/>
        <v>39.271965088385166</v>
      </c>
      <c r="CB45" s="22">
        <f t="shared" si="10"/>
        <v>334.96897652893739</v>
      </c>
      <c r="CC45" s="62">
        <f t="shared" si="11"/>
        <v>628.3023098622707</v>
      </c>
      <c r="CD45" s="62">
        <f ca="1">AVERAGE(OFFSET($CC$3,0,0,'Données projet'!$E$12+1,1))-AVERAGE(OFFSET($H$3,0,0,'Données projet'!$E$12+1,1))</f>
        <v>236.12531905695994</v>
      </c>
      <c r="CE45" s="62">
        <f t="shared" si="40"/>
        <v>270.64539221029258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5.6843418860808015E-14</v>
      </c>
      <c r="BE46" s="14">
        <f>BD46*VLOOKUP('Données projet'!$B$11,Paramètres!$A$1:$I$89,3,0)*VLOOKUP('Données projet'!$B$11,Paramètres!$A$1:$I$89,5,0)</f>
        <v>3.3992364478763198E-14</v>
      </c>
      <c r="BF46" s="14">
        <f t="shared" si="37"/>
        <v>5.790027782444094E-13</v>
      </c>
      <c r="BG46" s="22">
        <f t="shared" si="7"/>
        <v>1.0676332069095257E-12</v>
      </c>
      <c r="BH46" s="62">
        <f t="shared" si="8"/>
        <v>293.33333333333439</v>
      </c>
      <c r="BI46" s="62">
        <f ca="1">AVERAGE(OFFSET($BH$3,0,0,'Données projet'!$E$11+1,1))-AVERAGE(OFFSET($H$3,0,0,'Données projet'!$E$11+1,1))</f>
        <v>157.98488572680344</v>
      </c>
      <c r="BJ46" s="62">
        <f t="shared" si="38"/>
        <v>269.20989374735825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84.560211734998092</v>
      </c>
      <c r="BQ46" s="23">
        <f>EXP(-LN(2)/25)*BQ45+(1-EXP(-LN(2)/25))/(LN(2)/25)*Calculateur!BL46*Calculateur!BN46*VLOOKUP('Données projet'!$B$11,Paramètres!$A$1:$I$89,3,0)*0.475*44/12</f>
        <v>2.3313681264220723</v>
      </c>
      <c r="BR46" s="23">
        <f>EXP(-LN(2)/2)*BR45+(1-EXP(-LN(2)/2))/(LN(2)/2)*BL46*BO46*VLOOKUP('Données projet'!$B$11,Paramètres!$A$1:$I$89,3,0)*0.475*44/12</f>
        <v>12.170176547193662</v>
      </c>
      <c r="BS46" s="24">
        <f t="shared" si="9"/>
        <v>99.061756408613832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8.6</v>
      </c>
      <c r="BY46" s="13">
        <f>IF('Données projet'!$A$114&gt;35,BY45+BX46-CG45,IF(A46&lt;'Données projet'!$A$114,$BV$205^A46,IF(A46='Données projet'!$A$114,'Données projet'!$B$114,BY45+BX46-CG45)))</f>
        <v>183.79999999999993</v>
      </c>
      <c r="BZ46" s="14">
        <f>BY46*VLOOKUP('Données projet'!$B$12,Paramètres!$A$1:$I$89,3,0)*VLOOKUP('Données projet'!$B$12,Paramètres!$A$1:$I$89,5,0)</f>
        <v>160.56767999999997</v>
      </c>
      <c r="CA46" s="14">
        <f t="shared" si="39"/>
        <v>40.970530810309882</v>
      </c>
      <c r="CB46" s="22">
        <f t="shared" si="10"/>
        <v>351.01238382795628</v>
      </c>
      <c r="CC46" s="62">
        <f t="shared" si="11"/>
        <v>644.3457171612896</v>
      </c>
      <c r="CD46" s="62">
        <f ca="1">AVERAGE(OFFSET($CC$3,0,0,'Données projet'!$E$12+1,1))-AVERAGE(OFFSET($H$3,0,0,'Données projet'!$E$12+1,1))</f>
        <v>236.12531905695994</v>
      </c>
      <c r="CE46" s="62">
        <f t="shared" si="40"/>
        <v>270.64539221029258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5.6843418860808015E-14</v>
      </c>
      <c r="BE47" s="14">
        <f>BD47*VLOOKUP('Données projet'!$B$11,Paramètres!$A$1:$I$89,3,0)*VLOOKUP('Données projet'!$B$11,Paramètres!$A$1:$I$89,5,0)</f>
        <v>3.3992364478763198E-14</v>
      </c>
      <c r="BF47" s="14">
        <f t="shared" si="37"/>
        <v>5.790027782444094E-13</v>
      </c>
      <c r="BG47" s="22">
        <f t="shared" si="7"/>
        <v>1.0676332069095257E-12</v>
      </c>
      <c r="BH47" s="62">
        <f t="shared" si="8"/>
        <v>293.33333333333439</v>
      </c>
      <c r="BI47" s="62">
        <f ca="1">AVERAGE(OFFSET($BH$3,0,0,'Données projet'!$E$11+1,1))-AVERAGE(OFFSET($H$3,0,0,'Données projet'!$E$11+1,1))</f>
        <v>157.98488572680344</v>
      </c>
      <c r="BJ47" s="62">
        <f t="shared" si="38"/>
        <v>269.20989374735825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82.902037559511172</v>
      </c>
      <c r="BQ47" s="23">
        <f>EXP(-LN(2)/25)*BQ46+(1-EXP(-LN(2)/25))/(LN(2)/25)*Calculateur!BL47*Calculateur!BN47*VLOOKUP('Données projet'!$B$11,Paramètres!$A$1:$I$89,3,0)*0.475*44/12</f>
        <v>2.2676167424037392</v>
      </c>
      <c r="BR47" s="23">
        <f>EXP(-LN(2)/2)*BR46+(1-EXP(-LN(2)/2))/(LN(2)/2)*BL47*BO47*VLOOKUP('Données projet'!$B$11,Paramètres!$A$1:$I$89,3,0)*0.475*44/12</f>
        <v>8.6056143647581216</v>
      </c>
      <c r="BS47" s="24">
        <f t="shared" si="9"/>
        <v>93.775268666673043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8.6</v>
      </c>
      <c r="BY47" s="13">
        <f>IF('Données projet'!$A$114&gt;35,BY46+BX47-CG46,IF(A47&lt;'Données projet'!$A$114,$BV$205^A47,IF(A47='Données projet'!$A$114,'Données projet'!$B$114,BY46+BX47-CG46)))</f>
        <v>192.39999999999992</v>
      </c>
      <c r="BZ47" s="14">
        <f>BY47*VLOOKUP('Données projet'!$B$12,Paramètres!$A$1:$I$89,3,0)*VLOOKUP('Données projet'!$B$12,Paramètres!$A$1:$I$89,5,0)</f>
        <v>168.08063999999996</v>
      </c>
      <c r="CA47" s="14">
        <f t="shared" si="39"/>
        <v>42.659867131343425</v>
      </c>
      <c r="CB47" s="22">
        <f t="shared" si="10"/>
        <v>367.03971658708974</v>
      </c>
      <c r="CC47" s="62">
        <f t="shared" si="11"/>
        <v>660.373049920423</v>
      </c>
      <c r="CD47" s="62">
        <f ca="1">AVERAGE(OFFSET($CC$3,0,0,'Données projet'!$E$12+1,1))-AVERAGE(OFFSET($H$3,0,0,'Données projet'!$E$12+1,1))</f>
        <v>236.12531905695994</v>
      </c>
      <c r="CE47" s="62">
        <f t="shared" si="40"/>
        <v>270.64539221029258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5.6843418860808015E-14</v>
      </c>
      <c r="BE48" s="14">
        <f>BD48*VLOOKUP('Données projet'!$B$11,Paramètres!$A$1:$I$89,3,0)*VLOOKUP('Données projet'!$B$11,Paramètres!$A$1:$I$89,5,0)</f>
        <v>3.3992364478763198E-14</v>
      </c>
      <c r="BF48" s="14">
        <f t="shared" si="37"/>
        <v>5.790027782444094E-13</v>
      </c>
      <c r="BG48" s="22">
        <f t="shared" si="7"/>
        <v>1.0676332069095257E-12</v>
      </c>
      <c r="BH48" s="62">
        <f t="shared" si="8"/>
        <v>293.33333333333439</v>
      </c>
      <c r="BI48" s="62">
        <f ca="1">AVERAGE(OFFSET($BH$3,0,0,'Données projet'!$E$11+1,1))-AVERAGE(OFFSET($H$3,0,0,'Données projet'!$E$11+1,1))</f>
        <v>157.98488572680344</v>
      </c>
      <c r="BJ48" s="62">
        <f t="shared" si="38"/>
        <v>269.20989374735825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81.276379168219165</v>
      </c>
      <c r="BQ48" s="23">
        <f>EXP(-LN(2)/25)*BQ47+(1-EXP(-LN(2)/25))/(LN(2)/25)*Calculateur!BL48*Calculateur!BN48*VLOOKUP('Données projet'!$B$11,Paramètres!$A$1:$I$89,3,0)*0.475*44/12</f>
        <v>2.2056086433339273</v>
      </c>
      <c r="BR48" s="23">
        <f>EXP(-LN(2)/2)*BR47+(1-EXP(-LN(2)/2))/(LN(2)/2)*BL48*BO48*VLOOKUP('Données projet'!$B$11,Paramètres!$A$1:$I$89,3,0)*0.475*44/12</f>
        <v>6.0850882735968312</v>
      </c>
      <c r="BS48" s="24">
        <f t="shared" si="9"/>
        <v>89.567076085149921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201</v>
      </c>
      <c r="BW48" s="13">
        <f>VLOOKUP(A48,'Données projet'!$A$113:$I$133,9,0)</f>
        <v>8.6</v>
      </c>
      <c r="BX48" s="13">
        <f t="array" ref="BX48">INDEX(BW:BW,MIN(IF(ISNUMBER(BW48:BW244),ROW(BW48:BW244),"")))</f>
        <v>8.6</v>
      </c>
      <c r="BY48" s="13">
        <f>IF('Données projet'!$A$114&gt;35,BY47+BX48-CG47,IF(A48&lt;'Données projet'!$A$114,$BV$205^A48,IF(A48='Données projet'!$A$114,'Données projet'!$B$114,BY47+BX48-CG47)))</f>
        <v>200.99999999999991</v>
      </c>
      <c r="BZ48" s="14">
        <f>BY48*VLOOKUP('Données projet'!$B$12,Paramètres!$A$1:$I$89,3,0)*VLOOKUP('Données projet'!$B$12,Paramètres!$A$1:$I$89,5,0)</f>
        <v>175.59359999999995</v>
      </c>
      <c r="CA48" s="14">
        <f t="shared" si="39"/>
        <v>44.340433728638573</v>
      </c>
      <c r="CB48" s="22">
        <f t="shared" si="10"/>
        <v>383.05177541071203</v>
      </c>
      <c r="CC48" s="62">
        <f t="shared" si="11"/>
        <v>676.38510874404528</v>
      </c>
      <c r="CD48" s="62">
        <f ca="1">AVERAGE(OFFSET($CC$3,0,0,'Données projet'!$E$12+1,1))-AVERAGE(OFFSET($H$3,0,0,'Données projet'!$E$12+1,1))</f>
        <v>236.12531905695994</v>
      </c>
      <c r="CE48" s="62">
        <f t="shared" si="40"/>
        <v>270.64539221029258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31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5.6843418860808015E-14</v>
      </c>
      <c r="BE49" s="14">
        <f>BD49*VLOOKUP('Données projet'!$B$11,Paramètres!$A$1:$I$89,3,0)*VLOOKUP('Données projet'!$B$11,Paramètres!$A$1:$I$89,5,0)</f>
        <v>3.3992364478763198E-14</v>
      </c>
      <c r="BF49" s="14">
        <f t="shared" si="37"/>
        <v>5.790027782444094E-13</v>
      </c>
      <c r="BG49" s="22">
        <f t="shared" si="7"/>
        <v>1.0676332069095257E-12</v>
      </c>
      <c r="BH49" s="62">
        <f t="shared" si="8"/>
        <v>293.33333333333439</v>
      </c>
      <c r="BI49" s="62">
        <f ca="1">AVERAGE(OFFSET($BH$3,0,0,'Données projet'!$E$11+1,1))-AVERAGE(OFFSET($H$3,0,0,'Données projet'!$E$11+1,1))</f>
        <v>157.98488572680344</v>
      </c>
      <c r="BJ49" s="62">
        <f t="shared" si="38"/>
        <v>269.20989374735825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79.68259894642668</v>
      </c>
      <c r="BQ49" s="23">
        <f>EXP(-LN(2)/25)*BQ48+(1-EXP(-LN(2)/25))/(LN(2)/25)*Calculateur!BL49*Calculateur!BN49*VLOOKUP('Données projet'!$B$11,Paramètres!$A$1:$I$89,3,0)*0.475*44/12</f>
        <v>2.1452961589940434</v>
      </c>
      <c r="BR49" s="23">
        <f>EXP(-LN(2)/2)*BR48+(1-EXP(-LN(2)/2))/(LN(2)/2)*BL49*BO49*VLOOKUP('Données projet'!$B$11,Paramètres!$A$1:$I$89,3,0)*0.475*44/12</f>
        <v>4.3028071823790608</v>
      </c>
      <c r="BS49" s="24">
        <f t="shared" si="9"/>
        <v>86.130702287799778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7.8</v>
      </c>
      <c r="BY49" s="13">
        <f>IF('Données projet'!$A$114&gt;35,BY48+BX49-CG48,IF(A49&lt;'Données projet'!$A$114,$BV$205^A49,IF(A49='Données projet'!$A$114,'Données projet'!$B$114,BY48+BX49-CG48)))</f>
        <v>177.79999999999993</v>
      </c>
      <c r="BZ49" s="14">
        <f>BY49*VLOOKUP('Données projet'!$B$12,Paramètres!$A$1:$I$89,3,0)*VLOOKUP('Données projet'!$B$12,Paramètres!$A$1:$I$89,5,0)</f>
        <v>155.32607999999996</v>
      </c>
      <c r="CA49" s="14">
        <f t="shared" si="39"/>
        <v>39.786487601092411</v>
      </c>
      <c r="CB49" s="22">
        <f t="shared" si="10"/>
        <v>339.82105523856922</v>
      </c>
      <c r="CC49" s="62">
        <f t="shared" si="11"/>
        <v>633.15438857190247</v>
      </c>
      <c r="CD49" s="62">
        <f ca="1">AVERAGE(OFFSET($CC$3,0,0,'Données projet'!$E$12+1,1))-AVERAGE(OFFSET($H$3,0,0,'Données projet'!$E$12+1,1))</f>
        <v>236.12531905695994</v>
      </c>
      <c r="CE49" s="62">
        <f t="shared" si="40"/>
        <v>270.64539221029258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5.6843418860808015E-14</v>
      </c>
      <c r="BE50" s="14">
        <f>BD50*VLOOKUP('Données projet'!$B$11,Paramètres!$A$1:$I$89,3,0)*VLOOKUP('Données projet'!$B$11,Paramètres!$A$1:$I$89,5,0)</f>
        <v>3.3992364478763198E-14</v>
      </c>
      <c r="BF50" s="14">
        <f t="shared" si="37"/>
        <v>5.790027782444094E-13</v>
      </c>
      <c r="BG50" s="22">
        <f t="shared" si="7"/>
        <v>1.0676332069095257E-12</v>
      </c>
      <c r="BH50" s="62">
        <f t="shared" si="8"/>
        <v>293.33333333333439</v>
      </c>
      <c r="BI50" s="62">
        <f ca="1">AVERAGE(OFFSET($BH$3,0,0,'Données projet'!$E$11+1,1))-AVERAGE(OFFSET($H$3,0,0,'Données projet'!$E$11+1,1))</f>
        <v>157.98488572680344</v>
      </c>
      <c r="BJ50" s="62">
        <f t="shared" si="38"/>
        <v>269.20989374735825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78.120071782673605</v>
      </c>
      <c r="BQ50" s="23">
        <f>EXP(-LN(2)/25)*BQ49+(1-EXP(-LN(2)/25))/(LN(2)/25)*Calculateur!BL50*Calculateur!BN50*VLOOKUP('Données projet'!$B$11,Paramètres!$A$1:$I$89,3,0)*0.475*44/12</f>
        <v>2.0866329227101295</v>
      </c>
      <c r="BR50" s="23">
        <f>EXP(-LN(2)/2)*BR49+(1-EXP(-LN(2)/2))/(LN(2)/2)*BL50*BO50*VLOOKUP('Données projet'!$B$11,Paramètres!$A$1:$I$89,3,0)*0.475*44/12</f>
        <v>3.0425441367984156</v>
      </c>
      <c r="BS50" s="24">
        <f t="shared" si="9"/>
        <v>83.249248842182141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7.8</v>
      </c>
      <c r="BY50" s="13">
        <f>IF('Données projet'!$A$114&gt;35,BY49+BX50-CG49,IF(A50&lt;'Données projet'!$A$114,$BV$205^A50,IF(A50='Données projet'!$A$114,'Données projet'!$B$114,BY49+BX50-CG49)))</f>
        <v>185.59999999999994</v>
      </c>
      <c r="BZ50" s="14">
        <f>BY50*VLOOKUP('Données projet'!$B$12,Paramètres!$A$1:$I$89,3,0)*VLOOKUP('Données projet'!$B$12,Paramètres!$A$1:$I$89,5,0)</f>
        <v>162.14015999999998</v>
      </c>
      <c r="CA50" s="14">
        <f t="shared" si="39"/>
        <v>41.324860537333677</v>
      </c>
      <c r="CB50" s="22">
        <f t="shared" si="10"/>
        <v>354.36824410252279</v>
      </c>
      <c r="CC50" s="62">
        <f t="shared" si="11"/>
        <v>647.70157743585605</v>
      </c>
      <c r="CD50" s="62">
        <f ca="1">AVERAGE(OFFSET($CC$3,0,0,'Données projet'!$E$12+1,1))-AVERAGE(OFFSET($H$3,0,0,'Données projet'!$E$12+1,1))</f>
        <v>236.12531905695994</v>
      </c>
      <c r="CE50" s="62">
        <f t="shared" si="40"/>
        <v>270.64539221029258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5.6843418860808015E-14</v>
      </c>
      <c r="BE51" s="14">
        <f>BD51*VLOOKUP('Données projet'!$B$11,Paramètres!$A$1:$I$89,3,0)*VLOOKUP('Données projet'!$B$11,Paramètres!$A$1:$I$89,5,0)</f>
        <v>3.3992364478763198E-14</v>
      </c>
      <c r="BF51" s="14">
        <f t="shared" si="37"/>
        <v>5.790027782444094E-13</v>
      </c>
      <c r="BG51" s="22">
        <f t="shared" si="7"/>
        <v>1.0676332069095257E-12</v>
      </c>
      <c r="BH51" s="62">
        <f t="shared" si="8"/>
        <v>293.33333333333439</v>
      </c>
      <c r="BI51" s="62">
        <f ca="1">AVERAGE(OFFSET($BH$3,0,0,'Données projet'!$E$11+1,1))-AVERAGE(OFFSET($H$3,0,0,'Données projet'!$E$11+1,1))</f>
        <v>157.98488572680344</v>
      </c>
      <c r="BJ51" s="62">
        <f t="shared" si="38"/>
        <v>269.20989374735825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76.588184823554258</v>
      </c>
      <c r="BQ51" s="23">
        <f>EXP(-LN(2)/25)*BQ50+(1-EXP(-LN(2)/25))/(LN(2)/25)*Calculateur!BL51*Calculateur!BN51*VLOOKUP('Données projet'!$B$11,Paramètres!$A$1:$I$89,3,0)*0.475*44/12</f>
        <v>2.0295738357073647</v>
      </c>
      <c r="BR51" s="23">
        <f>EXP(-LN(2)/2)*BR50+(1-EXP(-LN(2)/2))/(LN(2)/2)*BL51*BO51*VLOOKUP('Données projet'!$B$11,Paramètres!$A$1:$I$89,3,0)*0.475*44/12</f>
        <v>2.1514035911895304</v>
      </c>
      <c r="BS51" s="24">
        <f t="shared" si="9"/>
        <v>80.76916225045116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7.8</v>
      </c>
      <c r="BY51" s="13">
        <f>IF('Données projet'!$A$114&gt;35,BY50+BX51-CG50,IF(A51&lt;'Données projet'!$A$114,$BV$205^A51,IF(A51='Données projet'!$A$114,'Données projet'!$B$114,BY50+BX51-CG50)))</f>
        <v>193.39999999999995</v>
      </c>
      <c r="BZ51" s="14">
        <f>BY51*VLOOKUP('Données projet'!$B$12,Paramètres!$A$1:$I$89,3,0)*VLOOKUP('Données projet'!$B$12,Paramètres!$A$1:$I$89,5,0)</f>
        <v>168.95424</v>
      </c>
      <c r="CA51" s="14">
        <f t="shared" si="39"/>
        <v>42.855724087026708</v>
      </c>
      <c r="CB51" s="22">
        <f t="shared" si="10"/>
        <v>368.90235411823818</v>
      </c>
      <c r="CC51" s="62">
        <f t="shared" si="11"/>
        <v>662.23568745157149</v>
      </c>
      <c r="CD51" s="62">
        <f ca="1">AVERAGE(OFFSET($CC$3,0,0,'Données projet'!$E$12+1,1))-AVERAGE(OFFSET($H$3,0,0,'Données projet'!$E$12+1,1))</f>
        <v>236.12531905695994</v>
      </c>
      <c r="CE51" s="62">
        <f t="shared" si="40"/>
        <v>270.64539221029258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5.6843418860808015E-14</v>
      </c>
      <c r="BE52" s="14">
        <f>BD52*VLOOKUP('Données projet'!$B$11,Paramètres!$A$1:$I$89,3,0)*VLOOKUP('Données projet'!$B$11,Paramètres!$A$1:$I$89,5,0)</f>
        <v>3.3992364478763198E-14</v>
      </c>
      <c r="BF52" s="14">
        <f t="shared" si="37"/>
        <v>5.790027782444094E-13</v>
      </c>
      <c r="BG52" s="22">
        <f t="shared" si="7"/>
        <v>1.0676332069095257E-12</v>
      </c>
      <c r="BH52" s="62">
        <f t="shared" si="8"/>
        <v>293.33333333333439</v>
      </c>
      <c r="BI52" s="62">
        <f ca="1">AVERAGE(OFFSET($BH$3,0,0,'Données projet'!$E$11+1,1))-AVERAGE(OFFSET($H$3,0,0,'Données projet'!$E$11+1,1))</f>
        <v>157.98488572680344</v>
      </c>
      <c r="BJ52" s="62">
        <f t="shared" si="38"/>
        <v>269.20989374735825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75.086337233344466</v>
      </c>
      <c r="BQ52" s="23">
        <f>EXP(-LN(2)/25)*BQ51+(1-EXP(-LN(2)/25))/(LN(2)/25)*Calculateur!BL52*Calculateur!BN52*VLOOKUP('Données projet'!$B$11,Paramètres!$A$1:$I$89,3,0)*0.475*44/12</f>
        <v>1.9740750324392975</v>
      </c>
      <c r="BR52" s="23">
        <f>EXP(-LN(2)/2)*BR51+(1-EXP(-LN(2)/2))/(LN(2)/2)*BL52*BO52*VLOOKUP('Données projet'!$B$11,Paramètres!$A$1:$I$89,3,0)*0.475*44/12</f>
        <v>1.5212720683992078</v>
      </c>
      <c r="BS52" s="24">
        <f t="shared" si="9"/>
        <v>78.581684334182981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7.8</v>
      </c>
      <c r="BY52" s="13">
        <f>IF('Données projet'!$A$114&gt;35,BY51+BX52-CG51,IF(A52&lt;'Données projet'!$A$114,$BV$205^A52,IF(A52='Données projet'!$A$114,'Données projet'!$B$114,BY51+BX52-CG51)))</f>
        <v>201.19999999999996</v>
      </c>
      <c r="BZ52" s="14">
        <f>BY52*VLOOKUP('Données projet'!$B$12,Paramètres!$A$1:$I$89,3,0)*VLOOKUP('Données projet'!$B$12,Paramètres!$A$1:$I$89,5,0)</f>
        <v>175.76831999999999</v>
      </c>
      <c r="CA52" s="14">
        <f t="shared" si="39"/>
        <v>44.379415757690168</v>
      </c>
      <c r="CB52" s="22">
        <f t="shared" si="10"/>
        <v>383.42397311131032</v>
      </c>
      <c r="CC52" s="62">
        <f t="shared" si="11"/>
        <v>676.75730644464363</v>
      </c>
      <c r="CD52" s="62">
        <f ca="1">AVERAGE(OFFSET($CC$3,0,0,'Données projet'!$E$12+1,1))-AVERAGE(OFFSET($H$3,0,0,'Données projet'!$E$12+1,1))</f>
        <v>236.12531905695994</v>
      </c>
      <c r="CE52" s="62">
        <f t="shared" si="40"/>
        <v>270.64539221029258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5.6843418860808015E-14</v>
      </c>
      <c r="BE53" s="14">
        <f>BD53*VLOOKUP('Données projet'!$B$11,Paramètres!$A$1:$I$89,3,0)*VLOOKUP('Données projet'!$B$11,Paramètres!$A$1:$I$89,5,0)</f>
        <v>3.3992364478763198E-14</v>
      </c>
      <c r="BF53" s="14">
        <f t="shared" si="37"/>
        <v>5.790027782444094E-13</v>
      </c>
      <c r="BG53" s="22">
        <f t="shared" si="7"/>
        <v>1.0676332069095257E-12</v>
      </c>
      <c r="BH53" s="62">
        <f t="shared" si="8"/>
        <v>293.33333333333439</v>
      </c>
      <c r="BI53" s="62">
        <f ca="1">AVERAGE(OFFSET($BH$3,0,0,'Données projet'!$E$11+1,1))-AVERAGE(OFFSET($H$3,0,0,'Données projet'!$E$11+1,1))</f>
        <v>157.98488572680344</v>
      </c>
      <c r="BJ53" s="62">
        <f t="shared" si="38"/>
        <v>269.20989374735825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73.613939958342101</v>
      </c>
      <c r="BQ53" s="23">
        <f>EXP(-LN(2)/25)*BQ52+(1-EXP(-LN(2)/25))/(LN(2)/25)*Calculateur!BL53*Calculateur!BN53*VLOOKUP('Données projet'!$B$11,Paramètres!$A$1:$I$89,3,0)*0.475*44/12</f>
        <v>1.9200938468651507</v>
      </c>
      <c r="BR53" s="23">
        <f>EXP(-LN(2)/2)*BR52+(1-EXP(-LN(2)/2))/(LN(2)/2)*BL53*BO53*VLOOKUP('Données projet'!$B$11,Paramètres!$A$1:$I$89,3,0)*0.475*44/12</f>
        <v>1.0757017955947652</v>
      </c>
      <c r="BS53" s="24">
        <f t="shared" si="9"/>
        <v>76.609735600802026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209</v>
      </c>
      <c r="BW53" s="13">
        <f>VLOOKUP(A53,'Données projet'!$A$113:$I$133,9,0)</f>
        <v>7.8</v>
      </c>
      <c r="BX53" s="13">
        <f t="array" ref="BX53">INDEX(BW:BW,MIN(IF(ISNUMBER(BW53:BW249),ROW(BW53:BW249),"")))</f>
        <v>7.8</v>
      </c>
      <c r="BY53" s="13">
        <f>IF('Données projet'!$A$114&gt;35,BY52+BX53-CG52,IF(A53&lt;'Données projet'!$A$114,$BV$205^A53,IF(A53='Données projet'!$A$114,'Données projet'!$B$114,BY52+BX53-CG52)))</f>
        <v>208.99999999999997</v>
      </c>
      <c r="BZ53" s="14">
        <f>BY53*VLOOKUP('Données projet'!$B$12,Paramètres!$A$1:$I$89,3,0)*VLOOKUP('Données projet'!$B$12,Paramètres!$A$1:$I$89,5,0)</f>
        <v>182.58240000000001</v>
      </c>
      <c r="CA53" s="14">
        <f t="shared" si="39"/>
        <v>45.896245406460288</v>
      </c>
      <c r="CB53" s="22">
        <f t="shared" si="10"/>
        <v>397.93364074958498</v>
      </c>
      <c r="CC53" s="62">
        <f t="shared" si="11"/>
        <v>691.2669740829183</v>
      </c>
      <c r="CD53" s="62">
        <f ca="1">AVERAGE(OFFSET($CC$3,0,0,'Données projet'!$E$12+1,1))-AVERAGE(OFFSET($H$3,0,0,'Données projet'!$E$12+1,1))</f>
        <v>236.12531905695994</v>
      </c>
      <c r="CE53" s="62">
        <f t="shared" si="40"/>
        <v>270.64539221029258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5.6843418860808015E-14</v>
      </c>
      <c r="BE54" s="14">
        <f>BD54*VLOOKUP('Données projet'!$B$11,Paramètres!$A$1:$I$89,3,0)*VLOOKUP('Données projet'!$B$11,Paramètres!$A$1:$I$89,5,0)</f>
        <v>3.3992364478763198E-14</v>
      </c>
      <c r="BF54" s="14">
        <f t="shared" si="37"/>
        <v>5.790027782444094E-13</v>
      </c>
      <c r="BG54" s="22">
        <f t="shared" si="7"/>
        <v>1.0676332069095257E-12</v>
      </c>
      <c r="BH54" s="62">
        <f t="shared" si="8"/>
        <v>293.33333333333439</v>
      </c>
      <c r="BI54" s="62">
        <f ca="1">AVERAGE(OFFSET($BH$3,0,0,'Données projet'!$E$11+1,1))-AVERAGE(OFFSET($H$3,0,0,'Données projet'!$E$11+1,1))</f>
        <v>157.98488572680344</v>
      </c>
      <c r="BJ54" s="62">
        <f t="shared" si="38"/>
        <v>269.20989374735825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72.170415495828877</v>
      </c>
      <c r="BQ54" s="23">
        <f>EXP(-LN(2)/25)*BQ53+(1-EXP(-LN(2)/25))/(LN(2)/25)*Calculateur!BL54*Calculateur!BN54*VLOOKUP('Données projet'!$B$11,Paramètres!$A$1:$I$89,3,0)*0.475*44/12</f>
        <v>1.8675887796492763</v>
      </c>
      <c r="BR54" s="23">
        <f>EXP(-LN(2)/2)*BR53+(1-EXP(-LN(2)/2))/(LN(2)/2)*BL54*BO54*VLOOKUP('Données projet'!$B$11,Paramètres!$A$1:$I$89,3,0)*0.475*44/12</f>
        <v>0.76063603419960391</v>
      </c>
      <c r="BS54" s="24">
        <f t="shared" si="9"/>
        <v>74.798640309677765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6.8</v>
      </c>
      <c r="BY54" s="13">
        <f>IF('Données projet'!$A$114&gt;35,BY53+BX54-CG53,IF(A54&lt;'Données projet'!$A$114,$BV$205^A54,IF(A54='Données projet'!$A$114,'Données projet'!$B$114,BY53+BX54-CG53)))</f>
        <v>187.79999999999998</v>
      </c>
      <c r="BZ54" s="14">
        <f>BY54*VLOOKUP('Données projet'!$B$12,Paramètres!$A$1:$I$89,3,0)*VLOOKUP('Données projet'!$B$12,Paramètres!$A$1:$I$89,5,0)</f>
        <v>164.06208000000001</v>
      </c>
      <c r="CA54" s="14">
        <f t="shared" si="39"/>
        <v>41.75738773013461</v>
      </c>
      <c r="CB54" s="22">
        <f t="shared" si="10"/>
        <v>358.46890629665108</v>
      </c>
      <c r="CC54" s="62">
        <f t="shared" si="11"/>
        <v>651.80223962998434</v>
      </c>
      <c r="CD54" s="62">
        <f ca="1">AVERAGE(OFFSET($CC$3,0,0,'Données projet'!$E$12+1,1))-AVERAGE(OFFSET($H$3,0,0,'Données projet'!$E$12+1,1))</f>
        <v>236.12531905695994</v>
      </c>
      <c r="CE54" s="62">
        <f t="shared" si="40"/>
        <v>270.64539221029258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5.6843418860808015E-14</v>
      </c>
      <c r="BE55" s="14">
        <f>BD55*VLOOKUP('Données projet'!$B$11,Paramètres!$A$1:$I$89,3,0)*VLOOKUP('Données projet'!$B$11,Paramètres!$A$1:$I$89,5,0)</f>
        <v>3.3992364478763198E-14</v>
      </c>
      <c r="BF55" s="14">
        <f t="shared" si="37"/>
        <v>5.790027782444094E-13</v>
      </c>
      <c r="BG55" s="22">
        <f t="shared" si="7"/>
        <v>1.0676332069095257E-12</v>
      </c>
      <c r="BH55" s="62">
        <f t="shared" si="8"/>
        <v>293.33333333333439</v>
      </c>
      <c r="BI55" s="62">
        <f ca="1">AVERAGE(OFFSET($BH$3,0,0,'Données projet'!$E$11+1,1))-AVERAGE(OFFSET($H$3,0,0,'Données projet'!$E$11+1,1))</f>
        <v>157.98488572680344</v>
      </c>
      <c r="BJ55" s="62">
        <f t="shared" si="38"/>
        <v>269.20989374735825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70.755197667562555</v>
      </c>
      <c r="BQ55" s="23">
        <f>EXP(-LN(2)/25)*BQ54+(1-EXP(-LN(2)/25))/(LN(2)/25)*Calculateur!BL55*Calculateur!BN55*VLOOKUP('Données projet'!$B$11,Paramètres!$A$1:$I$89,3,0)*0.475*44/12</f>
        <v>1.8165194662575412</v>
      </c>
      <c r="BR55" s="23">
        <f>EXP(-LN(2)/2)*BR54+(1-EXP(-LN(2)/2))/(LN(2)/2)*BL55*BO55*VLOOKUP('Données projet'!$B$11,Paramètres!$A$1:$I$89,3,0)*0.475*44/12</f>
        <v>0.5378508977973826</v>
      </c>
      <c r="BS55" s="24">
        <f t="shared" si="9"/>
        <v>73.109568031617485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6.8</v>
      </c>
      <c r="BY55" s="13">
        <f>IF('Données projet'!$A$114&gt;35,BY54+BX55-CG54,IF(A55&lt;'Données projet'!$A$114,$BV$205^A55,IF(A55='Données projet'!$A$114,'Données projet'!$B$114,BY54+BX55-CG54)))</f>
        <v>194.6</v>
      </c>
      <c r="BZ55" s="14">
        <f>BY55*VLOOKUP('Données projet'!$B$12,Paramètres!$A$1:$I$89,3,0)*VLOOKUP('Données projet'!$B$12,Paramètres!$A$1:$I$89,5,0)</f>
        <v>170.00256000000002</v>
      </c>
      <c r="CA55" s="14">
        <f t="shared" si="39"/>
        <v>43.090596939649579</v>
      </c>
      <c r="CB55" s="22">
        <f t="shared" si="10"/>
        <v>371.1372483365563</v>
      </c>
      <c r="CC55" s="62">
        <f t="shared" si="11"/>
        <v>664.47058166988961</v>
      </c>
      <c r="CD55" s="62">
        <f ca="1">AVERAGE(OFFSET($CC$3,0,0,'Données projet'!$E$12+1,1))-AVERAGE(OFFSET($H$3,0,0,'Données projet'!$E$12+1,1))</f>
        <v>236.12531905695994</v>
      </c>
      <c r="CE55" s="62">
        <f t="shared" si="40"/>
        <v>270.64539221029258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5.6843418860808015E-14</v>
      </c>
      <c r="BE56" s="14">
        <f>BD56*VLOOKUP('Données projet'!$B$11,Paramètres!$A$1:$I$89,3,0)*VLOOKUP('Données projet'!$B$11,Paramètres!$A$1:$I$89,5,0)</f>
        <v>3.3992364478763198E-14</v>
      </c>
      <c r="BF56" s="14">
        <f t="shared" si="37"/>
        <v>5.790027782444094E-13</v>
      </c>
      <c r="BG56" s="22">
        <f t="shared" si="7"/>
        <v>1.0676332069095257E-12</v>
      </c>
      <c r="BH56" s="62">
        <f t="shared" si="8"/>
        <v>293.33333333333439</v>
      </c>
      <c r="BI56" s="62">
        <f ca="1">AVERAGE(OFFSET($BH$3,0,0,'Données projet'!$E$11+1,1))-AVERAGE(OFFSET($H$3,0,0,'Données projet'!$E$11+1,1))</f>
        <v>157.98488572680344</v>
      </c>
      <c r="BJ56" s="62">
        <f t="shared" si="38"/>
        <v>269.20989374735825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69.367731397710884</v>
      </c>
      <c r="BQ56" s="23">
        <f>EXP(-LN(2)/25)*BQ55+(1-EXP(-LN(2)/25))/(LN(2)/25)*Calculateur!BL56*Calculateur!BN56*VLOOKUP('Données projet'!$B$11,Paramètres!$A$1:$I$89,3,0)*0.475*44/12</f>
        <v>1.7668466459261218</v>
      </c>
      <c r="BR56" s="23">
        <f>EXP(-LN(2)/2)*BR55+(1-EXP(-LN(2)/2))/(LN(2)/2)*BL56*BO56*VLOOKUP('Données projet'!$B$11,Paramètres!$A$1:$I$89,3,0)*0.475*44/12</f>
        <v>0.38031801709980195</v>
      </c>
      <c r="BS56" s="24">
        <f t="shared" si="9"/>
        <v>71.514896060736802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6.8</v>
      </c>
      <c r="BY56" s="13">
        <f>IF('Données projet'!$A$114&gt;35,BY55+BX56-CG55,IF(A56&lt;'Données projet'!$A$114,$BV$205^A56,IF(A56='Données projet'!$A$114,'Données projet'!$B$114,BY55+BX56-CG55)))</f>
        <v>201.4</v>
      </c>
      <c r="BZ56" s="14">
        <f>BY56*VLOOKUP('Données projet'!$B$12,Paramètres!$A$1:$I$89,3,0)*VLOOKUP('Données projet'!$B$12,Paramètres!$A$1:$I$89,5,0)</f>
        <v>175.94304000000002</v>
      </c>
      <c r="CA56" s="14">
        <f t="shared" si="39"/>
        <v>44.418393276556458</v>
      </c>
      <c r="CB56" s="22">
        <f t="shared" si="10"/>
        <v>383.79616295666915</v>
      </c>
      <c r="CC56" s="62">
        <f t="shared" si="11"/>
        <v>677.12949629000241</v>
      </c>
      <c r="CD56" s="62">
        <f ca="1">AVERAGE(OFFSET($CC$3,0,0,'Données projet'!$E$12+1,1))-AVERAGE(OFFSET($H$3,0,0,'Données projet'!$E$12+1,1))</f>
        <v>236.12531905695994</v>
      </c>
      <c r="CE56" s="62">
        <f t="shared" si="40"/>
        <v>270.64539221029258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5.6843418860808015E-14</v>
      </c>
      <c r="BE57" s="14">
        <f>BD57*VLOOKUP('Données projet'!$B$11,Paramètres!$A$1:$I$89,3,0)*VLOOKUP('Données projet'!$B$11,Paramètres!$A$1:$I$89,5,0)</f>
        <v>3.3992364478763198E-14</v>
      </c>
      <c r="BF57" s="14">
        <f t="shared" si="37"/>
        <v>5.790027782444094E-13</v>
      </c>
      <c r="BG57" s="22">
        <f t="shared" si="7"/>
        <v>1.0676332069095257E-12</v>
      </c>
      <c r="BH57" s="62">
        <f t="shared" si="8"/>
        <v>293.33333333333439</v>
      </c>
      <c r="BI57" s="62">
        <f ca="1">AVERAGE(OFFSET($BH$3,0,0,'Données projet'!$E$11+1,1))-AVERAGE(OFFSET($H$3,0,0,'Données projet'!$E$11+1,1))</f>
        <v>157.98488572680344</v>
      </c>
      <c r="BJ57" s="62">
        <f t="shared" si="38"/>
        <v>269.20989374735825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68.007472495140149</v>
      </c>
      <c r="BQ57" s="23">
        <f>EXP(-LN(2)/25)*BQ56+(1-EXP(-LN(2)/25))/(LN(2)/25)*Calculateur!BL57*Calculateur!BN57*VLOOKUP('Données projet'!$B$11,Paramètres!$A$1:$I$89,3,0)*0.475*44/12</f>
        <v>1.7185321314788451</v>
      </c>
      <c r="BR57" s="23">
        <f>EXP(-LN(2)/2)*BR56+(1-EXP(-LN(2)/2))/(LN(2)/2)*BL57*BO57*VLOOKUP('Données projet'!$B$11,Paramètres!$A$1:$I$89,3,0)*0.475*44/12</f>
        <v>0.2689254488986913</v>
      </c>
      <c r="BS57" s="24">
        <f t="shared" si="9"/>
        <v>69.994930075517672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6.8</v>
      </c>
      <c r="BY57" s="13">
        <f>IF('Données projet'!$A$114&gt;35,BY56+BX57-CG56,IF(A57&lt;'Données projet'!$A$114,$BV$205^A57,IF(A57='Données projet'!$A$114,'Données projet'!$B$114,BY56+BX57-CG56)))</f>
        <v>208.20000000000002</v>
      </c>
      <c r="BZ57" s="14">
        <f>BY57*VLOOKUP('Données projet'!$B$12,Paramètres!$A$1:$I$89,3,0)*VLOOKUP('Données projet'!$B$12,Paramètres!$A$1:$I$89,5,0)</f>
        <v>181.88352000000006</v>
      </c>
      <c r="CA57" s="14">
        <f t="shared" si="39"/>
        <v>45.74098045051349</v>
      </c>
      <c r="CB57" s="22">
        <f t="shared" si="10"/>
        <v>396.44600495131112</v>
      </c>
      <c r="CC57" s="62">
        <f t="shared" si="11"/>
        <v>689.77933828464438</v>
      </c>
      <c r="CD57" s="62">
        <f ca="1">AVERAGE(OFFSET($CC$3,0,0,'Données projet'!$E$12+1,1))-AVERAGE(OFFSET($H$3,0,0,'Données projet'!$E$12+1,1))</f>
        <v>236.12531905695994</v>
      </c>
      <c r="CE57" s="62">
        <f t="shared" si="40"/>
        <v>270.64539221029258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5.6843418860808015E-14</v>
      </c>
      <c r="BE58" s="14">
        <f>BD58*VLOOKUP('Données projet'!$B$11,Paramètres!$A$1:$I$89,3,0)*VLOOKUP('Données projet'!$B$11,Paramètres!$A$1:$I$89,5,0)</f>
        <v>3.3992364478763198E-14</v>
      </c>
      <c r="BF58" s="14">
        <f t="shared" si="37"/>
        <v>5.790027782444094E-13</v>
      </c>
      <c r="BG58" s="22">
        <f t="shared" si="7"/>
        <v>1.0676332069095257E-12</v>
      </c>
      <c r="BH58" s="62">
        <f t="shared" si="8"/>
        <v>293.33333333333439</v>
      </c>
      <c r="BI58" s="62">
        <f ca="1">AVERAGE(OFFSET($BH$3,0,0,'Données projet'!$E$11+1,1))-AVERAGE(OFFSET($H$3,0,0,'Données projet'!$E$11+1,1))</f>
        <v>157.98488572680344</v>
      </c>
      <c r="BJ58" s="62">
        <f t="shared" si="38"/>
        <v>269.20989374735825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66.673887439972816</v>
      </c>
      <c r="BQ58" s="23">
        <f>EXP(-LN(2)/25)*BQ57+(1-EXP(-LN(2)/25))/(LN(2)/25)*Calculateur!BL58*Calculateur!BN58*VLOOKUP('Données projet'!$B$11,Paramètres!$A$1:$I$89,3,0)*0.475*44/12</f>
        <v>1.6715387799698791</v>
      </c>
      <c r="BR58" s="23">
        <f>EXP(-LN(2)/2)*BR57+(1-EXP(-LN(2)/2))/(LN(2)/2)*BL58*BO58*VLOOKUP('Données projet'!$B$11,Paramètres!$A$1:$I$89,3,0)*0.475*44/12</f>
        <v>0.19015900854990098</v>
      </c>
      <c r="BS58" s="24">
        <f t="shared" si="9"/>
        <v>68.535585228492593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215</v>
      </c>
      <c r="BW58" s="13">
        <f>VLOOKUP(A58,'Données projet'!$A$113:$I$133,9,0)</f>
        <v>6.8</v>
      </c>
      <c r="BX58" s="13">
        <f t="array" ref="BX58">INDEX(BW:BW,MIN(IF(ISNUMBER(BW58:BW254),ROW(BW58:BW254),"")))</f>
        <v>6.8</v>
      </c>
      <c r="BY58" s="13">
        <f>IF('Données projet'!$A$114&gt;35,BY57+BX58-CG57,IF(A58&lt;'Données projet'!$A$114,$BV$205^A58,IF(A58='Données projet'!$A$114,'Données projet'!$B$114,BY57+BX58-CG57)))</f>
        <v>215.00000000000003</v>
      </c>
      <c r="BZ58" s="14">
        <f>BY58*VLOOKUP('Données projet'!$B$12,Paramètres!$A$1:$I$89,3,0)*VLOOKUP('Données projet'!$B$12,Paramètres!$A$1:$I$89,5,0)</f>
        <v>187.82400000000007</v>
      </c>
      <c r="CA58" s="14">
        <f t="shared" si="39"/>
        <v>47.05854810918273</v>
      </c>
      <c r="CB58" s="22">
        <f t="shared" si="10"/>
        <v>409.08710462349336</v>
      </c>
      <c r="CC58" s="62">
        <f t="shared" si="11"/>
        <v>702.42043795682662</v>
      </c>
      <c r="CD58" s="62">
        <f ca="1">AVERAGE(OFFSET($CC$3,0,0,'Données projet'!$E$12+1,1))-AVERAGE(OFFSET($H$3,0,0,'Données projet'!$E$12+1,1))</f>
        <v>236.12531905695994</v>
      </c>
      <c r="CE58" s="62">
        <f t="shared" si="40"/>
        <v>270.64539221029258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25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5.6843418860808015E-14</v>
      </c>
      <c r="BE59" s="14">
        <f>BD59*VLOOKUP('Données projet'!$B$11,Paramètres!$A$1:$I$89,3,0)*VLOOKUP('Données projet'!$B$11,Paramètres!$A$1:$I$89,5,0)</f>
        <v>3.3992364478763198E-14</v>
      </c>
      <c r="BF59" s="14">
        <f t="shared" si="37"/>
        <v>5.790027782444094E-13</v>
      </c>
      <c r="BG59" s="22">
        <f t="shared" si="7"/>
        <v>1.0676332069095257E-12</v>
      </c>
      <c r="BH59" s="62">
        <f t="shared" si="8"/>
        <v>293.33333333333439</v>
      </c>
      <c r="BI59" s="62">
        <f ca="1">AVERAGE(OFFSET($BH$3,0,0,'Données projet'!$E$11+1,1))-AVERAGE(OFFSET($H$3,0,0,'Données projet'!$E$11+1,1))</f>
        <v>157.98488572680344</v>
      </c>
      <c r="BJ59" s="62">
        <f t="shared" si="38"/>
        <v>269.20989374735825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65.366453174330744</v>
      </c>
      <c r="BQ59" s="23">
        <f>EXP(-LN(2)/25)*BQ58+(1-EXP(-LN(2)/25))/(LN(2)/25)*Calculateur!BL59*Calculateur!BN59*VLOOKUP('Données projet'!$B$11,Paramètres!$A$1:$I$89,3,0)*0.475*44/12</f>
        <v>1.6258304641291987</v>
      </c>
      <c r="BR59" s="23">
        <f>EXP(-LN(2)/2)*BR58+(1-EXP(-LN(2)/2))/(LN(2)/2)*BL59*BO59*VLOOKUP('Données projet'!$B$11,Paramètres!$A$1:$I$89,3,0)*0.475*44/12</f>
        <v>0.13446272444934565</v>
      </c>
      <c r="BS59" s="24">
        <f t="shared" si="9"/>
        <v>67.126746362909287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</v>
      </c>
      <c r="BY59" s="13">
        <f>IF('Données projet'!$A$114&gt;35,BY58+BX59-CG58,IF(A59&lt;'Données projet'!$A$114,$BV$205^A59,IF(A59='Données projet'!$A$114,'Données projet'!$B$114,BY58+BX59-CG58)))</f>
        <v>196.00000000000003</v>
      </c>
      <c r="BZ59" s="14">
        <f>BY59*VLOOKUP('Données projet'!$B$12,Paramètres!$A$1:$I$89,3,0)*VLOOKUP('Données projet'!$B$12,Paramètres!$A$1:$I$89,5,0)</f>
        <v>171.22560000000004</v>
      </c>
      <c r="CA59" s="14">
        <f t="shared" si="39"/>
        <v>43.364402348589557</v>
      </c>
      <c r="CB59" s="22">
        <f t="shared" si="10"/>
        <v>373.74425409046017</v>
      </c>
      <c r="CC59" s="62">
        <f t="shared" si="11"/>
        <v>667.07758742379349</v>
      </c>
      <c r="CD59" s="62">
        <f ca="1">AVERAGE(OFFSET($CC$3,0,0,'Données projet'!$E$12+1,1))-AVERAGE(OFFSET($H$3,0,0,'Données projet'!$E$12+1,1))</f>
        <v>236.12531905695994</v>
      </c>
      <c r="CE59" s="62">
        <f t="shared" si="40"/>
        <v>270.64539221029258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5.6843418860808015E-14</v>
      </c>
      <c r="BE60" s="14">
        <f>BD60*VLOOKUP('Données projet'!$B$11,Paramètres!$A$1:$I$89,3,0)*VLOOKUP('Données projet'!$B$11,Paramètres!$A$1:$I$89,5,0)</f>
        <v>3.3992364478763198E-14</v>
      </c>
      <c r="BF60" s="14">
        <f t="shared" si="37"/>
        <v>5.790027782444094E-13</v>
      </c>
      <c r="BG60" s="22">
        <f t="shared" si="7"/>
        <v>1.0676332069095257E-12</v>
      </c>
      <c r="BH60" s="62">
        <f t="shared" si="8"/>
        <v>293.33333333333439</v>
      </c>
      <c r="BI60" s="62">
        <f ca="1">AVERAGE(OFFSET($BH$3,0,0,'Données projet'!$E$11+1,1))-AVERAGE(OFFSET($H$3,0,0,'Données projet'!$E$11+1,1))</f>
        <v>157.98488572680344</v>
      </c>
      <c r="BJ60" s="62">
        <f t="shared" si="38"/>
        <v>269.20989374735825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64.084656897181759</v>
      </c>
      <c r="BQ60" s="23">
        <f>EXP(-LN(2)/25)*BQ59+(1-EXP(-LN(2)/25))/(LN(2)/25)*Calculateur!BL60*Calculateur!BN60*VLOOKUP('Données projet'!$B$11,Paramètres!$A$1:$I$89,3,0)*0.475*44/12</f>
        <v>1.5813720445888775</v>
      </c>
      <c r="BR60" s="23">
        <f>EXP(-LN(2)/2)*BR59+(1-EXP(-LN(2)/2))/(LN(2)/2)*BL60*BO60*VLOOKUP('Données projet'!$B$11,Paramètres!$A$1:$I$89,3,0)*0.475*44/12</f>
        <v>9.5079504274950488E-2</v>
      </c>
      <c r="BS60" s="24">
        <f t="shared" si="9"/>
        <v>65.761108446045583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</v>
      </c>
      <c r="BY60" s="13">
        <f>IF('Données projet'!$A$114&gt;35,BY59+BX60-CG59,IF(A60&lt;'Données projet'!$A$114,$BV$205^A60,IF(A60='Données projet'!$A$114,'Données projet'!$B$114,BY59+BX60-CG59)))</f>
        <v>202.00000000000003</v>
      </c>
      <c r="BZ60" s="14">
        <f>BY60*VLOOKUP('Données projet'!$B$12,Paramètres!$A$1:$I$89,3,0)*VLOOKUP('Données projet'!$B$12,Paramètres!$A$1:$I$89,5,0)</f>
        <v>176.46720000000005</v>
      </c>
      <c r="CA60" s="14">
        <f t="shared" si="39"/>
        <v>44.535298821989393</v>
      </c>
      <c r="CB60" s="22">
        <f t="shared" si="10"/>
        <v>384.91268544829819</v>
      </c>
      <c r="CC60" s="62">
        <f t="shared" si="11"/>
        <v>678.24601878163151</v>
      </c>
      <c r="CD60" s="62">
        <f ca="1">AVERAGE(OFFSET($CC$3,0,0,'Données projet'!$E$12+1,1))-AVERAGE(OFFSET($H$3,0,0,'Données projet'!$E$12+1,1))</f>
        <v>236.12531905695994</v>
      </c>
      <c r="CE60" s="62">
        <f t="shared" si="40"/>
        <v>270.64539221029258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5.6843418860808015E-14</v>
      </c>
      <c r="BE61" s="14">
        <f>BD61*VLOOKUP('Données projet'!$B$11,Paramètres!$A$1:$I$89,3,0)*VLOOKUP('Données projet'!$B$11,Paramètres!$A$1:$I$89,5,0)</f>
        <v>3.3992364478763198E-14</v>
      </c>
      <c r="BF61" s="14">
        <f t="shared" si="37"/>
        <v>5.790027782444094E-13</v>
      </c>
      <c r="BG61" s="22">
        <f t="shared" si="7"/>
        <v>1.0676332069095257E-12</v>
      </c>
      <c r="BH61" s="62">
        <f t="shared" si="8"/>
        <v>293.33333333333439</v>
      </c>
      <c r="BI61" s="62">
        <f ca="1">AVERAGE(OFFSET($BH$3,0,0,'Données projet'!$E$11+1,1))-AVERAGE(OFFSET($H$3,0,0,'Données projet'!$E$11+1,1))</f>
        <v>157.98488572680344</v>
      </c>
      <c r="BJ61" s="62">
        <f t="shared" si="38"/>
        <v>269.20989374735825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62.827995863209132</v>
      </c>
      <c r="BQ61" s="23">
        <f>EXP(-LN(2)/25)*BQ60+(1-EXP(-LN(2)/25))/(LN(2)/25)*Calculateur!BL61*Calculateur!BN61*VLOOKUP('Données projet'!$B$11,Paramètres!$A$1:$I$89,3,0)*0.475*44/12</f>
        <v>1.5381293428688532</v>
      </c>
      <c r="BR61" s="23">
        <f>EXP(-LN(2)/2)*BR60+(1-EXP(-LN(2)/2))/(LN(2)/2)*BL61*BO61*VLOOKUP('Données projet'!$B$11,Paramètres!$A$1:$I$89,3,0)*0.475*44/12</f>
        <v>6.7231362224672825E-2</v>
      </c>
      <c r="BS61" s="24">
        <f t="shared" si="9"/>
        <v>64.433356568302656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</v>
      </c>
      <c r="BY61" s="13">
        <f>IF('Données projet'!$A$114&gt;35,BY60+BX61-CG60,IF(A61&lt;'Données projet'!$A$114,$BV$205^A61,IF(A61='Données projet'!$A$114,'Données projet'!$B$114,BY60+BX61-CG60)))</f>
        <v>208.00000000000003</v>
      </c>
      <c r="BZ61" s="14">
        <f>BY61*VLOOKUP('Données projet'!$B$12,Paramètres!$A$1:$I$89,3,0)*VLOOKUP('Données projet'!$B$12,Paramètres!$A$1:$I$89,5,0)</f>
        <v>181.70880000000005</v>
      </c>
      <c r="CA61" s="14">
        <f t="shared" si="39"/>
        <v>45.702153370067812</v>
      </c>
      <c r="CB61" s="22">
        <f t="shared" si="10"/>
        <v>396.07407711953482</v>
      </c>
      <c r="CC61" s="62">
        <f t="shared" si="11"/>
        <v>689.40741045286813</v>
      </c>
      <c r="CD61" s="62">
        <f ca="1">AVERAGE(OFFSET($CC$3,0,0,'Données projet'!$E$12+1,1))-AVERAGE(OFFSET($H$3,0,0,'Données projet'!$E$12+1,1))</f>
        <v>236.12531905695994</v>
      </c>
      <c r="CE61" s="62">
        <f t="shared" si="40"/>
        <v>270.64539221029258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5.6843418860808015E-14</v>
      </c>
      <c r="BE62" s="14">
        <f>BD62*VLOOKUP('Données projet'!$B$11,Paramètres!$A$1:$I$89,3,0)*VLOOKUP('Données projet'!$B$11,Paramètres!$A$1:$I$89,5,0)</f>
        <v>3.3992364478763198E-14</v>
      </c>
      <c r="BF62" s="14">
        <f t="shared" si="37"/>
        <v>5.790027782444094E-13</v>
      </c>
      <c r="BG62" s="22">
        <f t="shared" si="7"/>
        <v>1.0676332069095257E-12</v>
      </c>
      <c r="BH62" s="62">
        <f t="shared" si="8"/>
        <v>293.33333333333439</v>
      </c>
      <c r="BI62" s="62">
        <f ca="1">AVERAGE(OFFSET($BH$3,0,0,'Données projet'!$E$11+1,1))-AVERAGE(OFFSET($H$3,0,0,'Données projet'!$E$11+1,1))</f>
        <v>157.98488572680344</v>
      </c>
      <c r="BJ62" s="62">
        <f t="shared" si="38"/>
        <v>269.20989374735825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61.595977185625166</v>
      </c>
      <c r="BQ62" s="23">
        <f>EXP(-LN(2)/25)*BQ61+(1-EXP(-LN(2)/25))/(LN(2)/25)*Calculateur!BL62*Calculateur!BN62*VLOOKUP('Données projet'!$B$11,Paramètres!$A$1:$I$89,3,0)*0.475*44/12</f>
        <v>1.4960691151013976</v>
      </c>
      <c r="BR62" s="23">
        <f>EXP(-LN(2)/2)*BR61+(1-EXP(-LN(2)/2))/(LN(2)/2)*BL62*BO62*VLOOKUP('Données projet'!$B$11,Paramètres!$A$1:$I$89,3,0)*0.475*44/12</f>
        <v>4.7539752137475244E-2</v>
      </c>
      <c r="BS62" s="24">
        <f t="shared" si="9"/>
        <v>63.13958605286404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</v>
      </c>
      <c r="BY62" s="13">
        <f>IF('Données projet'!$A$114&gt;35,BY61+BX62-CG61,IF(A62&lt;'Données projet'!$A$114,$BV$205^A62,IF(A62='Données projet'!$A$114,'Données projet'!$B$114,BY61+BX62-CG61)))</f>
        <v>214.00000000000003</v>
      </c>
      <c r="BZ62" s="14">
        <f>BY62*VLOOKUP('Données projet'!$B$12,Paramètres!$A$1:$I$89,3,0)*VLOOKUP('Données projet'!$B$12,Paramètres!$A$1:$I$89,5,0)</f>
        <v>186.95040000000006</v>
      </c>
      <c r="CA62" s="14">
        <f t="shared" si="39"/>
        <v>46.865095976617653</v>
      </c>
      <c r="CB62" s="22">
        <f t="shared" si="10"/>
        <v>407.22865549260922</v>
      </c>
      <c r="CC62" s="62">
        <f t="shared" si="11"/>
        <v>700.56198882594254</v>
      </c>
      <c r="CD62" s="62">
        <f ca="1">AVERAGE(OFFSET($CC$3,0,0,'Données projet'!$E$12+1,1))-AVERAGE(OFFSET($H$3,0,0,'Données projet'!$E$12+1,1))</f>
        <v>236.12531905695994</v>
      </c>
      <c r="CE62" s="62">
        <f t="shared" si="40"/>
        <v>270.64539221029258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5.6843418860808015E-14</v>
      </c>
      <c r="BE63" s="14">
        <f>BD63*VLOOKUP('Données projet'!$B$11,Paramètres!$A$1:$I$89,3,0)*VLOOKUP('Données projet'!$B$11,Paramètres!$A$1:$I$89,5,0)</f>
        <v>3.3992364478763198E-14</v>
      </c>
      <c r="BF63" s="14">
        <f t="shared" si="37"/>
        <v>5.790027782444094E-13</v>
      </c>
      <c r="BG63" s="22">
        <f t="shared" si="7"/>
        <v>1.0676332069095257E-12</v>
      </c>
      <c r="BH63" s="62">
        <f t="shared" si="8"/>
        <v>293.33333333333439</v>
      </c>
      <c r="BI63" s="62">
        <f ca="1">AVERAGE(OFFSET($BH$3,0,0,'Données projet'!$E$11+1,1))-AVERAGE(OFFSET($H$3,0,0,'Données projet'!$E$11+1,1))</f>
        <v>157.98488572680344</v>
      </c>
      <c r="BJ63" s="62">
        <f t="shared" si="38"/>
        <v>269.20989374735825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60.388117642851427</v>
      </c>
      <c r="BQ63" s="23">
        <f>EXP(-LN(2)/25)*BQ62+(1-EXP(-LN(2)/25))/(LN(2)/25)*Calculateur!BL63*Calculateur!BN63*VLOOKUP('Données projet'!$B$11,Paramètres!$A$1:$I$89,3,0)*0.475*44/12</f>
        <v>1.4551590264740943</v>
      </c>
      <c r="BR63" s="23">
        <f>EXP(-LN(2)/2)*BR62+(1-EXP(-LN(2)/2))/(LN(2)/2)*BL63*BO63*VLOOKUP('Données projet'!$B$11,Paramètres!$A$1:$I$89,3,0)*0.475*44/12</f>
        <v>3.3615681112336412E-2</v>
      </c>
      <c r="BS63" s="24">
        <f t="shared" si="9"/>
        <v>61.876892350437856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220</v>
      </c>
      <c r="BW63" s="13">
        <f>VLOOKUP(A63,'Données projet'!$A$113:$I$133,9,0)</f>
        <v>6</v>
      </c>
      <c r="BX63" s="13">
        <f t="array" ref="BX63">INDEX(BW:BW,MIN(IF(ISNUMBER(BW63:BW259),ROW(BW63:BW259),"")))</f>
        <v>6</v>
      </c>
      <c r="BY63" s="13">
        <f>IF('Données projet'!$A$114&gt;35,BY62+BX63-CG62,IF(A63&lt;'Données projet'!$A$114,$BV$205^A63,IF(A63='Données projet'!$A$114,'Données projet'!$B$114,BY62+BX63-CG62)))</f>
        <v>220.00000000000003</v>
      </c>
      <c r="BZ63" s="14">
        <f>BY63*VLOOKUP('Données projet'!$B$12,Paramètres!$A$1:$I$89,3,0)*VLOOKUP('Données projet'!$B$12,Paramètres!$A$1:$I$89,5,0)</f>
        <v>192.19200000000006</v>
      </c>
      <c r="CA63" s="14">
        <f t="shared" si="39"/>
        <v>48.02424892193244</v>
      </c>
      <c r="CB63" s="22">
        <f t="shared" si="10"/>
        <v>418.37663353903241</v>
      </c>
      <c r="CC63" s="62">
        <f t="shared" si="11"/>
        <v>711.70996687236573</v>
      </c>
      <c r="CD63" s="62">
        <f ca="1">AVERAGE(OFFSET($CC$3,0,0,'Données projet'!$E$12+1,1))-AVERAGE(OFFSET($H$3,0,0,'Données projet'!$E$12+1,1))</f>
        <v>236.12531905695994</v>
      </c>
      <c r="CE63" s="62">
        <f t="shared" si="40"/>
        <v>270.64539221029258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5.6843418860808015E-14</v>
      </c>
      <c r="BE64" s="14">
        <f>BD64*VLOOKUP('Données projet'!$B$11,Paramètres!$A$1:$I$89,3,0)*VLOOKUP('Données projet'!$B$11,Paramètres!$A$1:$I$89,5,0)</f>
        <v>3.3992364478763198E-14</v>
      </c>
      <c r="BF64" s="14">
        <f t="shared" si="37"/>
        <v>5.790027782444094E-13</v>
      </c>
      <c r="BG64" s="22">
        <f t="shared" si="7"/>
        <v>1.0676332069095257E-12</v>
      </c>
      <c r="BH64" s="62">
        <f t="shared" si="8"/>
        <v>293.33333333333439</v>
      </c>
      <c r="BI64" s="62">
        <f ca="1">AVERAGE(OFFSET($BH$3,0,0,'Données projet'!$E$11+1,1))-AVERAGE(OFFSET($H$3,0,0,'Données projet'!$E$11+1,1))</f>
        <v>157.98488572680344</v>
      </c>
      <c r="BJ64" s="62">
        <f t="shared" si="38"/>
        <v>269.20989374735825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59.203943488989907</v>
      </c>
      <c r="BQ64" s="23">
        <f>EXP(-LN(2)/25)*BQ63+(1-EXP(-LN(2)/25))/(LN(2)/25)*Calculateur!BL64*Calculateur!BN64*VLOOKUP('Données projet'!$B$11,Paramètres!$A$1:$I$89,3,0)*0.475*44/12</f>
        <v>1.4153676263716728</v>
      </c>
      <c r="BR64" s="23">
        <f>EXP(-LN(2)/2)*BR63+(1-EXP(-LN(2)/2))/(LN(2)/2)*BL64*BO64*VLOOKUP('Données projet'!$B$11,Paramètres!$A$1:$I$89,3,0)*0.475*44/12</f>
        <v>2.3769876068737622E-2</v>
      </c>
      <c r="BS64" s="24">
        <f t="shared" si="9"/>
        <v>60.643080991430324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203.20000000000002</v>
      </c>
      <c r="BZ64" s="14">
        <f>BY64*VLOOKUP('Données projet'!$B$12,Paramètres!$A$1:$I$89,3,0)*VLOOKUP('Données projet'!$B$12,Paramètres!$A$1:$I$89,5,0)</f>
        <v>177.51552000000004</v>
      </c>
      <c r="CA64" s="14">
        <f t="shared" si="39"/>
        <v>44.768988809542904</v>
      </c>
      <c r="CB64" s="22">
        <f t="shared" si="10"/>
        <v>387.145519509954</v>
      </c>
      <c r="CC64" s="62">
        <f t="shared" si="11"/>
        <v>680.47885284328731</v>
      </c>
      <c r="CD64" s="62">
        <f ca="1">AVERAGE(OFFSET($CC$3,0,0,'Données projet'!$E$12+1,1))-AVERAGE(OFFSET($H$3,0,0,'Données projet'!$E$12+1,1))</f>
        <v>236.12531905695994</v>
      </c>
      <c r="CE64" s="62">
        <f t="shared" si="40"/>
        <v>270.64539221029258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5.6843418860808015E-14</v>
      </c>
      <c r="BE65" s="14">
        <f>BD65*VLOOKUP('Données projet'!$B$11,Paramètres!$A$1:$I$89,3,0)*VLOOKUP('Données projet'!$B$11,Paramètres!$A$1:$I$89,5,0)</f>
        <v>3.3992364478763198E-14</v>
      </c>
      <c r="BF65" s="14">
        <f t="shared" si="37"/>
        <v>5.790027782444094E-13</v>
      </c>
      <c r="BG65" s="22">
        <f t="shared" si="7"/>
        <v>1.0676332069095257E-12</v>
      </c>
      <c r="BH65" s="62">
        <f t="shared" si="8"/>
        <v>293.33333333333439</v>
      </c>
      <c r="BI65" s="62">
        <f ca="1">AVERAGE(OFFSET($BH$3,0,0,'Données projet'!$E$11+1,1))-AVERAGE(OFFSET($H$3,0,0,'Données projet'!$E$11+1,1))</f>
        <v>157.98488572680344</v>
      </c>
      <c r="BJ65" s="62">
        <f t="shared" si="38"/>
        <v>269.20989374735825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58.042990268010691</v>
      </c>
      <c r="BQ65" s="23">
        <f>EXP(-LN(2)/25)*BQ64+(1-EXP(-LN(2)/25))/(LN(2)/25)*Calculateur!BL65*Calculateur!BN65*VLOOKUP('Données projet'!$B$11,Paramètres!$A$1:$I$89,3,0)*0.475*44/12</f>
        <v>1.3766643241975909</v>
      </c>
      <c r="BR65" s="23">
        <f>EXP(-LN(2)/2)*BR64+(1-EXP(-LN(2)/2))/(LN(2)/2)*BL65*BO65*VLOOKUP('Données projet'!$B$11,Paramètres!$A$1:$I$89,3,0)*0.475*44/12</f>
        <v>1.6807840556168206E-2</v>
      </c>
      <c r="BS65" s="24">
        <f t="shared" si="9"/>
        <v>59.436462432764451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208.4</v>
      </c>
      <c r="BZ65" s="14">
        <f>BY65*VLOOKUP('Données projet'!$B$12,Paramètres!$A$1:$I$89,3,0)*VLOOKUP('Données projet'!$B$12,Paramètres!$A$1:$I$89,5,0)</f>
        <v>182.05824000000001</v>
      </c>
      <c r="CA65" s="14">
        <f t="shared" si="39"/>
        <v>45.779803189729343</v>
      </c>
      <c r="CB65" s="22">
        <f t="shared" si="10"/>
        <v>396.81792522211191</v>
      </c>
      <c r="CC65" s="62">
        <f t="shared" si="11"/>
        <v>690.15125855544522</v>
      </c>
      <c r="CD65" s="62">
        <f ca="1">AVERAGE(OFFSET($CC$3,0,0,'Données projet'!$E$12+1,1))-AVERAGE(OFFSET($H$3,0,0,'Données projet'!$E$12+1,1))</f>
        <v>236.12531905695994</v>
      </c>
      <c r="CE65" s="62">
        <f t="shared" si="40"/>
        <v>270.64539221029258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5.6843418860808015E-14</v>
      </c>
      <c r="BE66" s="14">
        <f>BD66*VLOOKUP('Données projet'!$B$11,Paramètres!$A$1:$I$89,3,0)*VLOOKUP('Données projet'!$B$11,Paramètres!$A$1:$I$89,5,0)</f>
        <v>3.3992364478763198E-14</v>
      </c>
      <c r="BF66" s="14">
        <f t="shared" si="37"/>
        <v>5.790027782444094E-13</v>
      </c>
      <c r="BG66" s="22">
        <f t="shared" si="7"/>
        <v>1.0676332069095257E-12</v>
      </c>
      <c r="BH66" s="62">
        <f t="shared" si="8"/>
        <v>293.33333333333439</v>
      </c>
      <c r="BI66" s="62">
        <f ca="1">AVERAGE(OFFSET($BH$3,0,0,'Données projet'!$E$11+1,1))-AVERAGE(OFFSET($H$3,0,0,'Données projet'!$E$11+1,1))</f>
        <v>157.98488572680344</v>
      </c>
      <c r="BJ66" s="62">
        <f t="shared" si="38"/>
        <v>269.20989374735825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56.904802631583337</v>
      </c>
      <c r="BQ66" s="23">
        <f>EXP(-LN(2)/25)*BQ65+(1-EXP(-LN(2)/25))/(LN(2)/25)*Calculateur!BL66*Calculateur!BN66*VLOOKUP('Données projet'!$B$11,Paramètres!$A$1:$I$89,3,0)*0.475*44/12</f>
        <v>1.3390193658567773</v>
      </c>
      <c r="BR66" s="23">
        <f>EXP(-LN(2)/2)*BR65+(1-EXP(-LN(2)/2))/(LN(2)/2)*BL66*BO66*VLOOKUP('Données projet'!$B$11,Paramètres!$A$1:$I$89,3,0)*0.475*44/12</f>
        <v>1.1884938034368811E-2</v>
      </c>
      <c r="BS66" s="24">
        <f t="shared" si="9"/>
        <v>58.255706935474485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213.6</v>
      </c>
      <c r="BZ66" s="14">
        <f>BY66*VLOOKUP('Données projet'!$B$12,Paramètres!$A$1:$I$89,3,0)*VLOOKUP('Données projet'!$B$12,Paramètres!$A$1:$I$89,5,0)</f>
        <v>186.60096000000001</v>
      </c>
      <c r="CA66" s="14">
        <f t="shared" si="39"/>
        <v>46.787685683664144</v>
      </c>
      <c r="CB66" s="22">
        <f t="shared" si="10"/>
        <v>406.48522456571504</v>
      </c>
      <c r="CC66" s="62">
        <f t="shared" si="11"/>
        <v>699.8185578990483</v>
      </c>
      <c r="CD66" s="62">
        <f ca="1">AVERAGE(OFFSET($CC$3,0,0,'Données projet'!$E$12+1,1))-AVERAGE(OFFSET($H$3,0,0,'Données projet'!$E$12+1,1))</f>
        <v>236.12531905695994</v>
      </c>
      <c r="CE66" s="62">
        <f t="shared" si="40"/>
        <v>270.64539221029258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5.6843418860808015E-14</v>
      </c>
      <c r="BE67" s="14">
        <f>BD67*VLOOKUP('Données projet'!$B$11,Paramètres!$A$1:$I$89,3,0)*VLOOKUP('Données projet'!$B$11,Paramètres!$A$1:$I$89,5,0)</f>
        <v>3.3992364478763198E-14</v>
      </c>
      <c r="BF67" s="14">
        <f t="shared" si="37"/>
        <v>5.790027782444094E-13</v>
      </c>
      <c r="BG67" s="22">
        <f t="shared" si="7"/>
        <v>1.0676332069095257E-12</v>
      </c>
      <c r="BH67" s="62">
        <f t="shared" si="8"/>
        <v>293.33333333333439</v>
      </c>
      <c r="BI67" s="62">
        <f ca="1">AVERAGE(OFFSET($BH$3,0,0,'Données projet'!$E$11+1,1))-AVERAGE(OFFSET($H$3,0,0,'Données projet'!$E$11+1,1))</f>
        <v>157.98488572680344</v>
      </c>
      <c r="BJ67" s="62">
        <f t="shared" si="38"/>
        <v>269.20989374735825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55.788934160480416</v>
      </c>
      <c r="BQ67" s="23">
        <f>EXP(-LN(2)/25)*BQ66+(1-EXP(-LN(2)/25))/(LN(2)/25)*Calculateur!BL67*Calculateur!BN67*VLOOKUP('Données projet'!$B$11,Paramètres!$A$1:$I$89,3,0)*0.475*44/12</f>
        <v>1.3024038108814555</v>
      </c>
      <c r="BR67" s="23">
        <f>EXP(-LN(2)/2)*BR66+(1-EXP(-LN(2)/2))/(LN(2)/2)*BL67*BO67*VLOOKUP('Données projet'!$B$11,Paramètres!$A$1:$I$89,3,0)*0.475*44/12</f>
        <v>8.4039202780841031E-3</v>
      </c>
      <c r="BS67" s="24">
        <f t="shared" si="9"/>
        <v>57.099741891639958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218.79999999999998</v>
      </c>
      <c r="BZ67" s="14">
        <f>BY67*VLOOKUP('Données projet'!$B$12,Paramètres!$A$1:$I$89,3,0)*VLOOKUP('Données projet'!$B$12,Paramètres!$A$1:$I$89,5,0)</f>
        <v>191.14368000000002</v>
      </c>
      <c r="CA67" s="14">
        <f t="shared" si="39"/>
        <v>47.792715878069586</v>
      </c>
      <c r="CB67" s="22">
        <f t="shared" si="10"/>
        <v>416.14755615430454</v>
      </c>
      <c r="CC67" s="62">
        <f t="shared" si="11"/>
        <v>709.4808894876378</v>
      </c>
      <c r="CD67" s="62">
        <f ca="1">AVERAGE(OFFSET($CC$3,0,0,'Données projet'!$E$12+1,1))-AVERAGE(OFFSET($H$3,0,0,'Données projet'!$E$12+1,1))</f>
        <v>236.12531905695994</v>
      </c>
      <c r="CE67" s="62">
        <f t="shared" si="40"/>
        <v>270.64539221029258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5.6843418860808015E-14</v>
      </c>
      <c r="BE68" s="14">
        <f>BD68*VLOOKUP('Données projet'!$B$11,Paramètres!$A$1:$I$89,3,0)*VLOOKUP('Données projet'!$B$11,Paramètres!$A$1:$I$89,5,0)</f>
        <v>3.3992364478763198E-14</v>
      </c>
      <c r="BF68" s="14">
        <f t="shared" si="37"/>
        <v>5.790027782444094E-13</v>
      </c>
      <c r="BG68" s="22">
        <f t="shared" ref="BG68:BG131" si="61">(BE68+BF68)*0.475*44/12</f>
        <v>1.0676332069095257E-12</v>
      </c>
      <c r="BH68" s="62">
        <f t="shared" ref="BH68:BH131" si="62">BG68+(AY68+AZ68)*44/12</f>
        <v>293.33333333333439</v>
      </c>
      <c r="BI68" s="62">
        <f ca="1">AVERAGE(OFFSET($BH$3,0,0,'Données projet'!$E$11+1,1))-AVERAGE(OFFSET($H$3,0,0,'Données projet'!$E$11+1,1))</f>
        <v>157.98488572680344</v>
      </c>
      <c r="BJ68" s="62">
        <f t="shared" si="38"/>
        <v>269.20989374735825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54.694947189483258</v>
      </c>
      <c r="BQ68" s="23">
        <f>EXP(-LN(2)/25)*BQ67+(1-EXP(-LN(2)/25))/(LN(2)/25)*Calculateur!BL68*Calculateur!BN68*VLOOKUP('Données projet'!$B$11,Paramètres!$A$1:$I$89,3,0)*0.475*44/12</f>
        <v>1.2667895101824624</v>
      </c>
      <c r="BR68" s="23">
        <f>EXP(-LN(2)/2)*BR67+(1-EXP(-LN(2)/2))/(LN(2)/2)*BL68*BO68*VLOOKUP('Données projet'!$B$11,Paramètres!$A$1:$I$89,3,0)*0.475*44/12</f>
        <v>5.9424690171844055E-3</v>
      </c>
      <c r="BS68" s="24">
        <f t="shared" ref="BS68:BS131" si="63">SUM(BP68:BR68)</f>
        <v>55.967679168682906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224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223.99999999999997</v>
      </c>
      <c r="BZ68" s="14">
        <f>BY68*VLOOKUP('Données projet'!$B$12,Paramètres!$A$1:$I$89,3,0)*VLOOKUP('Données projet'!$B$12,Paramètres!$A$1:$I$89,5,0)</f>
        <v>195.68639999999999</v>
      </c>
      <c r="CA68" s="14">
        <f t="shared" si="39"/>
        <v>48.794969360985156</v>
      </c>
      <c r="CB68" s="22">
        <f t="shared" ref="CB68:CB131" si="64">(BZ68+CA68)*0.475*44/12</f>
        <v>425.80505163704908</v>
      </c>
      <c r="CC68" s="62">
        <f t="shared" ref="CC68:CC131" si="65">CB68+(BT68+BU68)*44/12</f>
        <v>719.13838497038239</v>
      </c>
      <c r="CD68" s="62">
        <f ca="1">AVERAGE(OFFSET($CC$3,0,0,'Données projet'!$E$12+1,1))-AVERAGE(OFFSET($H$3,0,0,'Données projet'!$E$12+1,1))</f>
        <v>236.12531905695994</v>
      </c>
      <c r="CE68" s="62">
        <f t="shared" si="40"/>
        <v>270.64539221029258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5.6843418860808015E-14</v>
      </c>
      <c r="BE69" s="14">
        <f>BD69*VLOOKUP('Données projet'!$B$11,Paramètres!$A$1:$I$89,3,0)*VLOOKUP('Données projet'!$B$11,Paramètres!$A$1:$I$89,5,0)</f>
        <v>3.3992364478763198E-14</v>
      </c>
      <c r="BF69" s="14">
        <f t="shared" ref="BF69:BF132" si="91">EXP(-1.0587+0.8836*LN(BE69)+0.284)</f>
        <v>5.790027782444094E-13</v>
      </c>
      <c r="BG69" s="22">
        <f t="shared" si="61"/>
        <v>1.0676332069095257E-12</v>
      </c>
      <c r="BH69" s="62">
        <f t="shared" si="62"/>
        <v>293.33333333333439</v>
      </c>
      <c r="BI69" s="62">
        <f ca="1">AVERAGE(OFFSET($BH$3,0,0,'Données projet'!$E$11+1,1))-AVERAGE(OFFSET($H$3,0,0,'Données projet'!$E$11+1,1))</f>
        <v>157.98488572680344</v>
      </c>
      <c r="BJ69" s="62">
        <f t="shared" ref="BJ69:BJ132" si="92">$BJ$3</f>
        <v>269.20989374735825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53.62241263572119</v>
      </c>
      <c r="BQ69" s="23">
        <f>EXP(-LN(2)/25)*BQ68+(1-EXP(-LN(2)/25))/(LN(2)/25)*Calculateur!BL69*Calculateur!BN69*VLOOKUP('Données projet'!$B$11,Paramètres!$A$1:$I$89,3,0)*0.475*44/12</f>
        <v>1.232149084408958</v>
      </c>
      <c r="BR69" s="23">
        <f>EXP(-LN(2)/2)*BR68+(1-EXP(-LN(2)/2))/(LN(2)/2)*BL69*BO69*VLOOKUP('Données projet'!$B$11,Paramètres!$A$1:$I$89,3,0)*0.475*44/12</f>
        <v>4.2019601390420516E-3</v>
      </c>
      <c r="BS69" s="24">
        <f t="shared" si="63"/>
        <v>54.858763680269192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4.5999999999999996</v>
      </c>
      <c r="BY69" s="13">
        <f>IF('Données projet'!$A$114&gt;35,BY68+BX69-CG68,IF(A69&lt;'Données projet'!$A$114,$BV$205^A69,IF(A69='Données projet'!$A$114,'Données projet'!$B$114,BY68+BX69-CG68)))</f>
        <v>208.59999999999997</v>
      </c>
      <c r="BZ69" s="14">
        <f>BY69*VLOOKUP('Données projet'!$B$12,Paramètres!$A$1:$I$89,3,0)*VLOOKUP('Données projet'!$B$12,Paramètres!$A$1:$I$89,5,0)</f>
        <v>182.23295999999999</v>
      </c>
      <c r="CA69" s="14">
        <f t="shared" ref="CA69:CA132" si="93">EXP(-1.0587+0.8836*LN(BZ69)+0.284)</f>
        <v>45.818621592366291</v>
      </c>
      <c r="CB69" s="22">
        <f t="shared" si="64"/>
        <v>397.18983794003793</v>
      </c>
      <c r="CC69" s="62">
        <f t="shared" si="65"/>
        <v>690.52317127337119</v>
      </c>
      <c r="CD69" s="62">
        <f ca="1">AVERAGE(OFFSET($CC$3,0,0,'Données projet'!$E$12+1,1))-AVERAGE(OFFSET($H$3,0,0,'Données projet'!$E$12+1,1))</f>
        <v>236.12531905695994</v>
      </c>
      <c r="CE69" s="62">
        <f t="shared" ref="CE69:CE132" si="94">$CE$3</f>
        <v>270.64539221029258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5.6843418860808015E-14</v>
      </c>
      <c r="BE70" s="14">
        <f>BD70*VLOOKUP('Données projet'!$B$11,Paramètres!$A$1:$I$89,3,0)*VLOOKUP('Données projet'!$B$11,Paramètres!$A$1:$I$89,5,0)</f>
        <v>3.3992364478763198E-14</v>
      </c>
      <c r="BF70" s="14">
        <f t="shared" si="91"/>
        <v>5.790027782444094E-13</v>
      </c>
      <c r="BG70" s="22">
        <f t="shared" si="61"/>
        <v>1.0676332069095257E-12</v>
      </c>
      <c r="BH70" s="62">
        <f t="shared" si="62"/>
        <v>293.33333333333439</v>
      </c>
      <c r="BI70" s="62">
        <f ca="1">AVERAGE(OFFSET($BH$3,0,0,'Données projet'!$E$11+1,1))-AVERAGE(OFFSET($H$3,0,0,'Données projet'!$E$11+1,1))</f>
        <v>157.98488572680344</v>
      </c>
      <c r="BJ70" s="62">
        <f t="shared" si="92"/>
        <v>269.20989374735825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52.570909830376912</v>
      </c>
      <c r="BQ70" s="23">
        <f>EXP(-LN(2)/25)*BQ69+(1-EXP(-LN(2)/25))/(LN(2)/25)*Calculateur!BL70*Calculateur!BN70*VLOOKUP('Données projet'!$B$11,Paramètres!$A$1:$I$89,3,0)*0.475*44/12</f>
        <v>1.1984559028998909</v>
      </c>
      <c r="BR70" s="23">
        <f>EXP(-LN(2)/2)*BR69+(1-EXP(-LN(2)/2))/(LN(2)/2)*BL70*BO70*VLOOKUP('Données projet'!$B$11,Paramètres!$A$1:$I$89,3,0)*0.475*44/12</f>
        <v>2.9712345085922028E-3</v>
      </c>
      <c r="BS70" s="24">
        <f t="shared" si="63"/>
        <v>53.772336967785392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4.5999999999999996</v>
      </c>
      <c r="BY70" s="13">
        <f>IF('Données projet'!$A$114&gt;35,BY69+BX70-CG69,IF(A70&lt;'Données projet'!$A$114,$BV$205^A70,IF(A70='Données projet'!$A$114,'Données projet'!$B$114,BY69+BX70-CG69)))</f>
        <v>213.19999999999996</v>
      </c>
      <c r="BZ70" s="14">
        <f>BY70*VLOOKUP('Données projet'!$B$12,Paramètres!$A$1:$I$89,3,0)*VLOOKUP('Données projet'!$B$12,Paramètres!$A$1:$I$89,5,0)</f>
        <v>186.25152</v>
      </c>
      <c r="CA70" s="14">
        <f t="shared" si="93"/>
        <v>46.71025851515671</v>
      </c>
      <c r="CB70" s="22">
        <f t="shared" si="64"/>
        <v>405.74176424723129</v>
      </c>
      <c r="CC70" s="62">
        <f t="shared" si="65"/>
        <v>699.0750975805646</v>
      </c>
      <c r="CD70" s="62">
        <f ca="1">AVERAGE(OFFSET($CC$3,0,0,'Données projet'!$E$12+1,1))-AVERAGE(OFFSET($H$3,0,0,'Données projet'!$E$12+1,1))</f>
        <v>236.12531905695994</v>
      </c>
      <c r="CE70" s="62">
        <f t="shared" si="94"/>
        <v>270.64539221029258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5.6843418860808015E-14</v>
      </c>
      <c r="BE71" s="14">
        <f>BD71*VLOOKUP('Données projet'!$B$11,Paramètres!$A$1:$I$89,3,0)*VLOOKUP('Données projet'!$B$11,Paramètres!$A$1:$I$89,5,0)</f>
        <v>3.3992364478763198E-14</v>
      </c>
      <c r="BF71" s="14">
        <f t="shared" si="91"/>
        <v>5.790027782444094E-13</v>
      </c>
      <c r="BG71" s="22">
        <f t="shared" si="61"/>
        <v>1.0676332069095257E-12</v>
      </c>
      <c r="BH71" s="62">
        <f t="shared" si="62"/>
        <v>293.33333333333439</v>
      </c>
      <c r="BI71" s="62">
        <f ca="1">AVERAGE(OFFSET($BH$3,0,0,'Données projet'!$E$11+1,1))-AVERAGE(OFFSET($H$3,0,0,'Données projet'!$E$11+1,1))</f>
        <v>157.98488572680344</v>
      </c>
      <c r="BJ71" s="62">
        <f t="shared" si="92"/>
        <v>269.20989374735825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51.540026353692056</v>
      </c>
      <c r="BQ71" s="23">
        <f>EXP(-LN(2)/25)*BQ70+(1-EXP(-LN(2)/25))/(LN(2)/25)*Calculateur!BL71*Calculateur!BN71*VLOOKUP('Données projet'!$B$11,Paramètres!$A$1:$I$89,3,0)*0.475*44/12</f>
        <v>1.1656840632110366</v>
      </c>
      <c r="BR71" s="23">
        <f>EXP(-LN(2)/2)*BR70+(1-EXP(-LN(2)/2))/(LN(2)/2)*BL71*BO71*VLOOKUP('Données projet'!$B$11,Paramètres!$A$1:$I$89,3,0)*0.475*44/12</f>
        <v>2.1009800695210258E-3</v>
      </c>
      <c r="BS71" s="24">
        <f t="shared" si="63"/>
        <v>52.707811396972616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4.5999999999999996</v>
      </c>
      <c r="BY71" s="13">
        <f>IF('Données projet'!$A$114&gt;35,BY70+BX71-CG70,IF(A71&lt;'Données projet'!$A$114,$BV$205^A71,IF(A71='Données projet'!$A$114,'Données projet'!$B$114,BY70+BX71-CG70)))</f>
        <v>217.79999999999995</v>
      </c>
      <c r="BZ71" s="14">
        <f>BY71*VLOOKUP('Données projet'!$B$12,Paramètres!$A$1:$I$89,3,0)*VLOOKUP('Données projet'!$B$12,Paramètres!$A$1:$I$89,5,0)</f>
        <v>190.27007999999998</v>
      </c>
      <c r="CA71" s="14">
        <f t="shared" si="93"/>
        <v>47.599658767320413</v>
      </c>
      <c r="CB71" s="22">
        <f t="shared" si="64"/>
        <v>414.28979501974965</v>
      </c>
      <c r="CC71" s="62">
        <f t="shared" si="65"/>
        <v>707.62312835308296</v>
      </c>
      <c r="CD71" s="62">
        <f ca="1">AVERAGE(OFFSET($CC$3,0,0,'Données projet'!$E$12+1,1))-AVERAGE(OFFSET($H$3,0,0,'Données projet'!$E$12+1,1))</f>
        <v>236.12531905695994</v>
      </c>
      <c r="CE71" s="62">
        <f t="shared" si="94"/>
        <v>270.64539221029258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5.6843418860808015E-14</v>
      </c>
      <c r="BE72" s="14">
        <f>BD72*VLOOKUP('Données projet'!$B$11,Paramètres!$A$1:$I$89,3,0)*VLOOKUP('Données projet'!$B$11,Paramètres!$A$1:$I$89,5,0)</f>
        <v>3.3992364478763198E-14</v>
      </c>
      <c r="BF72" s="14">
        <f t="shared" si="91"/>
        <v>5.790027782444094E-13</v>
      </c>
      <c r="BG72" s="22">
        <f t="shared" si="61"/>
        <v>1.0676332069095257E-12</v>
      </c>
      <c r="BH72" s="62">
        <f t="shared" si="62"/>
        <v>293.33333333333439</v>
      </c>
      <c r="BI72" s="62">
        <f ca="1">AVERAGE(OFFSET($BH$3,0,0,'Données projet'!$E$11+1,1))-AVERAGE(OFFSET($H$3,0,0,'Données projet'!$E$11+1,1))</f>
        <v>157.98488572680344</v>
      </c>
      <c r="BJ72" s="62">
        <f t="shared" si="92"/>
        <v>269.20989374735825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50.529357873208156</v>
      </c>
      <c r="BQ72" s="23">
        <f>EXP(-LN(2)/25)*BQ71+(1-EXP(-LN(2)/25))/(LN(2)/25)*Calculateur!BL72*Calculateur!BN72*VLOOKUP('Données projet'!$B$11,Paramètres!$A$1:$I$89,3,0)*0.475*44/12</f>
        <v>1.1338083712018701</v>
      </c>
      <c r="BR72" s="23">
        <f>EXP(-LN(2)/2)*BR71+(1-EXP(-LN(2)/2))/(LN(2)/2)*BL72*BO72*VLOOKUP('Données projet'!$B$11,Paramètres!$A$1:$I$89,3,0)*0.475*44/12</f>
        <v>1.4856172542961014E-3</v>
      </c>
      <c r="BS72" s="24">
        <f t="shared" si="63"/>
        <v>51.664651861664325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4.5999999999999996</v>
      </c>
      <c r="BY72" s="13">
        <f>IF('Données projet'!$A$114&gt;35,BY71+BX72-CG71,IF(A72&lt;'Données projet'!$A$114,$BV$205^A72,IF(A72='Données projet'!$A$114,'Données projet'!$B$114,BY71+BX72-CG71)))</f>
        <v>222.39999999999995</v>
      </c>
      <c r="BZ72" s="14">
        <f>BY72*VLOOKUP('Données projet'!$B$12,Paramètres!$A$1:$I$89,3,0)*VLOOKUP('Données projet'!$B$12,Paramètres!$A$1:$I$89,5,0)</f>
        <v>194.28863999999999</v>
      </c>
      <c r="CA72" s="14">
        <f t="shared" si="93"/>
        <v>48.486875029770822</v>
      </c>
      <c r="CB72" s="22">
        <f t="shared" si="64"/>
        <v>422.83402201018413</v>
      </c>
      <c r="CC72" s="62">
        <f t="shared" si="65"/>
        <v>716.16735534351744</v>
      </c>
      <c r="CD72" s="62">
        <f ca="1">AVERAGE(OFFSET($CC$3,0,0,'Données projet'!$E$12+1,1))-AVERAGE(OFFSET($H$3,0,0,'Données projet'!$E$12+1,1))</f>
        <v>236.12531905695994</v>
      </c>
      <c r="CE72" s="62">
        <f t="shared" si="94"/>
        <v>270.64539221029258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3.3992364478763198E-14</v>
      </c>
      <c r="BF73" s="14">
        <f t="shared" si="91"/>
        <v>5.790027782444094E-13</v>
      </c>
      <c r="BG73" s="22">
        <f t="shared" si="61"/>
        <v>1.0676332069095257E-12</v>
      </c>
      <c r="BH73" s="62">
        <f t="shared" si="62"/>
        <v>293.33333333333439</v>
      </c>
      <c r="BI73" s="62">
        <f ca="1">AVERAGE(OFFSET($BH$3,0,0,'Données projet'!$E$11+1,1))-AVERAGE(OFFSET($H$3,0,0,'Données projet'!$E$11+1,1))</f>
        <v>157.98488572680344</v>
      </c>
      <c r="BJ73" s="62">
        <f t="shared" si="92"/>
        <v>269.20989374735825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49.538507985179635</v>
      </c>
      <c r="BQ73" s="23">
        <f>EXP(-LN(2)/25)*BQ72+(1-EXP(-LN(2)/25))/(LN(2)/25)*Calculateur!BL73*Calculateur!BN73*VLOOKUP('Données projet'!$B$11,Paramètres!$A$1:$I$89,3,0)*0.475*44/12</f>
        <v>1.1028043216669641</v>
      </c>
      <c r="BR73" s="23">
        <f>EXP(-LN(2)/2)*BR72+(1-EXP(-LN(2)/2))/(LN(2)/2)*BL73*BO73*VLOOKUP('Données projet'!$B$11,Paramètres!$A$1:$I$89,3,0)*0.475*44/12</f>
        <v>1.0504900347605129E-3</v>
      </c>
      <c r="BS73" s="24">
        <f t="shared" si="63"/>
        <v>50.642362796881358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227</v>
      </c>
      <c r="BW73" s="13">
        <f>VLOOKUP(A73,'Données projet'!$A$113:$I$133,9,0)</f>
        <v>4.5999999999999996</v>
      </c>
      <c r="BX73" s="13">
        <f t="array" ref="BX73">INDEX(BW:BW,MIN(IF(ISNUMBER(BW73:BW269),ROW(BW73:BW269),"")))</f>
        <v>4.5999999999999996</v>
      </c>
      <c r="BY73" s="13">
        <f>IF('Données projet'!$A$114&gt;35,BY72+BX73-CG72,IF(A73&lt;'Données projet'!$A$114,$BV$205^A73,IF(A73='Données projet'!$A$114,'Données projet'!$B$114,BY72+BX73-CG72)))</f>
        <v>226.99999999999994</v>
      </c>
      <c r="BZ73" s="14">
        <f>BY73*VLOOKUP('Données projet'!$B$12,Paramètres!$A$1:$I$89,3,0)*VLOOKUP('Données projet'!$B$12,Paramètres!$A$1:$I$89,5,0)</f>
        <v>198.30719999999997</v>
      </c>
      <c r="CA73" s="14">
        <f t="shared" si="93"/>
        <v>49.371957679623371</v>
      </c>
      <c r="CB73" s="22">
        <f t="shared" si="64"/>
        <v>431.37453295867726</v>
      </c>
      <c r="CC73" s="62">
        <f t="shared" si="65"/>
        <v>724.70786629201052</v>
      </c>
      <c r="CD73" s="62">
        <f ca="1">AVERAGE(OFFSET($CC$3,0,0,'Données projet'!$E$12+1,1))-AVERAGE(OFFSET($H$3,0,0,'Données projet'!$E$12+1,1))</f>
        <v>236.12531905695994</v>
      </c>
      <c r="CE73" s="62">
        <f t="shared" si="94"/>
        <v>270.64539221029258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17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3.3992364478763198E-14</v>
      </c>
      <c r="BF74" s="14">
        <f t="shared" si="91"/>
        <v>5.790027782444094E-13</v>
      </c>
      <c r="BG74" s="22">
        <f t="shared" si="61"/>
        <v>1.0676332069095257E-12</v>
      </c>
      <c r="BH74" s="62">
        <f t="shared" si="62"/>
        <v>293.33333333333439</v>
      </c>
      <c r="BI74" s="62">
        <f ca="1">AVERAGE(OFFSET($BH$3,0,0,'Données projet'!$E$11+1,1))-AVERAGE(OFFSET($H$3,0,0,'Données projet'!$E$11+1,1))</f>
        <v>157.98488572680344</v>
      </c>
      <c r="BJ74" s="62">
        <f t="shared" si="92"/>
        <v>269.20989374735825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48.567088059096598</v>
      </c>
      <c r="BQ74" s="23">
        <f>EXP(-LN(2)/25)*BQ73+(1-EXP(-LN(2)/25))/(LN(2)/25)*Calculateur!BL74*Calculateur!BN74*VLOOKUP('Données projet'!$B$11,Paramètres!$A$1:$I$89,3,0)*0.475*44/12</f>
        <v>1.0726480794970221</v>
      </c>
      <c r="BR74" s="23">
        <f>EXP(-LN(2)/2)*BR73+(1-EXP(-LN(2)/2))/(LN(2)/2)*BL74*BO74*VLOOKUP('Données projet'!$B$11,Paramètres!$A$1:$I$89,3,0)*0.475*44/12</f>
        <v>7.4280862714805069E-4</v>
      </c>
      <c r="BS74" s="24">
        <f t="shared" si="63"/>
        <v>49.640478947220764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</v>
      </c>
      <c r="BY74" s="13">
        <f>IF('Données projet'!$A$114&gt;35,BY73+BX74-CG73,IF(A74&lt;'Données projet'!$A$114,$BV$205^A74,IF(A74='Données projet'!$A$114,'Données projet'!$B$114,BY73+BX74-CG73)))</f>
        <v>213.99999999999994</v>
      </c>
      <c r="BZ74" s="14">
        <f>BY74*VLOOKUP('Données projet'!$B$12,Paramètres!$A$1:$I$89,3,0)*VLOOKUP('Données projet'!$B$12,Paramètres!$A$1:$I$89,5,0)</f>
        <v>186.95039999999997</v>
      </c>
      <c r="CA74" s="14">
        <f t="shared" si="93"/>
        <v>46.865095976617653</v>
      </c>
      <c r="CB74" s="22">
        <f t="shared" si="64"/>
        <v>407.22865549260905</v>
      </c>
      <c r="CC74" s="62">
        <f t="shared" si="65"/>
        <v>700.56198882594231</v>
      </c>
      <c r="CD74" s="62">
        <f ca="1">AVERAGE(OFFSET($CC$3,0,0,'Données projet'!$E$12+1,1))-AVERAGE(OFFSET($H$3,0,0,'Données projet'!$E$12+1,1))</f>
        <v>236.12531905695994</v>
      </c>
      <c r="CE74" s="62">
        <f t="shared" si="94"/>
        <v>270.64539221029258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3.3992364478763198E-14</v>
      </c>
      <c r="BF75" s="14">
        <f t="shared" si="91"/>
        <v>5.790027782444094E-13</v>
      </c>
      <c r="BG75" s="22">
        <f t="shared" si="61"/>
        <v>1.0676332069095257E-12</v>
      </c>
      <c r="BH75" s="62">
        <f t="shared" si="62"/>
        <v>293.33333333333439</v>
      </c>
      <c r="BI75" s="62">
        <f ca="1">AVERAGE(OFFSET($BH$3,0,0,'Données projet'!$E$11+1,1))-AVERAGE(OFFSET($H$3,0,0,'Données projet'!$E$11+1,1))</f>
        <v>157.98488572680344</v>
      </c>
      <c r="BJ75" s="62">
        <f t="shared" si="92"/>
        <v>269.20989374735825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47.614717085256402</v>
      </c>
      <c r="BQ75" s="23">
        <f>EXP(-LN(2)/25)*BQ74+(1-EXP(-LN(2)/25))/(LN(2)/25)*Calculateur!BL75*Calculateur!BN75*VLOOKUP('Données projet'!$B$11,Paramètres!$A$1:$I$89,3,0)*0.475*44/12</f>
        <v>1.0433164613550652</v>
      </c>
      <c r="BR75" s="23">
        <f>EXP(-LN(2)/2)*BR74+(1-EXP(-LN(2)/2))/(LN(2)/2)*BL75*BO75*VLOOKUP('Données projet'!$B$11,Paramètres!$A$1:$I$89,3,0)*0.475*44/12</f>
        <v>5.2524501738025644E-4</v>
      </c>
      <c r="BS75" s="24">
        <f t="shared" si="63"/>
        <v>48.658558791628842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</v>
      </c>
      <c r="BY75" s="13">
        <f>IF('Données projet'!$A$114&gt;35,BY74+BX75-CG74,IF(A75&lt;'Données projet'!$A$114,$BV$205^A75,IF(A75='Données projet'!$A$114,'Données projet'!$B$114,BY74+BX75-CG74)))</f>
        <v>217.99999999999994</v>
      </c>
      <c r="BZ75" s="14">
        <f>BY75*VLOOKUP('Données projet'!$B$12,Paramètres!$A$1:$I$89,3,0)*VLOOKUP('Données projet'!$B$12,Paramètres!$A$1:$I$89,5,0)</f>
        <v>190.44479999999999</v>
      </c>
      <c r="CA75" s="14">
        <f t="shared" si="93"/>
        <v>47.638278428909231</v>
      </c>
      <c r="CB75" s="22">
        <f t="shared" si="64"/>
        <v>414.66136159701688</v>
      </c>
      <c r="CC75" s="62">
        <f t="shared" si="65"/>
        <v>707.99469493035019</v>
      </c>
      <c r="CD75" s="62">
        <f ca="1">AVERAGE(OFFSET($CC$3,0,0,'Données projet'!$E$12+1,1))-AVERAGE(OFFSET($H$3,0,0,'Données projet'!$E$12+1,1))</f>
        <v>236.12531905695994</v>
      </c>
      <c r="CE75" s="62">
        <f t="shared" si="94"/>
        <v>270.64539221029258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3.3992364478763198E-14</v>
      </c>
      <c r="BF76" s="14">
        <f t="shared" si="91"/>
        <v>5.790027782444094E-13</v>
      </c>
      <c r="BG76" s="22">
        <f t="shared" si="61"/>
        <v>1.0676332069095257E-12</v>
      </c>
      <c r="BH76" s="62">
        <f t="shared" si="62"/>
        <v>293.33333333333439</v>
      </c>
      <c r="BI76" s="62">
        <f ca="1">AVERAGE(OFFSET($BH$3,0,0,'Données projet'!$E$11+1,1))-AVERAGE(OFFSET($H$3,0,0,'Données projet'!$E$11+1,1))</f>
        <v>157.98488572680344</v>
      </c>
      <c r="BJ76" s="62">
        <f t="shared" si="92"/>
        <v>269.20989374735825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46.681021525324276</v>
      </c>
      <c r="BQ76" s="23">
        <f>EXP(-LN(2)/25)*BQ75+(1-EXP(-LN(2)/25))/(LN(2)/25)*Calculateur!BL76*Calculateur!BN76*VLOOKUP('Données projet'!$B$11,Paramètres!$A$1:$I$89,3,0)*0.475*44/12</f>
        <v>1.0147869178536828</v>
      </c>
      <c r="BR76" s="23">
        <f>EXP(-LN(2)/2)*BR75+(1-EXP(-LN(2)/2))/(LN(2)/2)*BL76*BO76*VLOOKUP('Données projet'!$B$11,Paramètres!$A$1:$I$89,3,0)*0.475*44/12</f>
        <v>3.7140431357402534E-4</v>
      </c>
      <c r="BS76" s="24">
        <f t="shared" si="63"/>
        <v>47.696179847491535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</v>
      </c>
      <c r="BY76" s="13">
        <f>IF('Données projet'!$A$114&gt;35,BY75+BX76-CG75,IF(A76&lt;'Données projet'!$A$114,$BV$205^A76,IF(A76='Données projet'!$A$114,'Données projet'!$B$114,BY75+BX76-CG75)))</f>
        <v>221.99999999999994</v>
      </c>
      <c r="BZ76" s="14">
        <f>BY76*VLOOKUP('Données projet'!$B$12,Paramètres!$A$1:$I$89,3,0)*VLOOKUP('Données projet'!$B$12,Paramètres!$A$1:$I$89,5,0)</f>
        <v>193.93919999999997</v>
      </c>
      <c r="CA76" s="14">
        <f t="shared" si="93"/>
        <v>48.409811198069342</v>
      </c>
      <c r="CB76" s="22">
        <f t="shared" si="64"/>
        <v>422.091194503304</v>
      </c>
      <c r="CC76" s="62">
        <f t="shared" si="65"/>
        <v>715.42452783663725</v>
      </c>
      <c r="CD76" s="62">
        <f ca="1">AVERAGE(OFFSET($CC$3,0,0,'Données projet'!$E$12+1,1))-AVERAGE(OFFSET($H$3,0,0,'Données projet'!$E$12+1,1))</f>
        <v>236.12531905695994</v>
      </c>
      <c r="CE76" s="62">
        <f t="shared" si="94"/>
        <v>270.64539221029258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3.3992364478763198E-14</v>
      </c>
      <c r="BF77" s="14">
        <f t="shared" si="91"/>
        <v>5.790027782444094E-13</v>
      </c>
      <c r="BG77" s="22">
        <f t="shared" si="61"/>
        <v>1.0676332069095257E-12</v>
      </c>
      <c r="BH77" s="62">
        <f t="shared" si="62"/>
        <v>293.33333333333439</v>
      </c>
      <c r="BI77" s="62">
        <f ca="1">AVERAGE(OFFSET($BH$3,0,0,'Données projet'!$E$11+1,1))-AVERAGE(OFFSET($H$3,0,0,'Données projet'!$E$11+1,1))</f>
        <v>157.98488572680344</v>
      </c>
      <c r="BJ77" s="62">
        <f t="shared" si="92"/>
        <v>269.20989374735825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45.765635165824364</v>
      </c>
      <c r="BQ77" s="23">
        <f>EXP(-LN(2)/25)*BQ76+(1-EXP(-LN(2)/25))/(LN(2)/25)*Calculateur!BL77*Calculateur!BN77*VLOOKUP('Données projet'!$B$11,Paramètres!$A$1:$I$89,3,0)*0.475*44/12</f>
        <v>0.98703751621964919</v>
      </c>
      <c r="BR77" s="23">
        <f>EXP(-LN(2)/2)*BR76+(1-EXP(-LN(2)/2))/(LN(2)/2)*BL77*BO77*VLOOKUP('Données projet'!$B$11,Paramètres!$A$1:$I$89,3,0)*0.475*44/12</f>
        <v>2.6262250869012822E-4</v>
      </c>
      <c r="BS77" s="24">
        <f t="shared" si="63"/>
        <v>46.752935304552707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</v>
      </c>
      <c r="BY77" s="13">
        <f>IF('Données projet'!$A$114&gt;35,BY76+BX77-CG76,IF(A77&lt;'Données projet'!$A$114,$BV$205^A77,IF(A77='Données projet'!$A$114,'Données projet'!$B$114,BY76+BX77-CG76)))</f>
        <v>225.99999999999994</v>
      </c>
      <c r="BZ77" s="14">
        <f>BY77*VLOOKUP('Données projet'!$B$12,Paramètres!$A$1:$I$89,3,0)*VLOOKUP('Données projet'!$B$12,Paramètres!$A$1:$I$89,5,0)</f>
        <v>197.43359999999996</v>
      </c>
      <c r="CA77" s="14">
        <f t="shared" si="93"/>
        <v>49.179727436837609</v>
      </c>
      <c r="CB77" s="22">
        <f t="shared" si="64"/>
        <v>429.51821195249204</v>
      </c>
      <c r="CC77" s="62">
        <f t="shared" si="65"/>
        <v>722.8515452858253</v>
      </c>
      <c r="CD77" s="62">
        <f ca="1">AVERAGE(OFFSET($CC$3,0,0,'Données projet'!$E$12+1,1))-AVERAGE(OFFSET($H$3,0,0,'Données projet'!$E$12+1,1))</f>
        <v>236.12531905695994</v>
      </c>
      <c r="CE77" s="62">
        <f t="shared" si="94"/>
        <v>270.64539221029258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3.3992364478763198E-14</v>
      </c>
      <c r="BF78" s="14">
        <f t="shared" si="91"/>
        <v>5.790027782444094E-13</v>
      </c>
      <c r="BG78" s="22">
        <f t="shared" si="61"/>
        <v>1.0676332069095257E-12</v>
      </c>
      <c r="BH78" s="62">
        <f t="shared" si="62"/>
        <v>293.33333333333439</v>
      </c>
      <c r="BI78" s="62">
        <f ca="1">AVERAGE(OFFSET($BH$3,0,0,'Données projet'!$E$11+1,1))-AVERAGE(OFFSET($H$3,0,0,'Données projet'!$E$11+1,1))</f>
        <v>157.98488572680344</v>
      </c>
      <c r="BJ78" s="62">
        <f t="shared" si="92"/>
        <v>269.20989374735825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44.868198974503692</v>
      </c>
      <c r="BQ78" s="23">
        <f>EXP(-LN(2)/25)*BQ77+(1-EXP(-LN(2)/25))/(LN(2)/25)*Calculateur!BL78*Calculateur!BN78*VLOOKUP('Données projet'!$B$11,Paramètres!$A$1:$I$89,3,0)*0.475*44/12</f>
        <v>0.96004692343257581</v>
      </c>
      <c r="BR78" s="23">
        <f>EXP(-LN(2)/2)*BR77+(1-EXP(-LN(2)/2))/(LN(2)/2)*BL78*BO78*VLOOKUP('Données projet'!$B$11,Paramètres!$A$1:$I$89,3,0)*0.475*44/12</f>
        <v>1.8570215678701267E-4</v>
      </c>
      <c r="BS78" s="24">
        <f t="shared" si="63"/>
        <v>45.828431600093054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230</v>
      </c>
      <c r="BW78" s="13">
        <f>VLOOKUP(A78,'Données projet'!$A$113:$I$133,9,0)</f>
        <v>4</v>
      </c>
      <c r="BX78" s="13">
        <f t="array" ref="BX78">INDEX(BW:BW,MIN(IF(ISNUMBER(BW78:BW274),ROW(BW78:BW274),"")))</f>
        <v>4</v>
      </c>
      <c r="BY78" s="13">
        <f>IF('Données projet'!$A$114&gt;35,BY77+BX78-CG77,IF(A78&lt;'Données projet'!$A$114,$BV$205^A78,IF(A78='Données projet'!$A$114,'Données projet'!$B$114,BY77+BX78-CG77)))</f>
        <v>229.99999999999994</v>
      </c>
      <c r="BZ78" s="14">
        <f>BY78*VLOOKUP('Données projet'!$B$12,Paramètres!$A$1:$I$89,3,0)*VLOOKUP('Données projet'!$B$12,Paramètres!$A$1:$I$89,5,0)</f>
        <v>200.92799999999997</v>
      </c>
      <c r="CA78" s="14">
        <f t="shared" si="93"/>
        <v>49.948059057189042</v>
      </c>
      <c r="CB78" s="22">
        <f t="shared" si="64"/>
        <v>436.94246952460418</v>
      </c>
      <c r="CC78" s="62">
        <f t="shared" si="65"/>
        <v>730.27580285793749</v>
      </c>
      <c r="CD78" s="62">
        <f ca="1">AVERAGE(OFFSET($CC$3,0,0,'Données projet'!$E$12+1,1))-AVERAGE(OFFSET($H$3,0,0,'Données projet'!$E$12+1,1))</f>
        <v>236.12531905695994</v>
      </c>
      <c r="CE78" s="62">
        <f t="shared" si="94"/>
        <v>270.64539221029258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15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3.3992364478763198E-14</v>
      </c>
      <c r="BF79" s="14">
        <f t="shared" si="91"/>
        <v>5.790027782444094E-13</v>
      </c>
      <c r="BG79" s="22">
        <f t="shared" si="61"/>
        <v>1.0676332069095257E-12</v>
      </c>
      <c r="BH79" s="62">
        <f t="shared" si="62"/>
        <v>293.33333333333439</v>
      </c>
      <c r="BI79" s="62">
        <f ca="1">AVERAGE(OFFSET($BH$3,0,0,'Données projet'!$E$11+1,1))-AVERAGE(OFFSET($H$3,0,0,'Données projet'!$E$11+1,1))</f>
        <v>157.98488572680344</v>
      </c>
      <c r="BJ79" s="62">
        <f t="shared" si="92"/>
        <v>269.20989374735825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43.988360959512789</v>
      </c>
      <c r="BQ79" s="23">
        <f>EXP(-LN(2)/25)*BQ78+(1-EXP(-LN(2)/25))/(LN(2)/25)*Calculateur!BL79*Calculateur!BN79*VLOOKUP('Données projet'!$B$11,Paramètres!$A$1:$I$89,3,0)*0.475*44/12</f>
        <v>0.93379438982463858</v>
      </c>
      <c r="BR79" s="23">
        <f>EXP(-LN(2)/2)*BR78+(1-EXP(-LN(2)/2))/(LN(2)/2)*BL79*BO79*VLOOKUP('Données projet'!$B$11,Paramètres!$A$1:$I$89,3,0)*0.475*44/12</f>
        <v>1.3131125434506411E-4</v>
      </c>
      <c r="BS79" s="24">
        <f t="shared" si="63"/>
        <v>44.922286660591773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218.59999999999994</v>
      </c>
      <c r="BZ79" s="14">
        <f>BY79*VLOOKUP('Données projet'!$B$12,Paramètres!$A$1:$I$89,3,0)*VLOOKUP('Données projet'!$B$12,Paramètres!$A$1:$I$89,5,0)</f>
        <v>190.96895999999998</v>
      </c>
      <c r="CA79" s="14">
        <f t="shared" si="93"/>
        <v>47.754112686935557</v>
      </c>
      <c r="CB79" s="22">
        <f t="shared" si="64"/>
        <v>415.77601826307938</v>
      </c>
      <c r="CC79" s="62">
        <f t="shared" si="65"/>
        <v>709.10935159641269</v>
      </c>
      <c r="CD79" s="62">
        <f ca="1">AVERAGE(OFFSET($CC$3,0,0,'Données projet'!$E$12+1,1))-AVERAGE(OFFSET($H$3,0,0,'Données projet'!$E$12+1,1))</f>
        <v>236.12531905695994</v>
      </c>
      <c r="CE79" s="62">
        <f t="shared" si="94"/>
        <v>270.64539221029258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3.3992364478763198E-14</v>
      </c>
      <c r="BF80" s="14">
        <f t="shared" si="91"/>
        <v>5.790027782444094E-13</v>
      </c>
      <c r="BG80" s="22">
        <f t="shared" si="61"/>
        <v>1.0676332069095257E-12</v>
      </c>
      <c r="BH80" s="62">
        <f t="shared" si="62"/>
        <v>293.33333333333439</v>
      </c>
      <c r="BI80" s="62">
        <f ca="1">AVERAGE(OFFSET($BH$3,0,0,'Données projet'!$E$11+1,1))-AVERAGE(OFFSET($H$3,0,0,'Données projet'!$E$11+1,1))</f>
        <v>157.98488572680344</v>
      </c>
      <c r="BJ80" s="62">
        <f t="shared" si="92"/>
        <v>269.20989374735825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43.125776031347662</v>
      </c>
      <c r="BQ80" s="23">
        <f>EXP(-LN(2)/25)*BQ79+(1-EXP(-LN(2)/25))/(LN(2)/25)*Calculateur!BL80*Calculateur!BN80*VLOOKUP('Données projet'!$B$11,Paramètres!$A$1:$I$89,3,0)*0.475*44/12</f>
        <v>0.90825973312877106</v>
      </c>
      <c r="BR80" s="23">
        <f>EXP(-LN(2)/2)*BR79+(1-EXP(-LN(2)/2))/(LN(2)/2)*BL80*BO80*VLOOKUP('Données projet'!$B$11,Paramètres!$A$1:$I$89,3,0)*0.475*44/12</f>
        <v>9.2851078393506336E-5</v>
      </c>
      <c r="BS80" s="24">
        <f t="shared" si="63"/>
        <v>44.034128615554827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222.19999999999993</v>
      </c>
      <c r="BZ80" s="14">
        <f>BY80*VLOOKUP('Données projet'!$B$12,Paramètres!$A$1:$I$89,3,0)*VLOOKUP('Données projet'!$B$12,Paramètres!$A$1:$I$89,5,0)</f>
        <v>194.11391999999998</v>
      </c>
      <c r="CA80" s="14">
        <f t="shared" si="93"/>
        <v>48.44834513242396</v>
      </c>
      <c r="CB80" s="22">
        <f t="shared" si="64"/>
        <v>422.46261177230502</v>
      </c>
      <c r="CC80" s="62">
        <f t="shared" si="65"/>
        <v>715.79594510563834</v>
      </c>
      <c r="CD80" s="62">
        <f ca="1">AVERAGE(OFFSET($CC$3,0,0,'Données projet'!$E$12+1,1))-AVERAGE(OFFSET($H$3,0,0,'Données projet'!$E$12+1,1))</f>
        <v>236.12531905695994</v>
      </c>
      <c r="CE80" s="62">
        <f t="shared" si="94"/>
        <v>270.64539221029258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3.3992364478763198E-14</v>
      </c>
      <c r="BF81" s="14">
        <f t="shared" si="91"/>
        <v>5.790027782444094E-13</v>
      </c>
      <c r="BG81" s="22">
        <f t="shared" si="61"/>
        <v>1.0676332069095257E-12</v>
      </c>
      <c r="BH81" s="62">
        <f t="shared" si="62"/>
        <v>293.33333333333439</v>
      </c>
      <c r="BI81" s="62">
        <f ca="1">AVERAGE(OFFSET($BH$3,0,0,'Données projet'!$E$11+1,1))-AVERAGE(OFFSET($H$3,0,0,'Données projet'!$E$11+1,1))</f>
        <v>157.98488572680344</v>
      </c>
      <c r="BJ81" s="62">
        <f t="shared" si="92"/>
        <v>269.20989374735825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42.280105867498996</v>
      </c>
      <c r="BQ81" s="23">
        <f>EXP(-LN(2)/25)*BQ80+(1-EXP(-LN(2)/25))/(LN(2)/25)*Calculateur!BL81*Calculateur!BN81*VLOOKUP('Données projet'!$B$11,Paramètres!$A$1:$I$89,3,0)*0.475*44/12</f>
        <v>0.88342332296306136</v>
      </c>
      <c r="BR81" s="23">
        <f>EXP(-LN(2)/2)*BR80+(1-EXP(-LN(2)/2))/(LN(2)/2)*BL81*BO81*VLOOKUP('Données projet'!$B$11,Paramètres!$A$1:$I$89,3,0)*0.475*44/12</f>
        <v>6.5655627172532056E-5</v>
      </c>
      <c r="BS81" s="24">
        <f t="shared" si="63"/>
        <v>43.163594846089232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225.79999999999993</v>
      </c>
      <c r="BZ81" s="14">
        <f>BY81*VLOOKUP('Données projet'!$B$12,Paramètres!$A$1:$I$89,3,0)*VLOOKUP('Données projet'!$B$12,Paramètres!$A$1:$I$89,5,0)</f>
        <v>197.25887999999995</v>
      </c>
      <c r="CA81" s="14">
        <f t="shared" si="93"/>
        <v>49.141269519991567</v>
      </c>
      <c r="CB81" s="22">
        <f t="shared" si="64"/>
        <v>429.14692708065189</v>
      </c>
      <c r="CC81" s="62">
        <f t="shared" si="65"/>
        <v>722.48026041398521</v>
      </c>
      <c r="CD81" s="62">
        <f ca="1">AVERAGE(OFFSET($CC$3,0,0,'Données projet'!$E$12+1,1))-AVERAGE(OFFSET($H$3,0,0,'Données projet'!$E$12+1,1))</f>
        <v>236.12531905695994</v>
      </c>
      <c r="CE81" s="62">
        <f t="shared" si="94"/>
        <v>270.64539221029258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3.3992364478763198E-14</v>
      </c>
      <c r="BF82" s="14">
        <f t="shared" si="91"/>
        <v>5.790027782444094E-13</v>
      </c>
      <c r="BG82" s="22">
        <f t="shared" si="61"/>
        <v>1.0676332069095257E-12</v>
      </c>
      <c r="BH82" s="62">
        <f t="shared" si="62"/>
        <v>293.33333333333439</v>
      </c>
      <c r="BI82" s="62">
        <f ca="1">AVERAGE(OFFSET($BH$3,0,0,'Données projet'!$E$11+1,1))-AVERAGE(OFFSET($H$3,0,0,'Données projet'!$E$11+1,1))</f>
        <v>157.98488572680344</v>
      </c>
      <c r="BJ82" s="62">
        <f t="shared" si="92"/>
        <v>269.20989374735825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41.451018779755536</v>
      </c>
      <c r="BQ82" s="23">
        <f>EXP(-LN(2)/25)*BQ81+(1-EXP(-LN(2)/25))/(LN(2)/25)*Calculateur!BL82*Calculateur!BN82*VLOOKUP('Données projet'!$B$11,Paramètres!$A$1:$I$89,3,0)*0.475*44/12</f>
        <v>0.85926606573942299</v>
      </c>
      <c r="BR82" s="23">
        <f>EXP(-LN(2)/2)*BR81+(1-EXP(-LN(2)/2))/(LN(2)/2)*BL82*BO82*VLOOKUP('Données projet'!$B$11,Paramètres!$A$1:$I$89,3,0)*0.475*44/12</f>
        <v>4.6425539196753168E-5</v>
      </c>
      <c r="BS82" s="24">
        <f t="shared" si="63"/>
        <v>42.310331271034158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229.39999999999992</v>
      </c>
      <c r="BZ82" s="14">
        <f>BY82*VLOOKUP('Données projet'!$B$12,Paramètres!$A$1:$I$89,3,0)*VLOOKUP('Données projet'!$B$12,Paramètres!$A$1:$I$89,5,0)</f>
        <v>200.40383999999997</v>
      </c>
      <c r="CA82" s="14">
        <f t="shared" si="93"/>
        <v>49.832909112305636</v>
      </c>
      <c r="CB82" s="22">
        <f t="shared" si="64"/>
        <v>435.82900470393224</v>
      </c>
      <c r="CC82" s="62">
        <f t="shared" si="65"/>
        <v>729.1623380372655</v>
      </c>
      <c r="CD82" s="62">
        <f ca="1">AVERAGE(OFFSET($CC$3,0,0,'Données projet'!$E$12+1,1))-AVERAGE(OFFSET($H$3,0,0,'Données projet'!$E$12+1,1))</f>
        <v>236.12531905695994</v>
      </c>
      <c r="CE82" s="62">
        <f t="shared" si="94"/>
        <v>270.64539221029258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3.3992364478763198E-14</v>
      </c>
      <c r="BF83" s="14">
        <f t="shared" si="91"/>
        <v>5.790027782444094E-13</v>
      </c>
      <c r="BG83" s="22">
        <f t="shared" si="61"/>
        <v>1.0676332069095257E-12</v>
      </c>
      <c r="BH83" s="62">
        <f t="shared" si="62"/>
        <v>293.33333333333439</v>
      </c>
      <c r="BI83" s="62">
        <f ca="1">AVERAGE(OFFSET($BH$3,0,0,'Données projet'!$E$11+1,1))-AVERAGE(OFFSET($H$3,0,0,'Données projet'!$E$11+1,1))</f>
        <v>157.98488572680344</v>
      </c>
      <c r="BJ83" s="62">
        <f t="shared" si="92"/>
        <v>269.20989374735825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40.638189584109533</v>
      </c>
      <c r="BQ83" s="23">
        <f>EXP(-LN(2)/25)*BQ82+(1-EXP(-LN(2)/25))/(LN(2)/25)*Calculateur!BL83*Calculateur!BN83*VLOOKUP('Données projet'!$B$11,Paramètres!$A$1:$I$89,3,0)*0.475*44/12</f>
        <v>0.83576938998493999</v>
      </c>
      <c r="BR83" s="23">
        <f>EXP(-LN(2)/2)*BR82+(1-EXP(-LN(2)/2))/(LN(2)/2)*BL83*BO83*VLOOKUP('Données projet'!$B$11,Paramètres!$A$1:$I$89,3,0)*0.475*44/12</f>
        <v>3.2827813586266028E-5</v>
      </c>
      <c r="BS83" s="24">
        <f t="shared" si="63"/>
        <v>41.473991801908056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233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232.99999999999991</v>
      </c>
      <c r="BZ83" s="14">
        <f>BY83*VLOOKUP('Données projet'!$B$12,Paramètres!$A$1:$I$89,3,0)*VLOOKUP('Données projet'!$B$12,Paramètres!$A$1:$I$89,5,0)</f>
        <v>203.54879999999994</v>
      </c>
      <c r="CA83" s="14">
        <f t="shared" si="93"/>
        <v>50.523286400023487</v>
      </c>
      <c r="CB83" s="22">
        <f t="shared" si="64"/>
        <v>442.5088838133741</v>
      </c>
      <c r="CC83" s="62">
        <f t="shared" si="65"/>
        <v>735.84221714670741</v>
      </c>
      <c r="CD83" s="62">
        <f ca="1">AVERAGE(OFFSET($CC$3,0,0,'Données projet'!$E$12+1,1))-AVERAGE(OFFSET($H$3,0,0,'Données projet'!$E$12+1,1))</f>
        <v>236.12531905695994</v>
      </c>
      <c r="CE83" s="62">
        <f t="shared" si="94"/>
        <v>270.64539221029258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13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3.3992364478763198E-14</v>
      </c>
      <c r="BF84" s="14">
        <f t="shared" si="91"/>
        <v>5.790027782444094E-13</v>
      </c>
      <c r="BG84" s="22">
        <f t="shared" si="61"/>
        <v>1.0676332069095257E-12</v>
      </c>
      <c r="BH84" s="62">
        <f t="shared" si="62"/>
        <v>293.33333333333439</v>
      </c>
      <c r="BI84" s="62">
        <f ca="1">AVERAGE(OFFSET($BH$3,0,0,'Données projet'!$E$11+1,1))-AVERAGE(OFFSET($H$3,0,0,'Données projet'!$E$11+1,1))</f>
        <v>157.98488572680344</v>
      </c>
      <c r="BJ84" s="62">
        <f t="shared" si="92"/>
        <v>269.20989374735825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39.84129947321329</v>
      </c>
      <c r="BQ84" s="23">
        <f>EXP(-LN(2)/25)*BQ83+(1-EXP(-LN(2)/25))/(LN(2)/25)*Calculateur!BL84*Calculateur!BN84*VLOOKUP('Données projet'!$B$11,Paramètres!$A$1:$I$89,3,0)*0.475*44/12</f>
        <v>0.81291523206459981</v>
      </c>
      <c r="BR84" s="23">
        <f>EXP(-LN(2)/2)*BR83+(1-EXP(-LN(2)/2))/(LN(2)/2)*BL84*BO84*VLOOKUP('Données projet'!$B$11,Paramètres!$A$1:$I$89,3,0)*0.475*44/12</f>
        <v>2.3212769598376584E-5</v>
      </c>
      <c r="BS84" s="24">
        <f t="shared" si="63"/>
        <v>40.654237918047485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</v>
      </c>
      <c r="BY84" s="13">
        <f>IF('Données projet'!$A$114&gt;35,BY83+BX84-CG83,IF(A84&lt;'Données projet'!$A$114,$BV$205^A84,IF(A84='Données projet'!$A$114,'Données projet'!$B$114,BY83+BX84-CG83)))</f>
        <v>222.99999999999991</v>
      </c>
      <c r="BZ84" s="14">
        <f>BY84*VLOOKUP('Données projet'!$B$12,Paramètres!$A$1:$I$89,3,0)*VLOOKUP('Données projet'!$B$12,Paramètres!$A$1:$I$89,5,0)</f>
        <v>194.81279999999995</v>
      </c>
      <c r="CA84" s="14">
        <f t="shared" si="93"/>
        <v>48.602440540253859</v>
      </c>
      <c r="CB84" s="22">
        <f t="shared" si="64"/>
        <v>423.9482106076087</v>
      </c>
      <c r="CC84" s="62">
        <f t="shared" si="65"/>
        <v>717.28154394094202</v>
      </c>
      <c r="CD84" s="62">
        <f ca="1">AVERAGE(OFFSET($CC$3,0,0,'Données projet'!$E$12+1,1))-AVERAGE(OFFSET($H$3,0,0,'Données projet'!$E$12+1,1))</f>
        <v>236.12531905695994</v>
      </c>
      <c r="CE84" s="62">
        <f t="shared" si="94"/>
        <v>270.64539221029258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3.3992364478763198E-14</v>
      </c>
      <c r="BF85" s="14">
        <f t="shared" si="91"/>
        <v>5.790027782444094E-13</v>
      </c>
      <c r="BG85" s="22">
        <f t="shared" si="61"/>
        <v>1.0676332069095257E-12</v>
      </c>
      <c r="BH85" s="62">
        <f t="shared" si="62"/>
        <v>293.33333333333439</v>
      </c>
      <c r="BI85" s="62">
        <f ca="1">AVERAGE(OFFSET($BH$3,0,0,'Données projet'!$E$11+1,1))-AVERAGE(OFFSET($H$3,0,0,'Données projet'!$E$11+1,1))</f>
        <v>157.98488572680344</v>
      </c>
      <c r="BJ85" s="62">
        <f t="shared" si="92"/>
        <v>269.20989374735825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39.060035891336753</v>
      </c>
      <c r="BQ85" s="23">
        <f>EXP(-LN(2)/25)*BQ84+(1-EXP(-LN(2)/25))/(LN(2)/25)*Calculateur!BL85*Calculateur!BN85*VLOOKUP('Données projet'!$B$11,Paramètres!$A$1:$I$89,3,0)*0.475*44/12</f>
        <v>0.79068602229443918</v>
      </c>
      <c r="BR85" s="23">
        <f>EXP(-LN(2)/2)*BR84+(1-EXP(-LN(2)/2))/(LN(2)/2)*BL85*BO85*VLOOKUP('Données projet'!$B$11,Paramètres!$A$1:$I$89,3,0)*0.475*44/12</f>
        <v>1.6413906793133014E-5</v>
      </c>
      <c r="BS85" s="24">
        <f t="shared" si="63"/>
        <v>39.850738327537982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</v>
      </c>
      <c r="BY85" s="13">
        <f>IF('Données projet'!$A$114&gt;35,BY84+BX85-CG84,IF(A85&lt;'Données projet'!$A$114,$BV$205^A85,IF(A85='Données projet'!$A$114,'Données projet'!$B$114,BY84+BX85-CG84)))</f>
        <v>225.99999999999991</v>
      </c>
      <c r="BZ85" s="14">
        <f>BY85*VLOOKUP('Données projet'!$B$12,Paramètres!$A$1:$I$89,3,0)*VLOOKUP('Données projet'!$B$12,Paramètres!$A$1:$I$89,5,0)</f>
        <v>197.43359999999996</v>
      </c>
      <c r="CA85" s="14">
        <f t="shared" si="93"/>
        <v>49.179727436837609</v>
      </c>
      <c r="CB85" s="22">
        <f t="shared" si="64"/>
        <v>429.51821195249204</v>
      </c>
      <c r="CC85" s="62">
        <f t="shared" si="65"/>
        <v>722.8515452858253</v>
      </c>
      <c r="CD85" s="62">
        <f ca="1">AVERAGE(OFFSET($CC$3,0,0,'Données projet'!$E$12+1,1))-AVERAGE(OFFSET($H$3,0,0,'Données projet'!$E$12+1,1))</f>
        <v>236.12531905695994</v>
      </c>
      <c r="CE85" s="62">
        <f t="shared" si="94"/>
        <v>270.64539221029258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3.3992364478763198E-14</v>
      </c>
      <c r="BF86" s="14">
        <f t="shared" si="91"/>
        <v>5.790027782444094E-13</v>
      </c>
      <c r="BG86" s="22">
        <f t="shared" si="61"/>
        <v>1.0676332069095257E-12</v>
      </c>
      <c r="BH86" s="62">
        <f t="shared" si="62"/>
        <v>293.33333333333439</v>
      </c>
      <c r="BI86" s="62">
        <f ca="1">AVERAGE(OFFSET($BH$3,0,0,'Données projet'!$E$11+1,1))-AVERAGE(OFFSET($H$3,0,0,'Données projet'!$E$11+1,1))</f>
        <v>157.98488572680344</v>
      </c>
      <c r="BJ86" s="62">
        <f t="shared" si="92"/>
        <v>269.20989374735825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38.294092411777079</v>
      </c>
      <c r="BQ86" s="23">
        <f>EXP(-LN(2)/25)*BQ85+(1-EXP(-LN(2)/25))/(LN(2)/25)*Calculateur!BL86*Calculateur!BN86*VLOOKUP('Données projet'!$B$11,Paramètres!$A$1:$I$89,3,0)*0.475*44/12</f>
        <v>0.76906467143442692</v>
      </c>
      <c r="BR86" s="23">
        <f>EXP(-LN(2)/2)*BR85+(1-EXP(-LN(2)/2))/(LN(2)/2)*BL86*BO86*VLOOKUP('Données projet'!$B$11,Paramètres!$A$1:$I$89,3,0)*0.475*44/12</f>
        <v>1.1606384799188292E-5</v>
      </c>
      <c r="BS86" s="24">
        <f t="shared" si="63"/>
        <v>39.06316868959631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</v>
      </c>
      <c r="BY86" s="13">
        <f>IF('Données projet'!$A$114&gt;35,BY85+BX86-CG85,IF(A86&lt;'Données projet'!$A$114,$BV$205^A86,IF(A86='Données projet'!$A$114,'Données projet'!$B$114,BY85+BX86-CG85)))</f>
        <v>228.99999999999991</v>
      </c>
      <c r="BZ86" s="14">
        <f>BY86*VLOOKUP('Données projet'!$B$12,Paramètres!$A$1:$I$89,3,0)*VLOOKUP('Données projet'!$B$12,Paramètres!$A$1:$I$89,5,0)</f>
        <v>200.05439999999993</v>
      </c>
      <c r="CA86" s="14">
        <f t="shared" si="93"/>
        <v>49.756123009618186</v>
      </c>
      <c r="CB86" s="22">
        <f t="shared" si="64"/>
        <v>435.0866609084182</v>
      </c>
      <c r="CC86" s="62">
        <f t="shared" si="65"/>
        <v>728.41999424175151</v>
      </c>
      <c r="CD86" s="62">
        <f ca="1">AVERAGE(OFFSET($CC$3,0,0,'Données projet'!$E$12+1,1))-AVERAGE(OFFSET($H$3,0,0,'Données projet'!$E$12+1,1))</f>
        <v>236.12531905695994</v>
      </c>
      <c r="CE86" s="62">
        <f t="shared" si="94"/>
        <v>270.64539221029258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3.3992364478763198E-14</v>
      </c>
      <c r="BF87" s="14">
        <f t="shared" si="91"/>
        <v>5.790027782444094E-13</v>
      </c>
      <c r="BG87" s="22">
        <f t="shared" si="61"/>
        <v>1.0676332069095257E-12</v>
      </c>
      <c r="BH87" s="62">
        <f t="shared" si="62"/>
        <v>293.33333333333439</v>
      </c>
      <c r="BI87" s="62">
        <f ca="1">AVERAGE(OFFSET($BH$3,0,0,'Données projet'!$E$11+1,1))-AVERAGE(OFFSET($H$3,0,0,'Données projet'!$E$11+1,1))</f>
        <v>157.98488572680344</v>
      </c>
      <c r="BJ87" s="62">
        <f t="shared" si="92"/>
        <v>269.20989374735825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37.543168616672183</v>
      </c>
      <c r="BQ87" s="23">
        <f>EXP(-LN(2)/25)*BQ86+(1-EXP(-LN(2)/25))/(LN(2)/25)*Calculateur!BL87*Calculateur!BN87*VLOOKUP('Données projet'!$B$11,Paramètres!$A$1:$I$89,3,0)*0.475*44/12</f>
        <v>0.74803455755069914</v>
      </c>
      <c r="BR87" s="23">
        <f>EXP(-LN(2)/2)*BR86+(1-EXP(-LN(2)/2))/(LN(2)/2)*BL87*BO87*VLOOKUP('Données projet'!$B$11,Paramètres!$A$1:$I$89,3,0)*0.475*44/12</f>
        <v>8.2069533965665069E-6</v>
      </c>
      <c r="BS87" s="24">
        <f t="shared" si="63"/>
        <v>38.291211381176275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</v>
      </c>
      <c r="BY87" s="13">
        <f>IF('Données projet'!$A$114&gt;35,BY86+BX87-CG86,IF(A87&lt;'Données projet'!$A$114,$BV$205^A87,IF(A87='Données projet'!$A$114,'Données projet'!$B$114,BY86+BX87-CG86)))</f>
        <v>231.99999999999991</v>
      </c>
      <c r="BZ87" s="14">
        <f>BY87*VLOOKUP('Données projet'!$B$12,Paramètres!$A$1:$I$89,3,0)*VLOOKUP('Données projet'!$B$12,Paramètres!$A$1:$I$89,5,0)</f>
        <v>202.67519999999993</v>
      </c>
      <c r="CA87" s="14">
        <f t="shared" si="93"/>
        <v>50.33164028531364</v>
      </c>
      <c r="CB87" s="22">
        <f t="shared" si="64"/>
        <v>440.65358016358778</v>
      </c>
      <c r="CC87" s="62">
        <f t="shared" si="65"/>
        <v>733.98691349692103</v>
      </c>
      <c r="CD87" s="62">
        <f ca="1">AVERAGE(OFFSET($CC$3,0,0,'Données projet'!$E$12+1,1))-AVERAGE(OFFSET($H$3,0,0,'Données projet'!$E$12+1,1))</f>
        <v>236.12531905695994</v>
      </c>
      <c r="CE87" s="62">
        <f t="shared" si="94"/>
        <v>270.64539221029258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3.3992364478763198E-14</v>
      </c>
      <c r="BF88" s="14">
        <f t="shared" si="91"/>
        <v>5.790027782444094E-13</v>
      </c>
      <c r="BG88" s="22">
        <f t="shared" si="61"/>
        <v>1.0676332069095257E-12</v>
      </c>
      <c r="BH88" s="62">
        <f t="shared" si="62"/>
        <v>293.33333333333439</v>
      </c>
      <c r="BI88" s="62">
        <f ca="1">AVERAGE(OFFSET($BH$3,0,0,'Données projet'!$E$11+1,1))-AVERAGE(OFFSET($H$3,0,0,'Données projet'!$E$11+1,1))</f>
        <v>157.98488572680344</v>
      </c>
      <c r="BJ88" s="62">
        <f t="shared" si="92"/>
        <v>269.20989374735825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36.806969979171001</v>
      </c>
      <c r="BQ88" s="23">
        <f>EXP(-LN(2)/25)*BQ87+(1-EXP(-LN(2)/25))/(LN(2)/25)*Calculateur!BL88*Calculateur!BN88*VLOOKUP('Données projet'!$B$11,Paramètres!$A$1:$I$89,3,0)*0.475*44/12</f>
        <v>0.7275795132370475</v>
      </c>
      <c r="BR88" s="23">
        <f>EXP(-LN(2)/2)*BR87+(1-EXP(-LN(2)/2))/(LN(2)/2)*BL88*BO88*VLOOKUP('Données projet'!$B$11,Paramètres!$A$1:$I$89,3,0)*0.475*44/12</f>
        <v>5.803192399594146E-6</v>
      </c>
      <c r="BS88" s="24">
        <f t="shared" si="63"/>
        <v>37.534555295600448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235</v>
      </c>
      <c r="BW88" s="13">
        <f>VLOOKUP(A88,'Données projet'!$A$113:$I$133,9,0)</f>
        <v>3</v>
      </c>
      <c r="BX88" s="13">
        <f t="array" ref="BX88">INDEX(BW:BW,MIN(IF(ISNUMBER(BW88:BW284),ROW(BW88:BW284),"")))</f>
        <v>3</v>
      </c>
      <c r="BY88" s="13">
        <f>IF('Données projet'!$A$114&gt;35,BY87+BX88-CG87,IF(A88&lt;'Données projet'!$A$114,$BV$205^A88,IF(A88='Données projet'!$A$114,'Données projet'!$B$114,BY87+BX88-CG87)))</f>
        <v>234.99999999999991</v>
      </c>
      <c r="BZ88" s="14">
        <f>BY88*VLOOKUP('Données projet'!$B$12,Paramètres!$A$1:$I$89,3,0)*VLOOKUP('Données projet'!$B$12,Paramètres!$A$1:$I$89,5,0)</f>
        <v>205.29599999999996</v>
      </c>
      <c r="CA88" s="14">
        <f t="shared" si="93"/>
        <v>50.906291934375353</v>
      </c>
      <c r="CB88" s="22">
        <f t="shared" si="64"/>
        <v>446.21899178570357</v>
      </c>
      <c r="CC88" s="62">
        <f t="shared" si="65"/>
        <v>739.55232511903682</v>
      </c>
      <c r="CD88" s="62">
        <f ca="1">AVERAGE(OFFSET($CC$3,0,0,'Données projet'!$E$12+1,1))-AVERAGE(OFFSET($H$3,0,0,'Données projet'!$E$12+1,1))</f>
        <v>236.12531905695994</v>
      </c>
      <c r="CE88" s="62">
        <f t="shared" si="94"/>
        <v>270.64539221029258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12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3.3992364478763198E-14</v>
      </c>
      <c r="BF89" s="14">
        <f t="shared" si="91"/>
        <v>5.790027782444094E-13</v>
      </c>
      <c r="BG89" s="22">
        <f t="shared" si="61"/>
        <v>1.0676332069095257E-12</v>
      </c>
      <c r="BH89" s="62">
        <f t="shared" si="62"/>
        <v>293.33333333333439</v>
      </c>
      <c r="BI89" s="62">
        <f ca="1">AVERAGE(OFFSET($BH$3,0,0,'Données projet'!$E$11+1,1))-AVERAGE(OFFSET($H$3,0,0,'Données projet'!$E$11+1,1))</f>
        <v>157.98488572680344</v>
      </c>
      <c r="BJ89" s="62">
        <f t="shared" si="92"/>
        <v>269.20989374735825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36.085207747914389</v>
      </c>
      <c r="BQ89" s="23">
        <f>EXP(-LN(2)/25)*BQ88+(1-EXP(-LN(2)/25))/(LN(2)/25)*Calculateur!BL89*Calculateur!BN89*VLOOKUP('Données projet'!$B$11,Paramètres!$A$1:$I$89,3,0)*0.475*44/12</f>
        <v>0.70768381318583673</v>
      </c>
      <c r="BR89" s="23">
        <f>EXP(-LN(2)/2)*BR88+(1-EXP(-LN(2)/2))/(LN(2)/2)*BL89*BO89*VLOOKUP('Données projet'!$B$11,Paramètres!$A$1:$I$89,3,0)*0.475*44/12</f>
        <v>4.1034766982832535E-6</v>
      </c>
      <c r="BS89" s="24">
        <f t="shared" si="63"/>
        <v>36.792895664576925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2.6</v>
      </c>
      <c r="BY89" s="13">
        <f>IF('Données projet'!$A$114&gt;35,BY88+BX89-CG88,IF(A89&lt;'Données projet'!$A$114,$BV$205^A89,IF(A89='Données projet'!$A$114,'Données projet'!$B$114,BY88+BX89-CG88)))</f>
        <v>225.59999999999991</v>
      </c>
      <c r="BZ89" s="14">
        <f>BY89*VLOOKUP('Données projet'!$B$12,Paramètres!$A$1:$I$89,3,0)*VLOOKUP('Données projet'!$B$12,Paramètres!$A$1:$I$89,5,0)</f>
        <v>197.08415999999994</v>
      </c>
      <c r="CA89" s="14">
        <f t="shared" si="93"/>
        <v>49.102807637925878</v>
      </c>
      <c r="CB89" s="22">
        <f t="shared" si="64"/>
        <v>428.77563530272073</v>
      </c>
      <c r="CC89" s="62">
        <f t="shared" si="65"/>
        <v>722.10896863605399</v>
      </c>
      <c r="CD89" s="62">
        <f ca="1">AVERAGE(OFFSET($CC$3,0,0,'Données projet'!$E$12+1,1))-AVERAGE(OFFSET($H$3,0,0,'Données projet'!$E$12+1,1))</f>
        <v>236.12531905695994</v>
      </c>
      <c r="CE89" s="62">
        <f t="shared" si="94"/>
        <v>270.64539221029258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3.3992364478763198E-14</v>
      </c>
      <c r="BF90" s="14">
        <f t="shared" si="91"/>
        <v>5.790027782444094E-13</v>
      </c>
      <c r="BG90" s="22">
        <f t="shared" si="61"/>
        <v>1.0676332069095257E-12</v>
      </c>
      <c r="BH90" s="62">
        <f t="shared" si="62"/>
        <v>293.33333333333439</v>
      </c>
      <c r="BI90" s="62">
        <f ca="1">AVERAGE(OFFSET($BH$3,0,0,'Données projet'!$E$11+1,1))-AVERAGE(OFFSET($H$3,0,0,'Données projet'!$E$11+1,1))</f>
        <v>157.98488572680344</v>
      </c>
      <c r="BJ90" s="62">
        <f t="shared" si="92"/>
        <v>269.20989374735825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35.377598833781228</v>
      </c>
      <c r="BQ90" s="23">
        <f>EXP(-LN(2)/25)*BQ89+(1-EXP(-LN(2)/25))/(LN(2)/25)*Calculateur!BL90*Calculateur!BN90*VLOOKUP('Données projet'!$B$11,Paramètres!$A$1:$I$89,3,0)*0.475*44/12</f>
        <v>0.68833216209879577</v>
      </c>
      <c r="BR90" s="23">
        <f>EXP(-LN(2)/2)*BR89+(1-EXP(-LN(2)/2))/(LN(2)/2)*BL90*BO90*VLOOKUP('Données projet'!$B$11,Paramètres!$A$1:$I$89,3,0)*0.475*44/12</f>
        <v>2.901596199797073E-6</v>
      </c>
      <c r="BS90" s="24">
        <f t="shared" si="63"/>
        <v>36.065933897476221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2.6</v>
      </c>
      <c r="BY90" s="13">
        <f>IF('Données projet'!$A$114&gt;35,BY89+BX90-CG89,IF(A90&lt;'Données projet'!$A$114,$BV$205^A90,IF(A90='Données projet'!$A$114,'Données projet'!$B$114,BY89+BX90-CG89)))</f>
        <v>228.1999999999999</v>
      </c>
      <c r="BZ90" s="14">
        <f>BY90*VLOOKUP('Données projet'!$B$12,Paramètres!$A$1:$I$89,3,0)*VLOOKUP('Données projet'!$B$12,Paramètres!$A$1:$I$89,5,0)</f>
        <v>199.35551999999996</v>
      </c>
      <c r="CA90" s="14">
        <f t="shared" si="93"/>
        <v>49.602503932783179</v>
      </c>
      <c r="CB90" s="22">
        <f t="shared" si="64"/>
        <v>433.60189168293056</v>
      </c>
      <c r="CC90" s="62">
        <f t="shared" si="65"/>
        <v>726.93522501626387</v>
      </c>
      <c r="CD90" s="62">
        <f ca="1">AVERAGE(OFFSET($CC$3,0,0,'Données projet'!$E$12+1,1))-AVERAGE(OFFSET($H$3,0,0,'Données projet'!$E$12+1,1))</f>
        <v>236.12531905695994</v>
      </c>
      <c r="CE90" s="62">
        <f t="shared" si="94"/>
        <v>270.64539221029258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3.3992364478763198E-14</v>
      </c>
      <c r="BF91" s="14">
        <f t="shared" si="91"/>
        <v>5.790027782444094E-13</v>
      </c>
      <c r="BG91" s="22">
        <f t="shared" si="61"/>
        <v>1.0676332069095257E-12</v>
      </c>
      <c r="BH91" s="62">
        <f t="shared" si="62"/>
        <v>293.33333333333439</v>
      </c>
      <c r="BI91" s="62">
        <f ca="1">AVERAGE(OFFSET($BH$3,0,0,'Données projet'!$E$11+1,1))-AVERAGE(OFFSET($H$3,0,0,'Données projet'!$E$11+1,1))</f>
        <v>157.98488572680344</v>
      </c>
      <c r="BJ91" s="62">
        <f t="shared" si="92"/>
        <v>269.20989374735825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34.683865698855399</v>
      </c>
      <c r="BQ91" s="23">
        <f>EXP(-LN(2)/25)*BQ90+(1-EXP(-LN(2)/25))/(LN(2)/25)*Calculateur!BL91*Calculateur!BN91*VLOOKUP('Données projet'!$B$11,Paramètres!$A$1:$I$89,3,0)*0.475*44/12</f>
        <v>0.66950968292838897</v>
      </c>
      <c r="BR91" s="23">
        <f>EXP(-LN(2)/2)*BR90+(1-EXP(-LN(2)/2))/(LN(2)/2)*BL91*BO91*VLOOKUP('Données projet'!$B$11,Paramètres!$A$1:$I$89,3,0)*0.475*44/12</f>
        <v>2.0517383491416267E-6</v>
      </c>
      <c r="BS91" s="24">
        <f t="shared" si="63"/>
        <v>35.353377433522134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2.6</v>
      </c>
      <c r="BY91" s="13">
        <f>IF('Données projet'!$A$114&gt;35,BY90+BX91-CG90,IF(A91&lt;'Données projet'!$A$114,$BV$205^A91,IF(A91='Données projet'!$A$114,'Données projet'!$B$114,BY90+BX91-CG90)))</f>
        <v>230.7999999999999</v>
      </c>
      <c r="BZ91" s="14">
        <f>BY91*VLOOKUP('Données projet'!$B$12,Paramètres!$A$1:$I$89,3,0)*VLOOKUP('Données projet'!$B$12,Paramètres!$A$1:$I$89,5,0)</f>
        <v>201.62687999999994</v>
      </c>
      <c r="CA91" s="14">
        <f t="shared" si="93"/>
        <v>50.101537951964936</v>
      </c>
      <c r="CB91" s="22">
        <f t="shared" si="64"/>
        <v>438.42699459967213</v>
      </c>
      <c r="CC91" s="62">
        <f t="shared" si="65"/>
        <v>731.76032793300544</v>
      </c>
      <c r="CD91" s="62">
        <f ca="1">AVERAGE(OFFSET($CC$3,0,0,'Données projet'!$E$12+1,1))-AVERAGE(OFFSET($H$3,0,0,'Données projet'!$E$12+1,1))</f>
        <v>236.12531905695994</v>
      </c>
      <c r="CE91" s="62">
        <f t="shared" si="94"/>
        <v>270.64539221029258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3.3992364478763198E-14</v>
      </c>
      <c r="BF92" s="14">
        <f t="shared" si="91"/>
        <v>5.790027782444094E-13</v>
      </c>
      <c r="BG92" s="22">
        <f t="shared" si="61"/>
        <v>1.0676332069095257E-12</v>
      </c>
      <c r="BH92" s="62">
        <f t="shared" si="62"/>
        <v>293.33333333333439</v>
      </c>
      <c r="BI92" s="62">
        <f ca="1">AVERAGE(OFFSET($BH$3,0,0,'Données projet'!$E$11+1,1))-AVERAGE(OFFSET($H$3,0,0,'Données projet'!$E$11+1,1))</f>
        <v>157.98488572680344</v>
      </c>
      <c r="BJ92" s="62">
        <f t="shared" si="92"/>
        <v>269.20989374735825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34.003736247570032</v>
      </c>
      <c r="BQ92" s="23">
        <f>EXP(-LN(2)/25)*BQ91+(1-EXP(-LN(2)/25))/(LN(2)/25)*Calculateur!BL92*Calculateur!BN92*VLOOKUP('Données projet'!$B$11,Paramètres!$A$1:$I$89,3,0)*0.475*44/12</f>
        <v>0.65120190544072809</v>
      </c>
      <c r="BR92" s="23">
        <f>EXP(-LN(2)/2)*BR91+(1-EXP(-LN(2)/2))/(LN(2)/2)*BL92*BO92*VLOOKUP('Données projet'!$B$11,Paramètres!$A$1:$I$89,3,0)*0.475*44/12</f>
        <v>1.4507980998985365E-6</v>
      </c>
      <c r="BS92" s="24">
        <f t="shared" si="63"/>
        <v>34.654939603808863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2.6</v>
      </c>
      <c r="BY92" s="13">
        <f>IF('Données projet'!$A$114&gt;35,BY91+BX92-CG91,IF(A92&lt;'Données projet'!$A$114,$BV$205^A92,IF(A92='Données projet'!$A$114,'Données projet'!$B$114,BY91+BX92-CG91)))</f>
        <v>233.39999999999989</v>
      </c>
      <c r="BZ92" s="14">
        <f>BY92*VLOOKUP('Données projet'!$B$12,Paramètres!$A$1:$I$89,3,0)*VLOOKUP('Données projet'!$B$12,Paramètres!$A$1:$I$89,5,0)</f>
        <v>203.89823999999993</v>
      </c>
      <c r="CA92" s="14">
        <f t="shared" si="93"/>
        <v>50.59991801943017</v>
      </c>
      <c r="CB92" s="22">
        <f t="shared" si="64"/>
        <v>443.25095855050739</v>
      </c>
      <c r="CC92" s="62">
        <f t="shared" si="65"/>
        <v>736.58429188384071</v>
      </c>
      <c r="CD92" s="62">
        <f ca="1">AVERAGE(OFFSET($CC$3,0,0,'Données projet'!$E$12+1,1))-AVERAGE(OFFSET($H$3,0,0,'Données projet'!$E$12+1,1))</f>
        <v>236.12531905695994</v>
      </c>
      <c r="CE92" s="62">
        <f t="shared" si="94"/>
        <v>270.64539221029258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3.3992364478763198E-14</v>
      </c>
      <c r="BF93" s="14">
        <f t="shared" si="91"/>
        <v>5.790027782444094E-13</v>
      </c>
      <c r="BG93" s="22">
        <f t="shared" si="61"/>
        <v>1.0676332069095257E-12</v>
      </c>
      <c r="BH93" s="62">
        <f t="shared" si="62"/>
        <v>293.33333333333439</v>
      </c>
      <c r="BI93" s="62">
        <f ca="1">AVERAGE(OFFSET($BH$3,0,0,'Données projet'!$E$11+1,1))-AVERAGE(OFFSET($H$3,0,0,'Données projet'!$E$11+1,1))</f>
        <v>157.98488572680344</v>
      </c>
      <c r="BJ93" s="62">
        <f t="shared" si="92"/>
        <v>269.20989374735825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33.336943719986365</v>
      </c>
      <c r="BQ93" s="23">
        <f>EXP(-LN(2)/25)*BQ92+(1-EXP(-LN(2)/25))/(LN(2)/25)*Calculateur!BL93*Calculateur!BN93*VLOOKUP('Données projet'!$B$11,Paramètres!$A$1:$I$89,3,0)*0.475*44/12</f>
        <v>0.63339475509123155</v>
      </c>
      <c r="BR93" s="23">
        <f>EXP(-LN(2)/2)*BR92+(1-EXP(-LN(2)/2))/(LN(2)/2)*BL93*BO93*VLOOKUP('Données projet'!$B$11,Paramètres!$A$1:$I$89,3,0)*0.475*44/12</f>
        <v>1.0258691745708134E-6</v>
      </c>
      <c r="BS93" s="24">
        <f t="shared" si="63"/>
        <v>33.970339500946771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236</v>
      </c>
      <c r="BW93" s="13">
        <f>VLOOKUP(A93,'Données projet'!$A$113:$I$133,9,0)</f>
        <v>2.6</v>
      </c>
      <c r="BX93" s="13">
        <f t="array" ref="BX93">INDEX(BW:BW,MIN(IF(ISNUMBER(BW93:BW289),ROW(BW93:BW289),"")))</f>
        <v>2.6</v>
      </c>
      <c r="BY93" s="13">
        <f>IF('Données projet'!$A$114&gt;35,BY92+BX93-CG92,IF(A93&lt;'Données projet'!$A$114,$BV$205^A93,IF(A93='Données projet'!$A$114,'Données projet'!$B$114,BY92+BX93-CG92)))</f>
        <v>235.99999999999989</v>
      </c>
      <c r="BZ93" s="14">
        <f>BY93*VLOOKUP('Données projet'!$B$12,Paramètres!$A$1:$I$89,3,0)*VLOOKUP('Données projet'!$B$12,Paramètres!$A$1:$I$89,5,0)</f>
        <v>206.16959999999992</v>
      </c>
      <c r="CA93" s="14">
        <f t="shared" si="93"/>
        <v>51.097652263007333</v>
      </c>
      <c r="CB93" s="22">
        <f t="shared" si="64"/>
        <v>448.07379769140431</v>
      </c>
      <c r="CC93" s="62">
        <f t="shared" si="65"/>
        <v>741.40713102473762</v>
      </c>
      <c r="CD93" s="62">
        <f ca="1">AVERAGE(OFFSET($CC$3,0,0,'Données projet'!$E$12+1,1))-AVERAGE(OFFSET($H$3,0,0,'Données projet'!$E$12+1,1))</f>
        <v>236.12531905695994</v>
      </c>
      <c r="CE93" s="62">
        <f t="shared" si="94"/>
        <v>270.64539221029258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236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3.3992364478763198E-14</v>
      </c>
      <c r="BF94" s="14">
        <f t="shared" si="91"/>
        <v>5.790027782444094E-13</v>
      </c>
      <c r="BG94" s="22">
        <f t="shared" si="61"/>
        <v>1.0676332069095257E-12</v>
      </c>
      <c r="BH94" s="62">
        <f t="shared" si="62"/>
        <v>293.33333333333439</v>
      </c>
      <c r="BI94" s="62">
        <f ca="1">AVERAGE(OFFSET($BH$3,0,0,'Données projet'!$E$11+1,1))-AVERAGE(OFFSET($H$3,0,0,'Données projet'!$E$11+1,1))</f>
        <v>157.98488572680344</v>
      </c>
      <c r="BJ94" s="62">
        <f t="shared" si="92"/>
        <v>269.20989374735825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32.683226587165336</v>
      </c>
      <c r="BQ94" s="23">
        <f>EXP(-LN(2)/25)*BQ93+(1-EXP(-LN(2)/25))/(LN(2)/25)*Calculateur!BL94*Calculateur!BN94*VLOOKUP('Données projet'!$B$11,Paramètres!$A$1:$I$89,3,0)*0.475*44/12</f>
        <v>0.61607454220447933</v>
      </c>
      <c r="BR94" s="23">
        <f>EXP(-LN(2)/2)*BR93+(1-EXP(-LN(2)/2))/(LN(2)/2)*BL94*BO94*VLOOKUP('Données projet'!$B$11,Paramètres!$A$1:$I$89,3,0)*0.475*44/12</f>
        <v>7.2539904994926825E-7</v>
      </c>
      <c r="BS94" s="24">
        <f t="shared" si="63"/>
        <v>33.299301854768864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-9.9316821433603781E-14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236.12531905695994</v>
      </c>
      <c r="CE94" s="62">
        <f t="shared" si="94"/>
        <v>270.64539221029258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3.3992364478763198E-14</v>
      </c>
      <c r="BF95" s="14">
        <f t="shared" si="91"/>
        <v>5.790027782444094E-13</v>
      </c>
      <c r="BG95" s="22">
        <f t="shared" si="61"/>
        <v>1.0676332069095257E-12</v>
      </c>
      <c r="BH95" s="62">
        <f t="shared" si="62"/>
        <v>293.33333333333439</v>
      </c>
      <c r="BI95" s="62">
        <f ca="1">AVERAGE(OFFSET($BH$3,0,0,'Données projet'!$E$11+1,1))-AVERAGE(OFFSET($H$3,0,0,'Données projet'!$E$11+1,1))</f>
        <v>157.98488572680344</v>
      </c>
      <c r="BJ95" s="62">
        <f t="shared" si="92"/>
        <v>269.20989374735825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32.042328448590844</v>
      </c>
      <c r="BQ95" s="23">
        <f>EXP(-LN(2)/25)*BQ94+(1-EXP(-LN(2)/25))/(LN(2)/25)*Calculateur!BL95*Calculateur!BN95*VLOOKUP('Données projet'!$B$11,Paramètres!$A$1:$I$89,3,0)*0.475*44/12</f>
        <v>0.59922795144994567</v>
      </c>
      <c r="BR95" s="23">
        <f>EXP(-LN(2)/2)*BR94+(1-EXP(-LN(2)/2))/(LN(2)/2)*BL95*BO95*VLOOKUP('Données projet'!$B$11,Paramètres!$A$1:$I$89,3,0)*0.475*44/12</f>
        <v>5.1293458728540668E-7</v>
      </c>
      <c r="BS95" s="24">
        <f t="shared" si="63"/>
        <v>32.641556912975382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-9.9316821433603781E-14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236.12531905695994</v>
      </c>
      <c r="CE95" s="62">
        <f t="shared" si="94"/>
        <v>270.64539221029258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3.3992364478763198E-14</v>
      </c>
      <c r="BF96" s="14">
        <f t="shared" si="91"/>
        <v>5.790027782444094E-13</v>
      </c>
      <c r="BG96" s="22">
        <f t="shared" si="61"/>
        <v>1.0676332069095257E-12</v>
      </c>
      <c r="BH96" s="62">
        <f t="shared" si="62"/>
        <v>293.33333333333439</v>
      </c>
      <c r="BI96" s="62">
        <f ca="1">AVERAGE(OFFSET($BH$3,0,0,'Données projet'!$E$11+1,1))-AVERAGE(OFFSET($H$3,0,0,'Données projet'!$E$11+1,1))</f>
        <v>157.98488572680344</v>
      </c>
      <c r="BJ96" s="62">
        <f t="shared" si="92"/>
        <v>269.20989374735825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31.413997931604531</v>
      </c>
      <c r="BQ96" s="23">
        <f>EXP(-LN(2)/25)*BQ95+(1-EXP(-LN(2)/25))/(LN(2)/25)*Calculateur!BL96*Calculateur!BN96*VLOOKUP('Données projet'!$B$11,Paramètres!$A$1:$I$89,3,0)*0.475*44/12</f>
        <v>0.58284203160551851</v>
      </c>
      <c r="BR96" s="23">
        <f>EXP(-LN(2)/2)*BR95+(1-EXP(-LN(2)/2))/(LN(2)/2)*BL96*BO96*VLOOKUP('Données projet'!$B$11,Paramètres!$A$1:$I$89,3,0)*0.475*44/12</f>
        <v>3.6269952497463413E-7</v>
      </c>
      <c r="BS96" s="24">
        <f t="shared" si="63"/>
        <v>31.996840325909574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-9.9316821433603781E-14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236.12531905695994</v>
      </c>
      <c r="CE96" s="62">
        <f t="shared" si="94"/>
        <v>270.64539221029258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3.3992364478763198E-14</v>
      </c>
      <c r="BF97" s="14">
        <f t="shared" si="91"/>
        <v>5.790027782444094E-13</v>
      </c>
      <c r="BG97" s="22">
        <f t="shared" si="61"/>
        <v>1.0676332069095257E-12</v>
      </c>
      <c r="BH97" s="62">
        <f t="shared" si="62"/>
        <v>293.33333333333439</v>
      </c>
      <c r="BI97" s="62">
        <f ca="1">AVERAGE(OFFSET($BH$3,0,0,'Données projet'!$E$11+1,1))-AVERAGE(OFFSET($H$3,0,0,'Données projet'!$E$11+1,1))</f>
        <v>157.98488572680344</v>
      </c>
      <c r="BJ97" s="62">
        <f t="shared" si="92"/>
        <v>269.20989374735825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30.797988592812548</v>
      </c>
      <c r="BQ97" s="23">
        <f>EXP(-LN(2)/25)*BQ96+(1-EXP(-LN(2)/25))/(LN(2)/25)*Calculateur!BL97*Calculateur!BN97*VLOOKUP('Données projet'!$B$11,Paramètres!$A$1:$I$89,3,0)*0.475*44/12</f>
        <v>0.56690418560093525</v>
      </c>
      <c r="BR97" s="23">
        <f>EXP(-LN(2)/2)*BR96+(1-EXP(-LN(2)/2))/(LN(2)/2)*BL97*BO97*VLOOKUP('Données projet'!$B$11,Paramètres!$A$1:$I$89,3,0)*0.475*44/12</f>
        <v>2.5646729364270334E-7</v>
      </c>
      <c r="BS97" s="24">
        <f t="shared" si="63"/>
        <v>31.36489303488078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-9.9316821433603781E-14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236.12531905695994</v>
      </c>
      <c r="CE97" s="62">
        <f t="shared" si="94"/>
        <v>270.64539221029258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3.3992364478763198E-14</v>
      </c>
      <c r="BF98" s="14">
        <f t="shared" si="91"/>
        <v>5.790027782444094E-13</v>
      </c>
      <c r="BG98" s="22">
        <f t="shared" si="61"/>
        <v>1.0676332069095257E-12</v>
      </c>
      <c r="BH98" s="62">
        <f t="shared" si="62"/>
        <v>293.33333333333439</v>
      </c>
      <c r="BI98" s="62">
        <f ca="1">AVERAGE(OFFSET($BH$3,0,0,'Données projet'!$E$11+1,1))-AVERAGE(OFFSET($H$3,0,0,'Données projet'!$E$11+1,1))</f>
        <v>157.98488572680344</v>
      </c>
      <c r="BJ98" s="62">
        <f t="shared" si="92"/>
        <v>269.20989374735825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30.194058821425678</v>
      </c>
      <c r="BQ98" s="23">
        <f>EXP(-LN(2)/25)*BQ97+(1-EXP(-LN(2)/25))/(LN(2)/25)*Calculateur!BL98*Calculateur!BN98*VLOOKUP('Données projet'!$B$11,Paramètres!$A$1:$I$89,3,0)*0.475*44/12</f>
        <v>0.55140216083348226</v>
      </c>
      <c r="BR98" s="23">
        <f>EXP(-LN(2)/2)*BR97+(1-EXP(-LN(2)/2))/(LN(2)/2)*BL98*BO98*VLOOKUP('Données projet'!$B$11,Paramètres!$A$1:$I$89,3,0)*0.475*44/12</f>
        <v>1.8134976248731706E-7</v>
      </c>
      <c r="BS98" s="24">
        <f t="shared" si="63"/>
        <v>30.745461163608923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-9.9316821433603781E-14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236.12531905695994</v>
      </c>
      <c r="CE98" s="62">
        <f t="shared" si="94"/>
        <v>270.64539221029258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3.3992364478763198E-14</v>
      </c>
      <c r="BF99" s="14">
        <f t="shared" si="91"/>
        <v>5.790027782444094E-13</v>
      </c>
      <c r="BG99" s="22">
        <f t="shared" si="61"/>
        <v>1.0676332069095257E-12</v>
      </c>
      <c r="BH99" s="62">
        <f t="shared" si="62"/>
        <v>293.33333333333439</v>
      </c>
      <c r="BI99" s="62">
        <f ca="1">AVERAGE(OFFSET($BH$3,0,0,'Données projet'!$E$11+1,1))-AVERAGE(OFFSET($H$3,0,0,'Données projet'!$E$11+1,1))</f>
        <v>157.98488572680344</v>
      </c>
      <c r="BJ99" s="62">
        <f t="shared" si="92"/>
        <v>269.20989374735825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29.601971744494918</v>
      </c>
      <c r="BQ99" s="23">
        <f>EXP(-LN(2)/25)*BQ98+(1-EXP(-LN(2)/25))/(LN(2)/25)*Calculateur!BL99*Calculateur!BN99*VLOOKUP('Données projet'!$B$11,Paramètres!$A$1:$I$89,3,0)*0.475*44/12</f>
        <v>0.53632403974851128</v>
      </c>
      <c r="BR99" s="23">
        <f>EXP(-LN(2)/2)*BR98+(1-EXP(-LN(2)/2))/(LN(2)/2)*BL99*BO99*VLOOKUP('Données projet'!$B$11,Paramètres!$A$1:$I$89,3,0)*0.475*44/12</f>
        <v>1.2823364682135167E-7</v>
      </c>
      <c r="BS99" s="24">
        <f t="shared" si="63"/>
        <v>30.138295912477076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-9.9316821433603781E-14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236.12531905695994</v>
      </c>
      <c r="CE99" s="62">
        <f t="shared" si="94"/>
        <v>270.64539221029258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3.3992364478763198E-14</v>
      </c>
      <c r="BF100" s="14">
        <f t="shared" si="91"/>
        <v>5.790027782444094E-13</v>
      </c>
      <c r="BG100" s="22">
        <f t="shared" si="61"/>
        <v>1.0676332069095257E-12</v>
      </c>
      <c r="BH100" s="62">
        <f t="shared" si="62"/>
        <v>293.33333333333439</v>
      </c>
      <c r="BI100" s="62">
        <f ca="1">AVERAGE(OFFSET($BH$3,0,0,'Données projet'!$E$11+1,1))-AVERAGE(OFFSET($H$3,0,0,'Données projet'!$E$11+1,1))</f>
        <v>157.98488572680344</v>
      </c>
      <c r="BJ100" s="62">
        <f t="shared" si="92"/>
        <v>269.20989374735825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29.021495134005313</v>
      </c>
      <c r="BQ100" s="23">
        <f>EXP(-LN(2)/25)*BQ99+(1-EXP(-LN(2)/25))/(LN(2)/25)*Calculateur!BL100*Calculateur!BN100*VLOOKUP('Données projet'!$B$11,Paramètres!$A$1:$I$89,3,0)*0.475*44/12</f>
        <v>0.52165823067753281</v>
      </c>
      <c r="BR100" s="23">
        <f>EXP(-LN(2)/2)*BR99+(1-EXP(-LN(2)/2))/(LN(2)/2)*BL100*BO100*VLOOKUP('Données projet'!$B$11,Paramètres!$A$1:$I$89,3,0)*0.475*44/12</f>
        <v>9.0674881243658531E-8</v>
      </c>
      <c r="BS100" s="24">
        <f t="shared" si="63"/>
        <v>29.543153455357729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-9.9316821433603781E-14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236.12531905695994</v>
      </c>
      <c r="CE100" s="62">
        <f t="shared" si="94"/>
        <v>270.64539221029258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3.3992364478763198E-14</v>
      </c>
      <c r="BF101" s="14">
        <f t="shared" si="91"/>
        <v>5.790027782444094E-13</v>
      </c>
      <c r="BG101" s="22">
        <f t="shared" si="61"/>
        <v>1.0676332069095257E-12</v>
      </c>
      <c r="BH101" s="62">
        <f t="shared" si="62"/>
        <v>293.33333333333439</v>
      </c>
      <c r="BI101" s="62">
        <f ca="1">AVERAGE(OFFSET($BH$3,0,0,'Données projet'!$E$11+1,1))-AVERAGE(OFFSET($H$3,0,0,'Données projet'!$E$11+1,1))</f>
        <v>157.98488572680344</v>
      </c>
      <c r="BJ101" s="62">
        <f t="shared" si="92"/>
        <v>269.20989374735825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28.452401315791636</v>
      </c>
      <c r="BQ101" s="23">
        <f>EXP(-LN(2)/25)*BQ100+(1-EXP(-LN(2)/25))/(LN(2)/25)*Calculateur!BL101*Calculateur!BN101*VLOOKUP('Données projet'!$B$11,Paramètres!$A$1:$I$89,3,0)*0.475*44/12</f>
        <v>0.50739345892684162</v>
      </c>
      <c r="BR101" s="23">
        <f>EXP(-LN(2)/2)*BR100+(1-EXP(-LN(2)/2))/(LN(2)/2)*BL101*BO101*VLOOKUP('Données projet'!$B$11,Paramètres!$A$1:$I$89,3,0)*0.475*44/12</f>
        <v>6.4116823410675835E-8</v>
      </c>
      <c r="BS101" s="24">
        <f t="shared" si="63"/>
        <v>28.9597948388353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-9.9316821433603781E-14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236.12531905695994</v>
      </c>
      <c r="CE101" s="62">
        <f t="shared" si="94"/>
        <v>270.64539221029258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3.3992364478763198E-14</v>
      </c>
      <c r="BF102" s="14">
        <f t="shared" si="91"/>
        <v>5.790027782444094E-13</v>
      </c>
      <c r="BG102" s="22">
        <f t="shared" si="61"/>
        <v>1.0676332069095257E-12</v>
      </c>
      <c r="BH102" s="62">
        <f t="shared" si="62"/>
        <v>293.33333333333439</v>
      </c>
      <c r="BI102" s="62">
        <f ca="1">AVERAGE(OFFSET($BH$3,0,0,'Données projet'!$E$11+1,1))-AVERAGE(OFFSET($H$3,0,0,'Données projet'!$E$11+1,1))</f>
        <v>157.98488572680344</v>
      </c>
      <c r="BJ102" s="62">
        <f t="shared" si="92"/>
        <v>269.20989374735825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27.894467080240176</v>
      </c>
      <c r="BQ102" s="23">
        <f>EXP(-LN(2)/25)*BQ101+(1-EXP(-LN(2)/25))/(LN(2)/25)*Calculateur!BL102*Calculateur!BN102*VLOOKUP('Données projet'!$B$11,Paramètres!$A$1:$I$89,3,0)*0.475*44/12</f>
        <v>0.49351875810982482</v>
      </c>
      <c r="BR102" s="23">
        <f>EXP(-LN(2)/2)*BR101+(1-EXP(-LN(2)/2))/(LN(2)/2)*BL102*BO102*VLOOKUP('Données projet'!$B$11,Paramètres!$A$1:$I$89,3,0)*0.475*44/12</f>
        <v>4.5337440621829266E-8</v>
      </c>
      <c r="BS102" s="24">
        <f t="shared" si="63"/>
        <v>28.387985883687442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-9.9316821433603781E-14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236.12531905695994</v>
      </c>
      <c r="CE102" s="62">
        <f t="shared" si="94"/>
        <v>270.64539221029258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3.3992364478763198E-14</v>
      </c>
      <c r="BF103" s="14">
        <f t="shared" si="91"/>
        <v>5.790027782444094E-13</v>
      </c>
      <c r="BG103" s="22">
        <f t="shared" si="61"/>
        <v>1.0676332069095257E-12</v>
      </c>
      <c r="BH103" s="62">
        <f t="shared" si="62"/>
        <v>293.33333333333439</v>
      </c>
      <c r="BI103" s="62">
        <f ca="1">AVERAGE(OFFSET($BH$3,0,0,'Données projet'!$E$11+1,1))-AVERAGE(OFFSET($H$3,0,0,'Données projet'!$E$11+1,1))</f>
        <v>157.98488572680344</v>
      </c>
      <c r="BJ103" s="62">
        <f t="shared" si="92"/>
        <v>269.20989374735825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27.347473594741597</v>
      </c>
      <c r="BQ103" s="23">
        <f>EXP(-LN(2)/25)*BQ102+(1-EXP(-LN(2)/25))/(LN(2)/25)*Calculateur!BL103*Calculateur!BN103*VLOOKUP('Données projet'!$B$11,Paramètres!$A$1:$I$89,3,0)*0.475*44/12</f>
        <v>0.48002346171628812</v>
      </c>
      <c r="BR103" s="23">
        <f>EXP(-LN(2)/2)*BR102+(1-EXP(-LN(2)/2))/(LN(2)/2)*BL103*BO103*VLOOKUP('Données projet'!$B$11,Paramètres!$A$1:$I$89,3,0)*0.475*44/12</f>
        <v>3.2058411705337918E-8</v>
      </c>
      <c r="BS103" s="24">
        <f t="shared" si="63"/>
        <v>27.827497088516299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-9.9316821433603781E-14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236.12531905695994</v>
      </c>
      <c r="CE103" s="62">
        <f t="shared" si="94"/>
        <v>270.64539221029258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3.3992364478763198E-14</v>
      </c>
      <c r="BF104" s="14">
        <f t="shared" si="91"/>
        <v>5.790027782444094E-13</v>
      </c>
      <c r="BG104" s="22">
        <f t="shared" si="61"/>
        <v>1.0676332069095257E-12</v>
      </c>
      <c r="BH104" s="62">
        <f t="shared" si="62"/>
        <v>293.33333333333439</v>
      </c>
      <c r="BI104" s="62">
        <f ca="1">AVERAGE(OFFSET($BH$3,0,0,'Données projet'!$E$11+1,1))-AVERAGE(OFFSET($H$3,0,0,'Données projet'!$E$11+1,1))</f>
        <v>157.98488572680344</v>
      </c>
      <c r="BJ104" s="62">
        <f t="shared" si="92"/>
        <v>269.20989374735825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26.811206317860563</v>
      </c>
      <c r="BQ104" s="23">
        <f>EXP(-LN(2)/25)*BQ103+(1-EXP(-LN(2)/25))/(LN(2)/25)*Calculateur!BL104*Calculateur!BN104*VLOOKUP('Données projet'!$B$11,Paramètres!$A$1:$I$89,3,0)*0.475*44/12</f>
        <v>0.46689719491231946</v>
      </c>
      <c r="BR104" s="23">
        <f>EXP(-LN(2)/2)*BR103+(1-EXP(-LN(2)/2))/(LN(2)/2)*BL104*BO104*VLOOKUP('Données projet'!$B$11,Paramètres!$A$1:$I$89,3,0)*0.475*44/12</f>
        <v>2.2668720310914633E-8</v>
      </c>
      <c r="BS104" s="24">
        <f t="shared" si="63"/>
        <v>27.278103535441605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-9.9316821433603781E-14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236.12531905695994</v>
      </c>
      <c r="CE104" s="62">
        <f t="shared" si="94"/>
        <v>270.64539221029258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3.3992364478763198E-14</v>
      </c>
      <c r="BF105" s="14">
        <f t="shared" si="91"/>
        <v>5.790027782444094E-13</v>
      </c>
      <c r="BG105" s="22">
        <f t="shared" si="61"/>
        <v>1.0676332069095257E-12</v>
      </c>
      <c r="BH105" s="62">
        <f t="shared" si="62"/>
        <v>293.33333333333439</v>
      </c>
      <c r="BI105" s="62">
        <f ca="1">AVERAGE(OFFSET($BH$3,0,0,'Données projet'!$E$11+1,1))-AVERAGE(OFFSET($H$3,0,0,'Données projet'!$E$11+1,1))</f>
        <v>157.98488572680344</v>
      </c>
      <c r="BJ105" s="62">
        <f t="shared" si="92"/>
        <v>269.20989374735825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26.285454915188424</v>
      </c>
      <c r="BQ105" s="23">
        <f>EXP(-LN(2)/25)*BQ104+(1-EXP(-LN(2)/25))/(LN(2)/25)*Calculateur!BL105*Calculateur!BN105*VLOOKUP('Données projet'!$B$11,Paramètres!$A$1:$I$89,3,0)*0.475*44/12</f>
        <v>0.4541298665643857</v>
      </c>
      <c r="BR105" s="23">
        <f>EXP(-LN(2)/2)*BR104+(1-EXP(-LN(2)/2))/(LN(2)/2)*BL105*BO105*VLOOKUP('Données projet'!$B$11,Paramètres!$A$1:$I$89,3,0)*0.475*44/12</f>
        <v>1.6029205852668959E-8</v>
      </c>
      <c r="BS105" s="24">
        <f t="shared" si="63"/>
        <v>26.739584797782015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-9.9316821433603781E-14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236.12531905695994</v>
      </c>
      <c r="CE105" s="62">
        <f t="shared" si="94"/>
        <v>270.64539221029258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3.3992364478763198E-14</v>
      </c>
      <c r="BF106" s="14">
        <f t="shared" si="91"/>
        <v>5.790027782444094E-13</v>
      </c>
      <c r="BG106" s="22">
        <f t="shared" si="61"/>
        <v>1.0676332069095257E-12</v>
      </c>
      <c r="BH106" s="62">
        <f t="shared" si="62"/>
        <v>293.33333333333439</v>
      </c>
      <c r="BI106" s="62">
        <f ca="1">AVERAGE(OFFSET($BH$3,0,0,'Données projet'!$E$11+1,1))-AVERAGE(OFFSET($H$3,0,0,'Données projet'!$E$11+1,1))</f>
        <v>157.98488572680344</v>
      </c>
      <c r="BJ106" s="62">
        <f t="shared" si="92"/>
        <v>269.20989374735825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25.770013176845996</v>
      </c>
      <c r="BQ106" s="23">
        <f>EXP(-LN(2)/25)*BQ105+(1-EXP(-LN(2)/25))/(LN(2)/25)*Calculateur!BL106*Calculateur!BN106*VLOOKUP('Données projet'!$B$11,Paramètres!$A$1:$I$89,3,0)*0.475*44/12</f>
        <v>0.44171166148153079</v>
      </c>
      <c r="BR106" s="23">
        <f>EXP(-LN(2)/2)*BR105+(1-EXP(-LN(2)/2))/(LN(2)/2)*BL106*BO106*VLOOKUP('Données projet'!$B$11,Paramètres!$A$1:$I$89,3,0)*0.475*44/12</f>
        <v>1.1334360155457316E-8</v>
      </c>
      <c r="BS106" s="24">
        <f t="shared" si="63"/>
        <v>26.211724849661888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-9.9316821433603781E-14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236.12531905695994</v>
      </c>
      <c r="CE106" s="62">
        <f t="shared" si="94"/>
        <v>270.64539221029258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3.3992364478763198E-14</v>
      </c>
      <c r="BF107" s="14">
        <f t="shared" si="91"/>
        <v>5.790027782444094E-13</v>
      </c>
      <c r="BG107" s="22">
        <f t="shared" si="61"/>
        <v>1.0676332069095257E-12</v>
      </c>
      <c r="BH107" s="62">
        <f t="shared" si="62"/>
        <v>293.33333333333439</v>
      </c>
      <c r="BI107" s="62">
        <f ca="1">AVERAGE(OFFSET($BH$3,0,0,'Données projet'!$E$11+1,1))-AVERAGE(OFFSET($H$3,0,0,'Données projet'!$E$11+1,1))</f>
        <v>157.98488572680344</v>
      </c>
      <c r="BJ107" s="62">
        <f t="shared" si="92"/>
        <v>269.20989374735825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25.264678936604046</v>
      </c>
      <c r="BQ107" s="23">
        <f>EXP(-LN(2)/25)*BQ106+(1-EXP(-LN(2)/25))/(LN(2)/25)*Calculateur!BL107*Calculateur!BN107*VLOOKUP('Données projet'!$B$11,Paramètres!$A$1:$I$89,3,0)*0.475*44/12</f>
        <v>0.42963303286971161</v>
      </c>
      <c r="BR107" s="23">
        <f>EXP(-LN(2)/2)*BR106+(1-EXP(-LN(2)/2))/(LN(2)/2)*BL107*BO107*VLOOKUP('Données projet'!$B$11,Paramètres!$A$1:$I$89,3,0)*0.475*44/12</f>
        <v>8.0146029263344794E-9</v>
      </c>
      <c r="BS107" s="24">
        <f t="shared" si="63"/>
        <v>25.694311977488361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-9.9316821433603781E-14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236.12531905695994</v>
      </c>
      <c r="CE107" s="62">
        <f t="shared" si="94"/>
        <v>270.64539221029258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3.3992364478763198E-14</v>
      </c>
      <c r="BF108" s="14">
        <f t="shared" si="91"/>
        <v>5.790027782444094E-13</v>
      </c>
      <c r="BG108" s="22">
        <f t="shared" si="61"/>
        <v>1.0676332069095257E-12</v>
      </c>
      <c r="BH108" s="62">
        <f t="shared" si="62"/>
        <v>293.33333333333439</v>
      </c>
      <c r="BI108" s="62">
        <f ca="1">AVERAGE(OFFSET($BH$3,0,0,'Données projet'!$E$11+1,1))-AVERAGE(OFFSET($H$3,0,0,'Données projet'!$E$11+1,1))</f>
        <v>157.98488572680344</v>
      </c>
      <c r="BJ108" s="62">
        <f t="shared" si="92"/>
        <v>269.20989374735825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24.769253992589789</v>
      </c>
      <c r="BQ108" s="23">
        <f>EXP(-LN(2)/25)*BQ107+(1-EXP(-LN(2)/25))/(LN(2)/25)*Calculateur!BL108*Calculateur!BN108*VLOOKUP('Données projet'!$B$11,Paramètres!$A$1:$I$89,3,0)*0.475*44/12</f>
        <v>0.41788469499247011</v>
      </c>
      <c r="BR108" s="23">
        <f>EXP(-LN(2)/2)*BR107+(1-EXP(-LN(2)/2))/(LN(2)/2)*BL108*BO108*VLOOKUP('Données projet'!$B$11,Paramètres!$A$1:$I$89,3,0)*0.475*44/12</f>
        <v>5.6671800777286582E-9</v>
      </c>
      <c r="BS108" s="24">
        <f t="shared" si="63"/>
        <v>25.187138693249437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-9.9316821433603781E-14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236.12531905695994</v>
      </c>
      <c r="CE108" s="62">
        <f t="shared" si="94"/>
        <v>270.64539221029258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3.3992364478763198E-14</v>
      </c>
      <c r="BF109" s="14">
        <f t="shared" si="91"/>
        <v>5.790027782444094E-13</v>
      </c>
      <c r="BG109" s="22">
        <f t="shared" si="61"/>
        <v>1.0676332069095257E-12</v>
      </c>
      <c r="BH109" s="62">
        <f t="shared" si="62"/>
        <v>293.33333333333439</v>
      </c>
      <c r="BI109" s="62">
        <f ca="1">AVERAGE(OFFSET($BH$3,0,0,'Données projet'!$E$11+1,1))-AVERAGE(OFFSET($H$3,0,0,'Données projet'!$E$11+1,1))</f>
        <v>157.98488572680344</v>
      </c>
      <c r="BJ109" s="62">
        <f t="shared" si="92"/>
        <v>269.20989374735825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24.283544029548271</v>
      </c>
      <c r="BQ109" s="23">
        <f>EXP(-LN(2)/25)*BQ108+(1-EXP(-LN(2)/25))/(LN(2)/25)*Calculateur!BL109*Calculateur!BN109*VLOOKUP('Données projet'!$B$11,Paramètres!$A$1:$I$89,3,0)*0.475*44/12</f>
        <v>0.40645761603230002</v>
      </c>
      <c r="BR109" s="23">
        <f>EXP(-LN(2)/2)*BR108+(1-EXP(-LN(2)/2))/(LN(2)/2)*BL109*BO109*VLOOKUP('Données projet'!$B$11,Paramètres!$A$1:$I$89,3,0)*0.475*44/12</f>
        <v>4.0073014631672397E-9</v>
      </c>
      <c r="BS109" s="24">
        <f t="shared" si="63"/>
        <v>24.69000164958787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-9.9316821433603781E-14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236.12531905695994</v>
      </c>
      <c r="CE109" s="62">
        <f t="shared" si="94"/>
        <v>270.64539221029258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3.3992364478763198E-14</v>
      </c>
      <c r="BF110" s="14">
        <f t="shared" si="91"/>
        <v>5.790027782444094E-13</v>
      </c>
      <c r="BG110" s="22">
        <f t="shared" si="61"/>
        <v>1.0676332069095257E-12</v>
      </c>
      <c r="BH110" s="62">
        <f t="shared" si="62"/>
        <v>293.33333333333439</v>
      </c>
      <c r="BI110" s="62">
        <f ca="1">AVERAGE(OFFSET($BH$3,0,0,'Données projet'!$E$11+1,1))-AVERAGE(OFFSET($H$3,0,0,'Données projet'!$E$11+1,1))</f>
        <v>157.98488572680344</v>
      </c>
      <c r="BJ110" s="62">
        <f t="shared" si="92"/>
        <v>269.20989374735825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23.807358542628172</v>
      </c>
      <c r="BQ110" s="23">
        <f>EXP(-LN(2)/25)*BQ109+(1-EXP(-LN(2)/25))/(LN(2)/25)*Calculateur!BL110*Calculateur!BN110*VLOOKUP('Données projet'!$B$11,Paramètres!$A$1:$I$89,3,0)*0.475*44/12</f>
        <v>0.3953430111472197</v>
      </c>
      <c r="BR110" s="23">
        <f>EXP(-LN(2)/2)*BR109+(1-EXP(-LN(2)/2))/(LN(2)/2)*BL110*BO110*VLOOKUP('Données projet'!$B$11,Paramètres!$A$1:$I$89,3,0)*0.475*44/12</f>
        <v>2.8335900388643291E-9</v>
      </c>
      <c r="BS110" s="24">
        <f t="shared" si="63"/>
        <v>24.202701556608982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-9.9316821433603781E-14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236.12531905695994</v>
      </c>
      <c r="CE110" s="62">
        <f t="shared" si="94"/>
        <v>270.64539221029258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3.3992364478763198E-14</v>
      </c>
      <c r="BF111" s="14">
        <f t="shared" si="91"/>
        <v>5.790027782444094E-13</v>
      </c>
      <c r="BG111" s="22">
        <f t="shared" si="61"/>
        <v>1.0676332069095257E-12</v>
      </c>
      <c r="BH111" s="62">
        <f t="shared" si="62"/>
        <v>293.33333333333439</v>
      </c>
      <c r="BI111" s="62">
        <f ca="1">AVERAGE(OFFSET($BH$3,0,0,'Données projet'!$E$11+1,1))-AVERAGE(OFFSET($H$3,0,0,'Données projet'!$E$11+1,1))</f>
        <v>157.98488572680344</v>
      </c>
      <c r="BJ111" s="62">
        <f t="shared" si="92"/>
        <v>269.20989374735825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23.34051076266211</v>
      </c>
      <c r="BQ111" s="23">
        <f>EXP(-LN(2)/25)*BQ110+(1-EXP(-LN(2)/25))/(LN(2)/25)*Calculateur!BL111*Calculateur!BN111*VLOOKUP('Données projet'!$B$11,Paramètres!$A$1:$I$89,3,0)*0.475*44/12</f>
        <v>0.38453233571721357</v>
      </c>
      <c r="BR111" s="23">
        <f>EXP(-LN(2)/2)*BR110+(1-EXP(-LN(2)/2))/(LN(2)/2)*BL111*BO111*VLOOKUP('Données projet'!$B$11,Paramètres!$A$1:$I$89,3,0)*0.475*44/12</f>
        <v>2.0036507315836199E-9</v>
      </c>
      <c r="BS111" s="24">
        <f t="shared" si="63"/>
        <v>23.725043100382976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-9.9316821433603781E-14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236.12531905695994</v>
      </c>
      <c r="CE111" s="62">
        <f t="shared" si="94"/>
        <v>270.64539221029258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3.3992364478763198E-14</v>
      </c>
      <c r="BF112" s="14">
        <f t="shared" si="91"/>
        <v>5.790027782444094E-13</v>
      </c>
      <c r="BG112" s="22">
        <f t="shared" si="61"/>
        <v>1.0676332069095257E-12</v>
      </c>
      <c r="BH112" s="62">
        <f t="shared" si="62"/>
        <v>293.33333333333439</v>
      </c>
      <c r="BI112" s="62">
        <f ca="1">AVERAGE(OFFSET($BH$3,0,0,'Données projet'!$E$11+1,1))-AVERAGE(OFFSET($H$3,0,0,'Données projet'!$E$11+1,1))</f>
        <v>157.98488572680344</v>
      </c>
      <c r="BJ112" s="62">
        <f t="shared" si="92"/>
        <v>269.20989374735825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22.882817582912153</v>
      </c>
      <c r="BQ112" s="23">
        <f>EXP(-LN(2)/25)*BQ111+(1-EXP(-LN(2)/25))/(LN(2)/25)*Calculateur!BL112*Calculateur!BN112*VLOOKUP('Données projet'!$B$11,Paramètres!$A$1:$I$89,3,0)*0.475*44/12</f>
        <v>0.37401727877534968</v>
      </c>
      <c r="BR112" s="23">
        <f>EXP(-LN(2)/2)*BR111+(1-EXP(-LN(2)/2))/(LN(2)/2)*BL112*BO112*VLOOKUP('Données projet'!$B$11,Paramètres!$A$1:$I$89,3,0)*0.475*44/12</f>
        <v>1.4167950194321646E-9</v>
      </c>
      <c r="BS112" s="24">
        <f t="shared" si="63"/>
        <v>23.256834863104295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-9.9316821433603781E-14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236.12531905695994</v>
      </c>
      <c r="CE112" s="62">
        <f t="shared" si="94"/>
        <v>270.64539221029258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3.3992364478763198E-14</v>
      </c>
      <c r="BF113" s="14">
        <f t="shared" si="91"/>
        <v>5.790027782444094E-13</v>
      </c>
      <c r="BG113" s="22">
        <f t="shared" si="61"/>
        <v>1.0676332069095257E-12</v>
      </c>
      <c r="BH113" s="62">
        <f t="shared" si="62"/>
        <v>293.33333333333439</v>
      </c>
      <c r="BI113" s="62">
        <f ca="1">AVERAGE(OFFSET($BH$3,0,0,'Données projet'!$E$11+1,1))-AVERAGE(OFFSET($H$3,0,0,'Données projet'!$E$11+1,1))</f>
        <v>157.98488572680344</v>
      </c>
      <c r="BJ113" s="62">
        <f t="shared" si="92"/>
        <v>269.20989374735825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22.434099487251817</v>
      </c>
      <c r="BQ113" s="23">
        <f>EXP(-LN(2)/25)*BQ112+(1-EXP(-LN(2)/25))/(LN(2)/25)*Calculateur!BL113*Calculateur!BN113*VLOOKUP('Données projet'!$B$11,Paramètres!$A$1:$I$89,3,0)*0.475*44/12</f>
        <v>0.36378975661852386</v>
      </c>
      <c r="BR113" s="23">
        <f>EXP(-LN(2)/2)*BR112+(1-EXP(-LN(2)/2))/(LN(2)/2)*BL113*BO113*VLOOKUP('Données projet'!$B$11,Paramètres!$A$1:$I$89,3,0)*0.475*44/12</f>
        <v>1.0018253657918099E-9</v>
      </c>
      <c r="BS113" s="24">
        <f t="shared" si="63"/>
        <v>22.797889244872167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-9.9316821433603781E-14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236.12531905695994</v>
      </c>
      <c r="CE113" s="62">
        <f t="shared" si="94"/>
        <v>270.64539221029258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3.3992364478763198E-14</v>
      </c>
      <c r="BF114" s="14">
        <f t="shared" si="91"/>
        <v>5.790027782444094E-13</v>
      </c>
      <c r="BG114" s="22">
        <f t="shared" si="61"/>
        <v>1.0676332069095257E-12</v>
      </c>
      <c r="BH114" s="62">
        <f t="shared" si="62"/>
        <v>293.33333333333439</v>
      </c>
      <c r="BI114" s="62">
        <f ca="1">AVERAGE(OFFSET($BH$3,0,0,'Données projet'!$E$11+1,1))-AVERAGE(OFFSET($H$3,0,0,'Données projet'!$E$11+1,1))</f>
        <v>157.98488572680344</v>
      </c>
      <c r="BJ114" s="62">
        <f t="shared" si="92"/>
        <v>269.20989374735825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21.994180479756366</v>
      </c>
      <c r="BQ114" s="23">
        <f>EXP(-LN(2)/25)*BQ113+(1-EXP(-LN(2)/25))/(LN(2)/25)*Calculateur!BL114*Calculateur!BN114*VLOOKUP('Données projet'!$B$11,Paramètres!$A$1:$I$89,3,0)*0.475*44/12</f>
        <v>0.35384190659291848</v>
      </c>
      <c r="BR114" s="23">
        <f>EXP(-LN(2)/2)*BR113+(1-EXP(-LN(2)/2))/(LN(2)/2)*BL114*BO114*VLOOKUP('Données projet'!$B$11,Paramètres!$A$1:$I$89,3,0)*0.475*44/12</f>
        <v>7.0839750971608228E-10</v>
      </c>
      <c r="BS114" s="24">
        <f t="shared" si="63"/>
        <v>22.348022387057682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-9.9316821433603781E-14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236.12531905695994</v>
      </c>
      <c r="CE114" s="62">
        <f t="shared" si="94"/>
        <v>270.64539221029258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3.3992364478763198E-14</v>
      </c>
      <c r="BF115" s="14">
        <f t="shared" si="91"/>
        <v>5.790027782444094E-13</v>
      </c>
      <c r="BG115" s="22">
        <f t="shared" si="61"/>
        <v>1.0676332069095257E-12</v>
      </c>
      <c r="BH115" s="62">
        <f t="shared" si="62"/>
        <v>293.33333333333439</v>
      </c>
      <c r="BI115" s="62">
        <f ca="1">AVERAGE(OFFSET($BH$3,0,0,'Données projet'!$E$11+1,1))-AVERAGE(OFFSET($H$3,0,0,'Données projet'!$E$11+1,1))</f>
        <v>157.98488572680344</v>
      </c>
      <c r="BJ115" s="62">
        <f t="shared" si="92"/>
        <v>269.20989374735825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21.562888015673803</v>
      </c>
      <c r="BQ115" s="23">
        <f>EXP(-LN(2)/25)*BQ114+(1-EXP(-LN(2)/25))/(LN(2)/25)*Calculateur!BL115*Calculateur!BN115*VLOOKUP('Données projet'!$B$11,Paramètres!$A$1:$I$89,3,0)*0.475*44/12</f>
        <v>0.34416608104939794</v>
      </c>
      <c r="BR115" s="23">
        <f>EXP(-LN(2)/2)*BR114+(1-EXP(-LN(2)/2))/(LN(2)/2)*BL115*BO115*VLOOKUP('Données projet'!$B$11,Paramètres!$A$1:$I$89,3,0)*0.475*44/12</f>
        <v>5.0091268289590496E-10</v>
      </c>
      <c r="BS115" s="24">
        <f t="shared" si="63"/>
        <v>21.907054097224112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-9.9316821433603781E-14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236.12531905695994</v>
      </c>
      <c r="CE115" s="62">
        <f t="shared" si="94"/>
        <v>270.64539221029258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3.3992364478763198E-14</v>
      </c>
      <c r="BF116" s="14">
        <f t="shared" si="91"/>
        <v>5.790027782444094E-13</v>
      </c>
      <c r="BG116" s="22">
        <f t="shared" si="61"/>
        <v>1.0676332069095257E-12</v>
      </c>
      <c r="BH116" s="62">
        <f t="shared" si="62"/>
        <v>293.33333333333439</v>
      </c>
      <c r="BI116" s="62">
        <f ca="1">AVERAGE(OFFSET($BH$3,0,0,'Données projet'!$E$11+1,1))-AVERAGE(OFFSET($H$3,0,0,'Données projet'!$E$11+1,1))</f>
        <v>157.98488572680344</v>
      </c>
      <c r="BJ116" s="62">
        <f t="shared" si="92"/>
        <v>269.20989374735825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21.14005293374947</v>
      </c>
      <c r="BQ116" s="23">
        <f>EXP(-LN(2)/25)*BQ115+(1-EXP(-LN(2)/25))/(LN(2)/25)*Calculateur!BL116*Calculateur!BN116*VLOOKUP('Données projet'!$B$11,Paramètres!$A$1:$I$89,3,0)*0.475*44/12</f>
        <v>0.33475484146419454</v>
      </c>
      <c r="BR116" s="23">
        <f>EXP(-LN(2)/2)*BR115+(1-EXP(-LN(2)/2))/(LN(2)/2)*BL116*BO116*VLOOKUP('Données projet'!$B$11,Paramètres!$A$1:$I$89,3,0)*0.475*44/12</f>
        <v>3.5419875485804114E-10</v>
      </c>
      <c r="BS116" s="24">
        <f t="shared" si="63"/>
        <v>21.474807775567861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-9.9316821433603781E-14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236.12531905695994</v>
      </c>
      <c r="CE116" s="62">
        <f t="shared" si="94"/>
        <v>270.64539221029258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3.3992364478763198E-14</v>
      </c>
      <c r="BF117" s="14">
        <f t="shared" si="91"/>
        <v>5.790027782444094E-13</v>
      </c>
      <c r="BG117" s="22">
        <f t="shared" si="61"/>
        <v>1.0676332069095257E-12</v>
      </c>
      <c r="BH117" s="62">
        <f t="shared" si="62"/>
        <v>293.33333333333439</v>
      </c>
      <c r="BI117" s="62">
        <f ca="1">AVERAGE(OFFSET($BH$3,0,0,'Données projet'!$E$11+1,1))-AVERAGE(OFFSET($H$3,0,0,'Données projet'!$E$11+1,1))</f>
        <v>157.98488572680344</v>
      </c>
      <c r="BJ117" s="62">
        <f t="shared" si="92"/>
        <v>269.20989374735825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20.72550938987774</v>
      </c>
      <c r="BQ117" s="23">
        <f>EXP(-LN(2)/25)*BQ116+(1-EXP(-LN(2)/25))/(LN(2)/25)*Calculateur!BL117*Calculateur!BN117*VLOOKUP('Données projet'!$B$11,Paramètres!$A$1:$I$89,3,0)*0.475*44/12</f>
        <v>0.3256009527203641</v>
      </c>
      <c r="BR117" s="23">
        <f>EXP(-LN(2)/2)*BR116+(1-EXP(-LN(2)/2))/(LN(2)/2)*BL117*BO117*VLOOKUP('Données projet'!$B$11,Paramètres!$A$1:$I$89,3,0)*0.475*44/12</f>
        <v>2.5045634144795248E-10</v>
      </c>
      <c r="BS117" s="24">
        <f t="shared" si="63"/>
        <v>21.05111034284856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-9.9316821433603781E-14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236.12531905695994</v>
      </c>
      <c r="CE117" s="62">
        <f t="shared" si="94"/>
        <v>270.64539221029258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3.3992364478763198E-14</v>
      </c>
      <c r="BF118" s="14">
        <f t="shared" si="91"/>
        <v>5.790027782444094E-13</v>
      </c>
      <c r="BG118" s="22">
        <f t="shared" si="61"/>
        <v>1.0676332069095257E-12</v>
      </c>
      <c r="BH118" s="62">
        <f t="shared" si="62"/>
        <v>293.33333333333439</v>
      </c>
      <c r="BI118" s="62">
        <f ca="1">AVERAGE(OFFSET($BH$3,0,0,'Données projet'!$E$11+1,1))-AVERAGE(OFFSET($H$3,0,0,'Données projet'!$E$11+1,1))</f>
        <v>157.98488572680344</v>
      </c>
      <c r="BJ118" s="62">
        <f t="shared" si="92"/>
        <v>269.20989374735825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20.319094792054738</v>
      </c>
      <c r="BQ118" s="23">
        <f>EXP(-LN(2)/25)*BQ117+(1-EXP(-LN(2)/25))/(LN(2)/25)*Calculateur!BL118*Calculateur!BN118*VLOOKUP('Données projet'!$B$11,Paramètres!$A$1:$I$89,3,0)*0.475*44/12</f>
        <v>0.31669737754561583</v>
      </c>
      <c r="BR118" s="23">
        <f>EXP(-LN(2)/2)*BR117+(1-EXP(-LN(2)/2))/(LN(2)/2)*BL118*BO118*VLOOKUP('Données projet'!$B$11,Paramètres!$A$1:$I$89,3,0)*0.475*44/12</f>
        <v>1.7709937742902057E-10</v>
      </c>
      <c r="BS118" s="24">
        <f t="shared" si="63"/>
        <v>20.635792169777453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-9.9316821433603781E-14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236.12531905695994</v>
      </c>
      <c r="CE118" s="62">
        <f t="shared" si="94"/>
        <v>270.64539221029258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3.3992364478763198E-14</v>
      </c>
      <c r="BF119" s="14">
        <f t="shared" si="91"/>
        <v>5.790027782444094E-13</v>
      </c>
      <c r="BG119" s="22">
        <f t="shared" si="61"/>
        <v>1.0676332069095257E-12</v>
      </c>
      <c r="BH119" s="62">
        <f t="shared" si="62"/>
        <v>293.33333333333439</v>
      </c>
      <c r="BI119" s="62">
        <f ca="1">AVERAGE(OFFSET($BH$3,0,0,'Données projet'!$E$11+1,1))-AVERAGE(OFFSET($H$3,0,0,'Données projet'!$E$11+1,1))</f>
        <v>157.98488572680344</v>
      </c>
      <c r="BJ119" s="62">
        <f t="shared" si="92"/>
        <v>269.20989374735825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19.92064973660662</v>
      </c>
      <c r="BQ119" s="23">
        <f>EXP(-LN(2)/25)*BQ118+(1-EXP(-LN(2)/25))/(LN(2)/25)*Calculateur!BL119*Calculateur!BN119*VLOOKUP('Données projet'!$B$11,Paramètres!$A$1:$I$89,3,0)*0.475*44/12</f>
        <v>0.30803727110223972</v>
      </c>
      <c r="BR119" s="23">
        <f>EXP(-LN(2)/2)*BR118+(1-EXP(-LN(2)/2))/(LN(2)/2)*BL119*BO119*VLOOKUP('Données projet'!$B$11,Paramètres!$A$1:$I$89,3,0)*0.475*44/12</f>
        <v>1.2522817072397624E-10</v>
      </c>
      <c r="BS119" s="24">
        <f t="shared" si="63"/>
        <v>20.22868700783409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-9.9316821433603781E-14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236.12531905695994</v>
      </c>
      <c r="CE119" s="62">
        <f t="shared" si="94"/>
        <v>270.64539221029258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3.3992364478763198E-14</v>
      </c>
      <c r="BF120" s="14">
        <f t="shared" si="91"/>
        <v>5.790027782444094E-13</v>
      </c>
      <c r="BG120" s="22">
        <f t="shared" si="61"/>
        <v>1.0676332069095257E-12</v>
      </c>
      <c r="BH120" s="62">
        <f t="shared" si="62"/>
        <v>293.33333333333439</v>
      </c>
      <c r="BI120" s="62">
        <f ca="1">AVERAGE(OFFSET($BH$3,0,0,'Données projet'!$E$11+1,1))-AVERAGE(OFFSET($H$3,0,0,'Données projet'!$E$11+1,1))</f>
        <v>157.98488572680344</v>
      </c>
      <c r="BJ120" s="62">
        <f t="shared" si="92"/>
        <v>269.20989374735825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19.530017945668352</v>
      </c>
      <c r="BQ120" s="23">
        <f>EXP(-LN(2)/25)*BQ119+(1-EXP(-LN(2)/25))/(LN(2)/25)*Calculateur!BL120*Calculateur!BN120*VLOOKUP('Données projet'!$B$11,Paramètres!$A$1:$I$89,3,0)*0.475*44/12</f>
        <v>0.29961397572497289</v>
      </c>
      <c r="BR120" s="23">
        <f>EXP(-LN(2)/2)*BR119+(1-EXP(-LN(2)/2))/(LN(2)/2)*BL120*BO120*VLOOKUP('Données projet'!$B$11,Paramètres!$A$1:$I$89,3,0)*0.475*44/12</f>
        <v>8.8549688714510285E-11</v>
      </c>
      <c r="BS120" s="24">
        <f t="shared" si="63"/>
        <v>19.829631921481877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-9.9316821433603781E-14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236.12531905695994</v>
      </c>
      <c r="CE120" s="62">
        <f t="shared" si="94"/>
        <v>270.64539221029258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3.3992364478763198E-14</v>
      </c>
      <c r="BF121" s="14">
        <f t="shared" si="91"/>
        <v>5.790027782444094E-13</v>
      </c>
      <c r="BG121" s="22">
        <f t="shared" si="61"/>
        <v>1.0676332069095257E-12</v>
      </c>
      <c r="BH121" s="62">
        <f t="shared" si="62"/>
        <v>293.33333333333439</v>
      </c>
      <c r="BI121" s="62">
        <f ca="1">AVERAGE(OFFSET($BH$3,0,0,'Données projet'!$E$11+1,1))-AVERAGE(OFFSET($H$3,0,0,'Données projet'!$E$11+1,1))</f>
        <v>157.98488572680344</v>
      </c>
      <c r="BJ121" s="62">
        <f t="shared" si="92"/>
        <v>269.20989374735825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19.147046205888515</v>
      </c>
      <c r="BQ121" s="23">
        <f>EXP(-LN(2)/25)*BQ120+(1-EXP(-LN(2)/25))/(LN(2)/25)*Calculateur!BL121*Calculateur!BN121*VLOOKUP('Données projet'!$B$11,Paramètres!$A$1:$I$89,3,0)*0.475*44/12</f>
        <v>0.29142101580275931</v>
      </c>
      <c r="BR121" s="23">
        <f>EXP(-LN(2)/2)*BR120+(1-EXP(-LN(2)/2))/(LN(2)/2)*BL121*BO121*VLOOKUP('Données projet'!$B$11,Paramètres!$A$1:$I$89,3,0)*0.475*44/12</f>
        <v>6.2614085361988121E-11</v>
      </c>
      <c r="BS121" s="24">
        <f t="shared" si="63"/>
        <v>19.438467221753886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-9.9316821433603781E-14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236.12531905695994</v>
      </c>
      <c r="CE121" s="62">
        <f t="shared" si="94"/>
        <v>270.64539221029258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3.3992364478763198E-14</v>
      </c>
      <c r="BF122" s="14">
        <f t="shared" si="91"/>
        <v>5.790027782444094E-13</v>
      </c>
      <c r="BG122" s="22">
        <f t="shared" si="61"/>
        <v>1.0676332069095257E-12</v>
      </c>
      <c r="BH122" s="62">
        <f t="shared" si="62"/>
        <v>293.33333333333439</v>
      </c>
      <c r="BI122" s="62">
        <f ca="1">AVERAGE(OFFSET($BH$3,0,0,'Données projet'!$E$11+1,1))-AVERAGE(OFFSET($H$3,0,0,'Données projet'!$E$11+1,1))</f>
        <v>157.98488572680344</v>
      </c>
      <c r="BJ122" s="62">
        <f t="shared" si="92"/>
        <v>269.20989374735825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18.771584308336067</v>
      </c>
      <c r="BQ122" s="23">
        <f>EXP(-LN(2)/25)*BQ121+(1-EXP(-LN(2)/25))/(LN(2)/25)*Calculateur!BL122*Calculateur!BN122*VLOOKUP('Données projet'!$B$11,Paramètres!$A$1:$I$89,3,0)*0.475*44/12</f>
        <v>0.28345209280046768</v>
      </c>
      <c r="BR122" s="23">
        <f>EXP(-LN(2)/2)*BR121+(1-EXP(-LN(2)/2))/(LN(2)/2)*BL122*BO122*VLOOKUP('Données projet'!$B$11,Paramètres!$A$1:$I$89,3,0)*0.475*44/12</f>
        <v>4.4274844357255142E-11</v>
      </c>
      <c r="BS122" s="24">
        <f t="shared" si="63"/>
        <v>19.055036401180807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-9.9316821433603781E-14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236.12531905695994</v>
      </c>
      <c r="CE122" s="62">
        <f t="shared" si="94"/>
        <v>270.64539221029258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3.3992364478763198E-14</v>
      </c>
      <c r="BF123" s="14">
        <f t="shared" si="91"/>
        <v>5.790027782444094E-13</v>
      </c>
      <c r="BG123" s="22">
        <f t="shared" si="61"/>
        <v>1.0676332069095257E-12</v>
      </c>
      <c r="BH123" s="62">
        <f t="shared" si="62"/>
        <v>293.33333333333439</v>
      </c>
      <c r="BI123" s="62">
        <f ca="1">AVERAGE(OFFSET($BH$3,0,0,'Données projet'!$E$11+1,1))-AVERAGE(OFFSET($H$3,0,0,'Données projet'!$E$11+1,1))</f>
        <v>157.98488572680344</v>
      </c>
      <c r="BJ123" s="62">
        <f t="shared" si="92"/>
        <v>269.20989374735825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18.403484989585476</v>
      </c>
      <c r="BQ123" s="23">
        <f>EXP(-LN(2)/25)*BQ122+(1-EXP(-LN(2)/25))/(LN(2)/25)*Calculateur!BL123*Calculateur!BN123*VLOOKUP('Données projet'!$B$11,Paramètres!$A$1:$I$89,3,0)*0.475*44/12</f>
        <v>0.27570108041674118</v>
      </c>
      <c r="BR123" s="23">
        <f>EXP(-LN(2)/2)*BR122+(1-EXP(-LN(2)/2))/(LN(2)/2)*BL123*BO123*VLOOKUP('Données projet'!$B$11,Paramètres!$A$1:$I$89,3,0)*0.475*44/12</f>
        <v>3.130704268099406E-11</v>
      </c>
      <c r="BS123" s="24">
        <f t="shared" si="63"/>
        <v>18.679186070033523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-9.9316821433603781E-14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236.12531905695994</v>
      </c>
      <c r="CE123" s="62">
        <f t="shared" si="94"/>
        <v>270.64539221029258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3.3992364478763198E-14</v>
      </c>
      <c r="BF124" s="14">
        <f t="shared" si="91"/>
        <v>5.790027782444094E-13</v>
      </c>
      <c r="BG124" s="22">
        <f t="shared" si="61"/>
        <v>1.0676332069095257E-12</v>
      </c>
      <c r="BH124" s="62">
        <f t="shared" si="62"/>
        <v>293.33333333333439</v>
      </c>
      <c r="BI124" s="62">
        <f ca="1">AVERAGE(OFFSET($BH$3,0,0,'Données projet'!$E$11+1,1))-AVERAGE(OFFSET($H$3,0,0,'Données projet'!$E$11+1,1))</f>
        <v>157.98488572680344</v>
      </c>
      <c r="BJ124" s="62">
        <f t="shared" si="92"/>
        <v>269.20989374735825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18.042603873957169</v>
      </c>
      <c r="BQ124" s="23">
        <f>EXP(-LN(2)/25)*BQ123+(1-EXP(-LN(2)/25))/(LN(2)/25)*Calculateur!BL124*Calculateur!BN124*VLOOKUP('Données projet'!$B$11,Paramètres!$A$1:$I$89,3,0)*0.475*44/12</f>
        <v>0.2681620198742557</v>
      </c>
      <c r="BR124" s="23">
        <f>EXP(-LN(2)/2)*BR123+(1-EXP(-LN(2)/2))/(LN(2)/2)*BL124*BO124*VLOOKUP('Données projet'!$B$11,Paramètres!$A$1:$I$89,3,0)*0.475*44/12</f>
        <v>2.2137422178627571E-11</v>
      </c>
      <c r="BS124" s="24">
        <f t="shared" si="63"/>
        <v>18.310765893853564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-9.9316821433603781E-14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236.12531905695994</v>
      </c>
      <c r="CE124" s="62">
        <f t="shared" si="94"/>
        <v>270.64539221029258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3.3992364478763198E-14</v>
      </c>
      <c r="BF125" s="14">
        <f t="shared" si="91"/>
        <v>5.790027782444094E-13</v>
      </c>
      <c r="BG125" s="22">
        <f t="shared" si="61"/>
        <v>1.0676332069095257E-12</v>
      </c>
      <c r="BH125" s="62">
        <f t="shared" si="62"/>
        <v>293.33333333333439</v>
      </c>
      <c r="BI125" s="62">
        <f ca="1">AVERAGE(OFFSET($BH$3,0,0,'Données projet'!$E$11+1,1))-AVERAGE(OFFSET($H$3,0,0,'Données projet'!$E$11+1,1))</f>
        <v>157.98488572680344</v>
      </c>
      <c r="BJ125" s="62">
        <f t="shared" si="92"/>
        <v>269.20989374735825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17.688799416890589</v>
      </c>
      <c r="BQ125" s="23">
        <f>EXP(-LN(2)/25)*BQ124+(1-EXP(-LN(2)/25))/(LN(2)/25)*Calculateur!BL125*Calculateur!BN125*VLOOKUP('Données projet'!$B$11,Paramètres!$A$1:$I$89,3,0)*0.475*44/12</f>
        <v>0.26082911533876646</v>
      </c>
      <c r="BR125" s="23">
        <f>EXP(-LN(2)/2)*BR124+(1-EXP(-LN(2)/2))/(LN(2)/2)*BL125*BO125*VLOOKUP('Données projet'!$B$11,Paramètres!$A$1:$I$89,3,0)*0.475*44/12</f>
        <v>1.565352134049703E-11</v>
      </c>
      <c r="BS125" s="24">
        <f t="shared" si="63"/>
        <v>17.949628532245008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-9.9316821433603781E-14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236.12531905695994</v>
      </c>
      <c r="CE125" s="62">
        <f t="shared" si="94"/>
        <v>270.64539221029258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3.3992364478763198E-14</v>
      </c>
      <c r="BF126" s="14">
        <f t="shared" si="91"/>
        <v>5.790027782444094E-13</v>
      </c>
      <c r="BG126" s="22">
        <f t="shared" si="61"/>
        <v>1.0676332069095257E-12</v>
      </c>
      <c r="BH126" s="62">
        <f t="shared" si="62"/>
        <v>293.33333333333439</v>
      </c>
      <c r="BI126" s="62">
        <f ca="1">AVERAGE(OFFSET($BH$3,0,0,'Données projet'!$E$11+1,1))-AVERAGE(OFFSET($H$3,0,0,'Données projet'!$E$11+1,1))</f>
        <v>157.98488572680344</v>
      </c>
      <c r="BJ126" s="62">
        <f t="shared" si="92"/>
        <v>269.20989374735825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17.341932849427675</v>
      </c>
      <c r="BQ126" s="23">
        <f>EXP(-LN(2)/25)*BQ125+(1-EXP(-LN(2)/25))/(LN(2)/25)*Calculateur!BL126*Calculateur!BN126*VLOOKUP('Données projet'!$B$11,Paramètres!$A$1:$I$89,3,0)*0.475*44/12</f>
        <v>0.25369672946342087</v>
      </c>
      <c r="BR126" s="23">
        <f>EXP(-LN(2)/2)*BR125+(1-EXP(-LN(2)/2))/(LN(2)/2)*BL126*BO126*VLOOKUP('Données projet'!$B$11,Paramètres!$A$1:$I$89,3,0)*0.475*44/12</f>
        <v>1.1068711089313786E-11</v>
      </c>
      <c r="BS126" s="24">
        <f t="shared" si="63"/>
        <v>17.595629578902166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-9.9316821433603781E-14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236.12531905695994</v>
      </c>
      <c r="CE126" s="62">
        <f t="shared" si="94"/>
        <v>270.64539221029258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3.3992364478763198E-14</v>
      </c>
      <c r="BF127" s="14">
        <f t="shared" si="91"/>
        <v>5.790027782444094E-13</v>
      </c>
      <c r="BG127" s="22">
        <f t="shared" si="61"/>
        <v>1.0676332069095257E-12</v>
      </c>
      <c r="BH127" s="62">
        <f t="shared" si="62"/>
        <v>293.33333333333439</v>
      </c>
      <c r="BI127" s="62">
        <f ca="1">AVERAGE(OFFSET($BH$3,0,0,'Données projet'!$E$11+1,1))-AVERAGE(OFFSET($H$3,0,0,'Données projet'!$E$11+1,1))</f>
        <v>157.98488572680344</v>
      </c>
      <c r="BJ127" s="62">
        <f t="shared" si="92"/>
        <v>269.20989374735825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17.001868123784991</v>
      </c>
      <c r="BQ127" s="23">
        <f>EXP(-LN(2)/25)*BQ126+(1-EXP(-LN(2)/25))/(LN(2)/25)*Calculateur!BL127*Calculateur!BN127*VLOOKUP('Données projet'!$B$11,Paramètres!$A$1:$I$89,3,0)*0.475*44/12</f>
        <v>0.24675937905491246</v>
      </c>
      <c r="BR127" s="23">
        <f>EXP(-LN(2)/2)*BR126+(1-EXP(-LN(2)/2))/(LN(2)/2)*BL127*BO127*VLOOKUP('Données projet'!$B$11,Paramètres!$A$1:$I$89,3,0)*0.475*44/12</f>
        <v>7.8267606702485151E-12</v>
      </c>
      <c r="BS127" s="24">
        <f t="shared" si="63"/>
        <v>17.248627502847729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-9.9316821433603781E-14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236.12531905695994</v>
      </c>
      <c r="CE127" s="62">
        <f t="shared" si="94"/>
        <v>270.64539221029258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3.3992364478763198E-14</v>
      </c>
      <c r="BF128" s="14">
        <f t="shared" si="91"/>
        <v>5.790027782444094E-13</v>
      </c>
      <c r="BG128" s="22">
        <f t="shared" si="61"/>
        <v>1.0676332069095257E-12</v>
      </c>
      <c r="BH128" s="62">
        <f t="shared" si="62"/>
        <v>293.33333333333439</v>
      </c>
      <c r="BI128" s="62">
        <f ca="1">AVERAGE(OFFSET($BH$3,0,0,'Données projet'!$E$11+1,1))-AVERAGE(OFFSET($H$3,0,0,'Données projet'!$E$11+1,1))</f>
        <v>157.98488572680344</v>
      </c>
      <c r="BJ128" s="62">
        <f t="shared" si="92"/>
        <v>269.20989374735825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16.668471859993158</v>
      </c>
      <c r="BQ128" s="23">
        <f>EXP(-LN(2)/25)*BQ127+(1-EXP(-LN(2)/25))/(LN(2)/25)*Calculateur!BL128*Calculateur!BN128*VLOOKUP('Données projet'!$B$11,Paramètres!$A$1:$I$89,3,0)*0.475*44/12</f>
        <v>0.24001173085814412</v>
      </c>
      <c r="BR128" s="23">
        <f>EXP(-LN(2)/2)*BR127+(1-EXP(-LN(2)/2))/(LN(2)/2)*BL128*BO128*VLOOKUP('Données projet'!$B$11,Paramètres!$A$1:$I$89,3,0)*0.475*44/12</f>
        <v>5.5343555446568928E-12</v>
      </c>
      <c r="BS128" s="24">
        <f t="shared" si="63"/>
        <v>16.908483590856836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-9.9316821433603781E-14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236.12531905695994</v>
      </c>
      <c r="CE128" s="62">
        <f t="shared" si="94"/>
        <v>270.64539221029258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3.3992364478763198E-14</v>
      </c>
      <c r="BF129" s="14">
        <f t="shared" si="91"/>
        <v>5.790027782444094E-13</v>
      </c>
      <c r="BG129" s="22">
        <f t="shared" si="61"/>
        <v>1.0676332069095257E-12</v>
      </c>
      <c r="BH129" s="62">
        <f t="shared" si="62"/>
        <v>293.33333333333439</v>
      </c>
      <c r="BI129" s="62">
        <f ca="1">AVERAGE(OFFSET($BH$3,0,0,'Données projet'!$E$11+1,1))-AVERAGE(OFFSET($H$3,0,0,'Données projet'!$E$11+1,1))</f>
        <v>157.98488572680344</v>
      </c>
      <c r="BJ129" s="62">
        <f t="shared" si="92"/>
        <v>269.20989374735825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16.341613293582643</v>
      </c>
      <c r="BQ129" s="23">
        <f>EXP(-LN(2)/25)*BQ128+(1-EXP(-LN(2)/25))/(LN(2)/25)*Calculateur!BL129*Calculateur!BN129*VLOOKUP('Données projet'!$B$11,Paramètres!$A$1:$I$89,3,0)*0.475*44/12</f>
        <v>0.23344859745615978</v>
      </c>
      <c r="BR129" s="23">
        <f>EXP(-LN(2)/2)*BR128+(1-EXP(-LN(2)/2))/(LN(2)/2)*BL129*BO129*VLOOKUP('Données projet'!$B$11,Paramètres!$A$1:$I$89,3,0)*0.475*44/12</f>
        <v>3.9133803351242575E-12</v>
      </c>
      <c r="BS129" s="24">
        <f t="shared" si="63"/>
        <v>16.575061891042719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-9.9316821433603781E-14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236.12531905695994</v>
      </c>
      <c r="CE129" s="62">
        <f t="shared" si="94"/>
        <v>270.64539221029258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3.3992364478763198E-14</v>
      </c>
      <c r="BF130" s="14">
        <f t="shared" si="91"/>
        <v>5.790027782444094E-13</v>
      </c>
      <c r="BG130" s="22">
        <f t="shared" si="61"/>
        <v>1.0676332069095257E-12</v>
      </c>
      <c r="BH130" s="62">
        <f t="shared" si="62"/>
        <v>293.33333333333439</v>
      </c>
      <c r="BI130" s="62">
        <f ca="1">AVERAGE(OFFSET($BH$3,0,0,'Données projet'!$E$11+1,1))-AVERAGE(OFFSET($H$3,0,0,'Données projet'!$E$11+1,1))</f>
        <v>157.98488572680344</v>
      </c>
      <c r="BJ130" s="62">
        <f t="shared" si="92"/>
        <v>269.20989374735825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16.021164224295397</v>
      </c>
      <c r="BQ130" s="23">
        <f>EXP(-LN(2)/25)*BQ129+(1-EXP(-LN(2)/25))/(LN(2)/25)*Calculateur!BL130*Calculateur!BN130*VLOOKUP('Données projet'!$B$11,Paramètres!$A$1:$I$89,3,0)*0.475*44/12</f>
        <v>0.2270649332821929</v>
      </c>
      <c r="BR130" s="23">
        <f>EXP(-LN(2)/2)*BR129+(1-EXP(-LN(2)/2))/(LN(2)/2)*BL130*BO130*VLOOKUP('Données projet'!$B$11,Paramètres!$A$1:$I$89,3,0)*0.475*44/12</f>
        <v>2.7671777723284464E-12</v>
      </c>
      <c r="BS130" s="24">
        <f t="shared" si="63"/>
        <v>16.248229157580358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-9.9316821433603781E-14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236.12531905695994</v>
      </c>
      <c r="CE130" s="62">
        <f t="shared" si="94"/>
        <v>270.64539221029258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3.3992364478763198E-14</v>
      </c>
      <c r="BF131" s="14">
        <f t="shared" si="91"/>
        <v>5.790027782444094E-13</v>
      </c>
      <c r="BG131" s="22">
        <f t="shared" si="61"/>
        <v>1.0676332069095257E-12</v>
      </c>
      <c r="BH131" s="62">
        <f t="shared" si="62"/>
        <v>293.33333333333439</v>
      </c>
      <c r="BI131" s="62">
        <f ca="1">AVERAGE(OFFSET($BH$3,0,0,'Données projet'!$E$11+1,1))-AVERAGE(OFFSET($H$3,0,0,'Données projet'!$E$11+1,1))</f>
        <v>157.98488572680344</v>
      </c>
      <c r="BJ131" s="62">
        <f t="shared" si="92"/>
        <v>269.20989374735825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15.706998965802242</v>
      </c>
      <c r="BQ131" s="23">
        <f>EXP(-LN(2)/25)*BQ130+(1-EXP(-LN(2)/25))/(LN(2)/25)*Calculateur!BL131*Calculateur!BN131*VLOOKUP('Données projet'!$B$11,Paramètres!$A$1:$I$89,3,0)*0.475*44/12</f>
        <v>0.22085583074076545</v>
      </c>
      <c r="BR131" s="23">
        <f>EXP(-LN(2)/2)*BR130+(1-EXP(-LN(2)/2))/(LN(2)/2)*BL131*BO131*VLOOKUP('Données projet'!$B$11,Paramètres!$A$1:$I$89,3,0)*0.475*44/12</f>
        <v>1.9566901675621288E-12</v>
      </c>
      <c r="BS131" s="24">
        <f t="shared" si="63"/>
        <v>15.927854796544965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-9.9316821433603781E-14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236.12531905695994</v>
      </c>
      <c r="CE131" s="62">
        <f t="shared" si="94"/>
        <v>270.64539221029258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3.3992364478763198E-14</v>
      </c>
      <c r="BF132" s="14">
        <f t="shared" si="91"/>
        <v>5.790027782444094E-13</v>
      </c>
      <c r="BG132" s="22">
        <f t="shared" ref="BG132:BG153" si="115">(BE132+BF132)*0.475*44/12</f>
        <v>1.0676332069095257E-12</v>
      </c>
      <c r="BH132" s="62">
        <f t="shared" ref="BH132:BH195" si="116">BG132+(AY132+AZ132)*44/12</f>
        <v>293.33333333333439</v>
      </c>
      <c r="BI132" s="62">
        <f ca="1">AVERAGE(OFFSET($BH$3,0,0,'Données projet'!$E$11+1,1))-AVERAGE(OFFSET($H$3,0,0,'Données projet'!$E$11+1,1))</f>
        <v>157.98488572680344</v>
      </c>
      <c r="BJ132" s="62">
        <f t="shared" si="92"/>
        <v>269.20989374735825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15.398994296406251</v>
      </c>
      <c r="BQ132" s="23">
        <f>EXP(-LN(2)/25)*BQ131+(1-EXP(-LN(2)/25))/(LN(2)/25)*Calculateur!BL132*Calculateur!BN132*VLOOKUP('Données projet'!$B$11,Paramètres!$A$1:$I$89,3,0)*0.475*44/12</f>
        <v>0.21481651643485586</v>
      </c>
      <c r="BR132" s="23">
        <f>EXP(-LN(2)/2)*BR131+(1-EXP(-LN(2)/2))/(LN(2)/2)*BL132*BO132*VLOOKUP('Données projet'!$B$11,Paramètres!$A$1:$I$89,3,0)*0.475*44/12</f>
        <v>1.3835888861642232E-12</v>
      </c>
      <c r="BS132" s="24">
        <f t="shared" ref="BS132:BS153" si="117">SUM(BP132:BR132)</f>
        <v>15.613810812842491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-9.9316821433603781E-14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236.12531905695994</v>
      </c>
      <c r="CE132" s="62">
        <f t="shared" si="94"/>
        <v>270.64539221029258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3.3992364478763198E-14</v>
      </c>
      <c r="BF133" s="14">
        <f t="shared" ref="BF133:BF153" si="145">EXP(-1.0587+0.8836*LN(BE133)+0.284)</f>
        <v>5.790027782444094E-13</v>
      </c>
      <c r="BG133" s="22">
        <f t="shared" si="115"/>
        <v>1.0676332069095257E-12</v>
      </c>
      <c r="BH133" s="62">
        <f t="shared" si="116"/>
        <v>293.33333333333439</v>
      </c>
      <c r="BI133" s="62">
        <f ca="1">AVERAGE(OFFSET($BH$3,0,0,'Données projet'!$E$11+1,1))-AVERAGE(OFFSET($H$3,0,0,'Données projet'!$E$11+1,1))</f>
        <v>157.98488572680344</v>
      </c>
      <c r="BJ133" s="62">
        <f t="shared" ref="BJ133:BJ196" si="146">$BJ$3</f>
        <v>269.20989374735825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15.097029410712816</v>
      </c>
      <c r="BQ133" s="23">
        <f>EXP(-LN(2)/25)*BQ132+(1-EXP(-LN(2)/25))/(LN(2)/25)*Calculateur!BL133*Calculateur!BN133*VLOOKUP('Données projet'!$B$11,Paramètres!$A$1:$I$89,3,0)*0.475*44/12</f>
        <v>0.20894234749623511</v>
      </c>
      <c r="BR133" s="23">
        <f>EXP(-LN(2)/2)*BR132+(1-EXP(-LN(2)/2))/(LN(2)/2)*BL133*BO133*VLOOKUP('Données projet'!$B$11,Paramètres!$A$1:$I$89,3,0)*0.475*44/12</f>
        <v>9.7834508378106438E-13</v>
      </c>
      <c r="BS133" s="24">
        <f t="shared" si="117"/>
        <v>15.305971758210029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-9.9316821433603781E-14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236.12531905695994</v>
      </c>
      <c r="CE133" s="62">
        <f t="shared" ref="CE133:CE196" si="148">$CE$3</f>
        <v>270.64539221029258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3.3992364478763198E-14</v>
      </c>
      <c r="BF134" s="14">
        <f t="shared" si="145"/>
        <v>5.790027782444094E-13</v>
      </c>
      <c r="BG134" s="22">
        <f t="shared" si="115"/>
        <v>1.0676332069095257E-12</v>
      </c>
      <c r="BH134" s="62">
        <f t="shared" si="116"/>
        <v>293.33333333333439</v>
      </c>
      <c r="BI134" s="62">
        <f ca="1">AVERAGE(OFFSET($BH$3,0,0,'Données projet'!$E$11+1,1))-AVERAGE(OFFSET($H$3,0,0,'Données projet'!$E$11+1,1))</f>
        <v>157.98488572680344</v>
      </c>
      <c r="BJ134" s="62">
        <f t="shared" si="146"/>
        <v>269.20989374735825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14.800985872247436</v>
      </c>
      <c r="BQ134" s="23">
        <f>EXP(-LN(2)/25)*BQ133+(1-EXP(-LN(2)/25))/(LN(2)/25)*Calculateur!BL134*Calculateur!BN134*VLOOKUP('Données projet'!$B$11,Paramètres!$A$1:$I$89,3,0)*0.475*44/12</f>
        <v>0.20322880801615004</v>
      </c>
      <c r="BR134" s="23">
        <f>EXP(-LN(2)/2)*BR133+(1-EXP(-LN(2)/2))/(LN(2)/2)*BL134*BO134*VLOOKUP('Données projet'!$B$11,Paramètres!$A$1:$I$89,3,0)*0.475*44/12</f>
        <v>6.917944430821116E-13</v>
      </c>
      <c r="BS134" s="24">
        <f t="shared" si="117"/>
        <v>15.004214680264276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-9.9316821433603781E-14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236.12531905695994</v>
      </c>
      <c r="CE134" s="62">
        <f t="shared" si="148"/>
        <v>270.64539221029258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3.3992364478763198E-14</v>
      </c>
      <c r="BF135" s="14">
        <f t="shared" si="145"/>
        <v>5.790027782444094E-13</v>
      </c>
      <c r="BG135" s="22">
        <f t="shared" si="115"/>
        <v>1.0676332069095257E-12</v>
      </c>
      <c r="BH135" s="62">
        <f t="shared" si="116"/>
        <v>293.33333333333439</v>
      </c>
      <c r="BI135" s="62">
        <f ca="1">AVERAGE(OFFSET($BH$3,0,0,'Données projet'!$E$11+1,1))-AVERAGE(OFFSET($H$3,0,0,'Données projet'!$E$11+1,1))</f>
        <v>157.98488572680344</v>
      </c>
      <c r="BJ135" s="62">
        <f t="shared" si="146"/>
        <v>269.20989374735825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14.510747567002634</v>
      </c>
      <c r="BQ135" s="23">
        <f>EXP(-LN(2)/25)*BQ134+(1-EXP(-LN(2)/25))/(LN(2)/25)*Calculateur!BL135*Calculateur!BN135*VLOOKUP('Données projet'!$B$11,Paramètres!$A$1:$I$89,3,0)*0.475*44/12</f>
        <v>0.19767150557360988</v>
      </c>
      <c r="BR135" s="23">
        <f>EXP(-LN(2)/2)*BR134+(1-EXP(-LN(2)/2))/(LN(2)/2)*BL135*BO135*VLOOKUP('Données projet'!$B$11,Paramètres!$A$1:$I$89,3,0)*0.475*44/12</f>
        <v>4.8917254189053219E-13</v>
      </c>
      <c r="BS135" s="24">
        <f t="shared" si="117"/>
        <v>14.708419072576731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-9.9316821433603781E-14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236.12531905695994</v>
      </c>
      <c r="CE135" s="62">
        <f t="shared" si="148"/>
        <v>270.64539221029258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3.3992364478763198E-14</v>
      </c>
      <c r="BF136" s="14">
        <f t="shared" si="145"/>
        <v>5.790027782444094E-13</v>
      </c>
      <c r="BG136" s="22">
        <f t="shared" si="115"/>
        <v>1.0676332069095257E-12</v>
      </c>
      <c r="BH136" s="62">
        <f t="shared" si="116"/>
        <v>293.33333333333439</v>
      </c>
      <c r="BI136" s="62">
        <f ca="1">AVERAGE(OFFSET($BH$3,0,0,'Données projet'!$E$11+1,1))-AVERAGE(OFFSET($H$3,0,0,'Données projet'!$E$11+1,1))</f>
        <v>157.98488572680344</v>
      </c>
      <c r="BJ136" s="62">
        <f t="shared" si="146"/>
        <v>269.20989374735825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14.226200657895795</v>
      </c>
      <c r="BQ136" s="23">
        <f>EXP(-LN(2)/25)*BQ135+(1-EXP(-LN(2)/25))/(LN(2)/25)*Calculateur!BL136*Calculateur!BN136*VLOOKUP('Données projet'!$B$11,Paramètres!$A$1:$I$89,3,0)*0.475*44/12</f>
        <v>0.19226616785860681</v>
      </c>
      <c r="BR136" s="23">
        <f>EXP(-LN(2)/2)*BR135+(1-EXP(-LN(2)/2))/(LN(2)/2)*BL136*BO136*VLOOKUP('Données projet'!$B$11,Paramètres!$A$1:$I$89,3,0)*0.475*44/12</f>
        <v>3.458972215410558E-13</v>
      </c>
      <c r="BS136" s="24">
        <f t="shared" si="117"/>
        <v>14.418466825754749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-9.9316821433603781E-14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236.12531905695994</v>
      </c>
      <c r="CE136" s="62">
        <f t="shared" si="148"/>
        <v>270.64539221029258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3.3992364478763198E-14</v>
      </c>
      <c r="BF137" s="14">
        <f t="shared" si="145"/>
        <v>5.790027782444094E-13</v>
      </c>
      <c r="BG137" s="22">
        <f t="shared" si="115"/>
        <v>1.0676332069095257E-12</v>
      </c>
      <c r="BH137" s="62">
        <f t="shared" si="116"/>
        <v>293.33333333333439</v>
      </c>
      <c r="BI137" s="62">
        <f ca="1">AVERAGE(OFFSET($BH$3,0,0,'Données projet'!$E$11+1,1))-AVERAGE(OFFSET($H$3,0,0,'Données projet'!$E$11+1,1))</f>
        <v>157.98488572680344</v>
      </c>
      <c r="BJ137" s="62">
        <f t="shared" si="146"/>
        <v>269.20989374735825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13.947233540120065</v>
      </c>
      <c r="BQ137" s="23">
        <f>EXP(-LN(2)/25)*BQ136+(1-EXP(-LN(2)/25))/(LN(2)/25)*Calculateur!BL137*Calculateur!BN137*VLOOKUP('Données projet'!$B$11,Paramètres!$A$1:$I$89,3,0)*0.475*44/12</f>
        <v>0.18700863938767487</v>
      </c>
      <c r="BR137" s="23">
        <f>EXP(-LN(2)/2)*BR136+(1-EXP(-LN(2)/2))/(LN(2)/2)*BL137*BO137*VLOOKUP('Données projet'!$B$11,Paramètres!$A$1:$I$89,3,0)*0.475*44/12</f>
        <v>2.445862709452661E-13</v>
      </c>
      <c r="BS137" s="24">
        <f t="shared" si="117"/>
        <v>14.134242179507986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-9.9316821433603781E-14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236.12531905695994</v>
      </c>
      <c r="CE137" s="62">
        <f t="shared" si="148"/>
        <v>270.64539221029258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3.3992364478763198E-14</v>
      </c>
      <c r="BF138" s="14">
        <f t="shared" si="145"/>
        <v>5.790027782444094E-13</v>
      </c>
      <c r="BG138" s="22">
        <f t="shared" si="115"/>
        <v>1.0676332069095257E-12</v>
      </c>
      <c r="BH138" s="62">
        <f t="shared" si="116"/>
        <v>293.33333333333439</v>
      </c>
      <c r="BI138" s="62">
        <f ca="1">AVERAGE(OFFSET($BH$3,0,0,'Données projet'!$E$11+1,1))-AVERAGE(OFFSET($H$3,0,0,'Données projet'!$E$11+1,1))</f>
        <v>157.98488572680344</v>
      </c>
      <c r="BJ138" s="62">
        <f t="shared" si="146"/>
        <v>269.20989374735825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13.673736797370776</v>
      </c>
      <c r="BQ138" s="23">
        <f>EXP(-LN(2)/25)*BQ137+(1-EXP(-LN(2)/25))/(LN(2)/25)*Calculateur!BL138*Calculateur!BN138*VLOOKUP('Données projet'!$B$11,Paramètres!$A$1:$I$89,3,0)*0.475*44/12</f>
        <v>0.18189487830926196</v>
      </c>
      <c r="BR138" s="23">
        <f>EXP(-LN(2)/2)*BR137+(1-EXP(-LN(2)/2))/(LN(2)/2)*BL138*BO138*VLOOKUP('Données projet'!$B$11,Paramètres!$A$1:$I$89,3,0)*0.475*44/12</f>
        <v>1.729486107705279E-13</v>
      </c>
      <c r="BS138" s="24">
        <f t="shared" si="117"/>
        <v>13.855631675680209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-9.9316821433603781E-14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236.12531905695994</v>
      </c>
      <c r="CE138" s="62">
        <f t="shared" si="148"/>
        <v>270.64539221029258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3.3992364478763198E-14</v>
      </c>
      <c r="BF139" s="14">
        <f t="shared" si="145"/>
        <v>5.790027782444094E-13</v>
      </c>
      <c r="BG139" s="22">
        <f t="shared" si="115"/>
        <v>1.0676332069095257E-12</v>
      </c>
      <c r="BH139" s="62">
        <f t="shared" si="116"/>
        <v>293.33333333333439</v>
      </c>
      <c r="BI139" s="62">
        <f ca="1">AVERAGE(OFFSET($BH$3,0,0,'Données projet'!$E$11+1,1))-AVERAGE(OFFSET($H$3,0,0,'Données projet'!$E$11+1,1))</f>
        <v>157.98488572680344</v>
      </c>
      <c r="BJ139" s="62">
        <f t="shared" si="146"/>
        <v>269.20989374735825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13.405603158930258</v>
      </c>
      <c r="BQ139" s="23">
        <f>EXP(-LN(2)/25)*BQ138+(1-EXP(-LN(2)/25))/(LN(2)/25)*Calculateur!BL139*Calculateur!BN139*VLOOKUP('Données projet'!$B$11,Paramètres!$A$1:$I$89,3,0)*0.475*44/12</f>
        <v>0.17692095329645927</v>
      </c>
      <c r="BR139" s="23">
        <f>EXP(-LN(2)/2)*BR138+(1-EXP(-LN(2)/2))/(LN(2)/2)*BL139*BO139*VLOOKUP('Données projet'!$B$11,Paramètres!$A$1:$I$89,3,0)*0.475*44/12</f>
        <v>1.2229313547263305E-13</v>
      </c>
      <c r="BS139" s="24">
        <f t="shared" si="117"/>
        <v>13.582524112226841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-9.9316821433603781E-14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236.12531905695994</v>
      </c>
      <c r="CE139" s="62">
        <f t="shared" si="148"/>
        <v>270.64539221029258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3.3992364478763198E-14</v>
      </c>
      <c r="BF140" s="14">
        <f t="shared" si="145"/>
        <v>5.790027782444094E-13</v>
      </c>
      <c r="BG140" s="22">
        <f t="shared" si="115"/>
        <v>1.0676332069095257E-12</v>
      </c>
      <c r="BH140" s="62">
        <f t="shared" si="116"/>
        <v>293.33333333333439</v>
      </c>
      <c r="BI140" s="62">
        <f ca="1">AVERAGE(OFFSET($BH$3,0,0,'Données projet'!$E$11+1,1))-AVERAGE(OFFSET($H$3,0,0,'Données projet'!$E$11+1,1))</f>
        <v>157.98488572680344</v>
      </c>
      <c r="BJ140" s="62">
        <f t="shared" si="146"/>
        <v>269.20989374735825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13.142727457594189</v>
      </c>
      <c r="BQ140" s="23">
        <f>EXP(-LN(2)/25)*BQ139+(1-EXP(-LN(2)/25))/(LN(2)/25)*Calculateur!BL140*Calculateur!BN140*VLOOKUP('Données projet'!$B$11,Paramètres!$A$1:$I$89,3,0)*0.475*44/12</f>
        <v>0.172083040524699</v>
      </c>
      <c r="BR140" s="23">
        <f>EXP(-LN(2)/2)*BR139+(1-EXP(-LN(2)/2))/(LN(2)/2)*BL140*BO140*VLOOKUP('Données projet'!$B$11,Paramètres!$A$1:$I$89,3,0)*0.475*44/12</f>
        <v>8.647430538526395E-14</v>
      </c>
      <c r="BS140" s="24">
        <f t="shared" si="117"/>
        <v>13.314810498118975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-9.9316821433603781E-14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236.12531905695994</v>
      </c>
      <c r="CE140" s="62">
        <f t="shared" si="148"/>
        <v>270.64539221029258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3.3992364478763198E-14</v>
      </c>
      <c r="BF141" s="14">
        <f t="shared" si="145"/>
        <v>5.790027782444094E-13</v>
      </c>
      <c r="BG141" s="22">
        <f t="shared" si="115"/>
        <v>1.0676332069095257E-12</v>
      </c>
      <c r="BH141" s="62">
        <f t="shared" si="116"/>
        <v>293.33333333333439</v>
      </c>
      <c r="BI141" s="62">
        <f ca="1">AVERAGE(OFFSET($BH$3,0,0,'Données projet'!$E$11+1,1))-AVERAGE(OFFSET($H$3,0,0,'Données projet'!$E$11+1,1))</f>
        <v>157.98488572680344</v>
      </c>
      <c r="BJ141" s="62">
        <f t="shared" si="146"/>
        <v>269.20989374735825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12.885006588422975</v>
      </c>
      <c r="BQ141" s="23">
        <f>EXP(-LN(2)/25)*BQ140+(1-EXP(-LN(2)/25))/(LN(2)/25)*Calculateur!BL141*Calculateur!BN141*VLOOKUP('Données projet'!$B$11,Paramètres!$A$1:$I$89,3,0)*0.475*44/12</f>
        <v>0.1673774207320973</v>
      </c>
      <c r="BR141" s="23">
        <f>EXP(-LN(2)/2)*BR140+(1-EXP(-LN(2)/2))/(LN(2)/2)*BL141*BO141*VLOOKUP('Données projet'!$B$11,Paramètres!$A$1:$I$89,3,0)*0.475*44/12</f>
        <v>6.1146567736316524E-14</v>
      </c>
      <c r="BS141" s="24">
        <f t="shared" si="117"/>
        <v>13.052384009155134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-9.9316821433603781E-14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236.12531905695994</v>
      </c>
      <c r="CE141" s="62">
        <f t="shared" si="148"/>
        <v>270.64539221029258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3.3992364478763198E-14</v>
      </c>
      <c r="BF142" s="14">
        <f t="shared" si="145"/>
        <v>5.790027782444094E-13</v>
      </c>
      <c r="BG142" s="22">
        <f t="shared" si="115"/>
        <v>1.0676332069095257E-12</v>
      </c>
      <c r="BH142" s="62">
        <f t="shared" si="116"/>
        <v>293.33333333333439</v>
      </c>
      <c r="BI142" s="62">
        <f ca="1">AVERAGE(OFFSET($BH$3,0,0,'Données projet'!$E$11+1,1))-AVERAGE(OFFSET($H$3,0,0,'Données projet'!$E$11+1,1))</f>
        <v>157.98488572680344</v>
      </c>
      <c r="BJ142" s="62">
        <f t="shared" si="146"/>
        <v>269.20989374735825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12.632339468302</v>
      </c>
      <c r="BQ142" s="23">
        <f>EXP(-LN(2)/25)*BQ141+(1-EXP(-LN(2)/25))/(LN(2)/25)*Calculateur!BL142*Calculateur!BN142*VLOOKUP('Données projet'!$B$11,Paramètres!$A$1:$I$89,3,0)*0.475*44/12</f>
        <v>0.16280047636018208</v>
      </c>
      <c r="BR142" s="23">
        <f>EXP(-LN(2)/2)*BR141+(1-EXP(-LN(2)/2))/(LN(2)/2)*BL142*BO142*VLOOKUP('Données projet'!$B$11,Paramètres!$A$1:$I$89,3,0)*0.475*44/12</f>
        <v>4.3237152692631975E-14</v>
      </c>
      <c r="BS142" s="24">
        <f t="shared" si="117"/>
        <v>12.795139944662225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-9.9316821433603781E-14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236.12531905695994</v>
      </c>
      <c r="CE142" s="62">
        <f t="shared" si="148"/>
        <v>270.64539221029258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3.3992364478763198E-14</v>
      </c>
      <c r="BF143" s="14">
        <f t="shared" si="145"/>
        <v>5.790027782444094E-13</v>
      </c>
      <c r="BG143" s="22">
        <f t="shared" si="115"/>
        <v>1.0676332069095257E-12</v>
      </c>
      <c r="BH143" s="62">
        <f t="shared" si="116"/>
        <v>293.33333333333439</v>
      </c>
      <c r="BI143" s="62">
        <f ca="1">AVERAGE(OFFSET($BH$3,0,0,'Données projet'!$E$11+1,1))-AVERAGE(OFFSET($H$3,0,0,'Données projet'!$E$11+1,1))</f>
        <v>157.98488572680344</v>
      </c>
      <c r="BJ143" s="62">
        <f t="shared" si="146"/>
        <v>269.20989374735825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12.384626996294871</v>
      </c>
      <c r="BQ143" s="23">
        <f>EXP(-LN(2)/25)*BQ142+(1-EXP(-LN(2)/25))/(LN(2)/25)*Calculateur!BL143*Calculateur!BN143*VLOOKUP('Données projet'!$B$11,Paramètres!$A$1:$I$89,3,0)*0.475*44/12</f>
        <v>0.15834868877280794</v>
      </c>
      <c r="BR143" s="23">
        <f>EXP(-LN(2)/2)*BR142+(1-EXP(-LN(2)/2))/(LN(2)/2)*BL143*BO143*VLOOKUP('Données projet'!$B$11,Paramètres!$A$1:$I$89,3,0)*0.475*44/12</f>
        <v>3.0573283868158262E-14</v>
      </c>
      <c r="BS143" s="24">
        <f t="shared" si="117"/>
        <v>12.542975685067709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-9.9316821433603781E-14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236.12531905695994</v>
      </c>
      <c r="CE143" s="62">
        <f t="shared" si="148"/>
        <v>270.64539221029258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3.3992364478763198E-14</v>
      </c>
      <c r="BF144" s="14">
        <f t="shared" si="145"/>
        <v>5.790027782444094E-13</v>
      </c>
      <c r="BG144" s="22">
        <f t="shared" si="115"/>
        <v>1.0676332069095257E-12</v>
      </c>
      <c r="BH144" s="62">
        <f t="shared" si="116"/>
        <v>293.33333333333439</v>
      </c>
      <c r="BI144" s="62">
        <f ca="1">AVERAGE(OFFSET($BH$3,0,0,'Données projet'!$E$11+1,1))-AVERAGE(OFFSET($H$3,0,0,'Données projet'!$E$11+1,1))</f>
        <v>157.98488572680344</v>
      </c>
      <c r="BJ144" s="62">
        <f t="shared" si="146"/>
        <v>269.20989374735825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12.141772014774114</v>
      </c>
      <c r="BQ144" s="23">
        <f>EXP(-LN(2)/25)*BQ143+(1-EXP(-LN(2)/25))/(LN(2)/25)*Calculateur!BL144*Calculateur!BN144*VLOOKUP('Données projet'!$B$11,Paramètres!$A$1:$I$89,3,0)*0.475*44/12</f>
        <v>0.15401863555111989</v>
      </c>
      <c r="BR144" s="23">
        <f>EXP(-LN(2)/2)*BR143+(1-EXP(-LN(2)/2))/(LN(2)/2)*BL144*BO144*VLOOKUP('Données projet'!$B$11,Paramètres!$A$1:$I$89,3,0)*0.475*44/12</f>
        <v>2.1618576346315987E-14</v>
      </c>
      <c r="BS144" s="24">
        <f t="shared" si="117"/>
        <v>12.295790650325255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-9.9316821433603781E-14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236.12531905695994</v>
      </c>
      <c r="CE144" s="62">
        <f t="shared" si="148"/>
        <v>270.64539221029258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3.3992364478763198E-14</v>
      </c>
      <c r="BF145" s="14">
        <f t="shared" si="145"/>
        <v>5.790027782444094E-13</v>
      </c>
      <c r="BG145" s="22">
        <f t="shared" si="115"/>
        <v>1.0676332069095257E-12</v>
      </c>
      <c r="BH145" s="62">
        <f t="shared" si="116"/>
        <v>293.33333333333439</v>
      </c>
      <c r="BI145" s="62">
        <f ca="1">AVERAGE(OFFSET($BH$3,0,0,'Données projet'!$E$11+1,1))-AVERAGE(OFFSET($H$3,0,0,'Données projet'!$E$11+1,1))</f>
        <v>157.98488572680344</v>
      </c>
      <c r="BJ145" s="62">
        <f t="shared" si="146"/>
        <v>269.20989374735825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11.903679271314065</v>
      </c>
      <c r="BQ145" s="23">
        <f>EXP(-LN(2)/25)*BQ144+(1-EXP(-LN(2)/25))/(LN(2)/25)*Calculateur!BL145*Calculateur!BN145*VLOOKUP('Données projet'!$B$11,Paramètres!$A$1:$I$89,3,0)*0.475*44/12</f>
        <v>0.14980698786248647</v>
      </c>
      <c r="BR145" s="23">
        <f>EXP(-LN(2)/2)*BR144+(1-EXP(-LN(2)/2))/(LN(2)/2)*BL145*BO145*VLOOKUP('Données projet'!$B$11,Paramètres!$A$1:$I$89,3,0)*0.475*44/12</f>
        <v>1.5286641934079131E-14</v>
      </c>
      <c r="BS145" s="24">
        <f t="shared" si="117"/>
        <v>12.053486259176568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-9.9316821433603781E-14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236.12531905695994</v>
      </c>
      <c r="CE145" s="62">
        <f t="shared" si="148"/>
        <v>270.64539221029258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3.3992364478763198E-14</v>
      </c>
      <c r="BF146" s="14">
        <f t="shared" si="145"/>
        <v>5.790027782444094E-13</v>
      </c>
      <c r="BG146" s="22">
        <f t="shared" si="115"/>
        <v>1.0676332069095257E-12</v>
      </c>
      <c r="BH146" s="62">
        <f t="shared" si="116"/>
        <v>293.33333333333439</v>
      </c>
      <c r="BI146" s="62">
        <f ca="1">AVERAGE(OFFSET($BH$3,0,0,'Données projet'!$E$11+1,1))-AVERAGE(OFFSET($H$3,0,0,'Données projet'!$E$11+1,1))</f>
        <v>157.98488572680344</v>
      </c>
      <c r="BJ146" s="62">
        <f t="shared" si="146"/>
        <v>269.20989374735825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11.670255381331033</v>
      </c>
      <c r="BQ146" s="23">
        <f>EXP(-LN(2)/25)*BQ145+(1-EXP(-LN(2)/25))/(LN(2)/25)*Calculateur!BL146*Calculateur!BN146*VLOOKUP('Données projet'!$B$11,Paramètres!$A$1:$I$89,3,0)*0.475*44/12</f>
        <v>0.14571050790137968</v>
      </c>
      <c r="BR146" s="23">
        <f>EXP(-LN(2)/2)*BR145+(1-EXP(-LN(2)/2))/(LN(2)/2)*BL146*BO146*VLOOKUP('Données projet'!$B$11,Paramètres!$A$1:$I$89,3,0)*0.475*44/12</f>
        <v>1.0809288173157994E-14</v>
      </c>
      <c r="BS146" s="24">
        <f t="shared" si="117"/>
        <v>11.815965889232423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-9.9316821433603781E-14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236.12531905695994</v>
      </c>
      <c r="CE146" s="62">
        <f t="shared" si="148"/>
        <v>270.64539221029258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3.3992364478763198E-14</v>
      </c>
      <c r="BF147" s="14">
        <f t="shared" si="145"/>
        <v>5.790027782444094E-13</v>
      </c>
      <c r="BG147" s="22">
        <f t="shared" si="115"/>
        <v>1.0676332069095257E-12</v>
      </c>
      <c r="BH147" s="62">
        <f t="shared" si="116"/>
        <v>293.33333333333439</v>
      </c>
      <c r="BI147" s="62">
        <f ca="1">AVERAGE(OFFSET($BH$3,0,0,'Données projet'!$E$11+1,1))-AVERAGE(OFFSET($H$3,0,0,'Données projet'!$E$11+1,1))</f>
        <v>157.98488572680344</v>
      </c>
      <c r="BJ147" s="62">
        <f t="shared" si="146"/>
        <v>269.20989374735825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11.441408791456055</v>
      </c>
      <c r="BQ147" s="23">
        <f>EXP(-LN(2)/25)*BQ146+(1-EXP(-LN(2)/25))/(LN(2)/25)*Calculateur!BL147*Calculateur!BN147*VLOOKUP('Données projet'!$B$11,Paramètres!$A$1:$I$89,3,0)*0.475*44/12</f>
        <v>0.14172604640023387</v>
      </c>
      <c r="BR147" s="23">
        <f>EXP(-LN(2)/2)*BR146+(1-EXP(-LN(2)/2))/(LN(2)/2)*BL147*BO147*VLOOKUP('Données projet'!$B$11,Paramètres!$A$1:$I$89,3,0)*0.475*44/12</f>
        <v>7.6433209670395655E-15</v>
      </c>
      <c r="BS147" s="24">
        <f t="shared" si="117"/>
        <v>11.583134837856296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-9.9316821433603781E-14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236.12531905695994</v>
      </c>
      <c r="CE147" s="62">
        <f t="shared" si="148"/>
        <v>270.64539221029258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3.3992364478763198E-14</v>
      </c>
      <c r="BF148" s="14">
        <f t="shared" si="145"/>
        <v>5.790027782444094E-13</v>
      </c>
      <c r="BG148" s="22">
        <f t="shared" si="115"/>
        <v>1.0676332069095257E-12</v>
      </c>
      <c r="BH148" s="62">
        <f t="shared" si="116"/>
        <v>293.33333333333439</v>
      </c>
      <c r="BI148" s="62">
        <f ca="1">AVERAGE(OFFSET($BH$3,0,0,'Données projet'!$E$11+1,1))-AVERAGE(OFFSET($H$3,0,0,'Données projet'!$E$11+1,1))</f>
        <v>157.98488572680344</v>
      </c>
      <c r="BJ148" s="62">
        <f t="shared" si="146"/>
        <v>269.20989374735825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11.217049743625889</v>
      </c>
      <c r="BQ148" s="23">
        <f>EXP(-LN(2)/25)*BQ147+(1-EXP(-LN(2)/25))/(LN(2)/25)*Calculateur!BL148*Calculateur!BN148*VLOOKUP('Données projet'!$B$11,Paramètres!$A$1:$I$89,3,0)*0.475*44/12</f>
        <v>0.13785054020837062</v>
      </c>
      <c r="BR148" s="23">
        <f>EXP(-LN(2)/2)*BR147+(1-EXP(-LN(2)/2))/(LN(2)/2)*BL148*BO148*VLOOKUP('Données projet'!$B$11,Paramètres!$A$1:$I$89,3,0)*0.475*44/12</f>
        <v>5.4046440865789969E-15</v>
      </c>
      <c r="BS148" s="24">
        <f t="shared" si="117"/>
        <v>11.354900283834265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-9.9316821433603781E-14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236.12531905695994</v>
      </c>
      <c r="CE148" s="62">
        <f t="shared" si="148"/>
        <v>270.64539221029258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3.3992364478763198E-14</v>
      </c>
      <c r="BF149" s="14">
        <f t="shared" si="145"/>
        <v>5.790027782444094E-13</v>
      </c>
      <c r="BG149" s="22">
        <f t="shared" si="115"/>
        <v>1.0676332069095257E-12</v>
      </c>
      <c r="BH149" s="62">
        <f t="shared" si="116"/>
        <v>293.33333333333439</v>
      </c>
      <c r="BI149" s="62">
        <f ca="1">AVERAGE(OFFSET($BH$3,0,0,'Données projet'!$E$11+1,1))-AVERAGE(OFFSET($H$3,0,0,'Données projet'!$E$11+1,1))</f>
        <v>157.98488572680344</v>
      </c>
      <c r="BJ149" s="62">
        <f t="shared" si="146"/>
        <v>269.20989374735825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10.997090239878165</v>
      </c>
      <c r="BQ149" s="23">
        <f>EXP(-LN(2)/25)*BQ148+(1-EXP(-LN(2)/25))/(LN(2)/25)*Calculateur!BL149*Calculateur!BN149*VLOOKUP('Données projet'!$B$11,Paramètres!$A$1:$I$89,3,0)*0.475*44/12</f>
        <v>0.13408100993712788</v>
      </c>
      <c r="BR149" s="23">
        <f>EXP(-LN(2)/2)*BR148+(1-EXP(-LN(2)/2))/(LN(2)/2)*BL149*BO149*VLOOKUP('Données projet'!$B$11,Paramètres!$A$1:$I$89,3,0)*0.475*44/12</f>
        <v>3.8216604835197828E-15</v>
      </c>
      <c r="BS149" s="24">
        <f t="shared" si="117"/>
        <v>11.131171249815297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-9.9316821433603781E-14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236.12531905695994</v>
      </c>
      <c r="CE149" s="62">
        <f t="shared" si="148"/>
        <v>270.64539221029258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3.3992364478763198E-14</v>
      </c>
      <c r="BF150" s="14">
        <f t="shared" si="145"/>
        <v>5.790027782444094E-13</v>
      </c>
      <c r="BG150" s="22">
        <f t="shared" si="115"/>
        <v>1.0676332069095257E-12</v>
      </c>
      <c r="BH150" s="62">
        <f t="shared" si="116"/>
        <v>293.33333333333439</v>
      </c>
      <c r="BI150" s="62">
        <f ca="1">AVERAGE(OFFSET($BH$3,0,0,'Données projet'!$E$11+1,1))-AVERAGE(OFFSET($H$3,0,0,'Données projet'!$E$11+1,1))</f>
        <v>157.98488572680344</v>
      </c>
      <c r="BJ150" s="62">
        <f t="shared" si="146"/>
        <v>269.20989374735825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10.781444007836884</v>
      </c>
      <c r="BQ150" s="23">
        <f>EXP(-LN(2)/25)*BQ149+(1-EXP(-LN(2)/25))/(LN(2)/25)*Calculateur!BL150*Calculateur!BN150*VLOOKUP('Données projet'!$B$11,Paramètres!$A$1:$I$89,3,0)*0.475*44/12</f>
        <v>0.13041455766938326</v>
      </c>
      <c r="BR150" s="23">
        <f>EXP(-LN(2)/2)*BR149+(1-EXP(-LN(2)/2))/(LN(2)/2)*BL150*BO150*VLOOKUP('Données projet'!$B$11,Paramètres!$A$1:$I$89,3,0)*0.475*44/12</f>
        <v>2.7023220432894984E-15</v>
      </c>
      <c r="BS150" s="24">
        <f t="shared" si="117"/>
        <v>10.91185856550627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-9.9316821433603781E-14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236.12531905695994</v>
      </c>
      <c r="CE150" s="62">
        <f t="shared" si="148"/>
        <v>270.64539221029258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3.3992364478763198E-14</v>
      </c>
      <c r="BF151" s="14">
        <f t="shared" si="145"/>
        <v>5.790027782444094E-13</v>
      </c>
      <c r="BG151" s="22">
        <f t="shared" si="115"/>
        <v>1.0676332069095257E-12</v>
      </c>
      <c r="BH151" s="62">
        <f t="shared" si="116"/>
        <v>293.33333333333439</v>
      </c>
      <c r="BI151" s="62">
        <f ca="1">AVERAGE(OFFSET($BH$3,0,0,'Données projet'!$E$11+1,1))-AVERAGE(OFFSET($H$3,0,0,'Données projet'!$E$11+1,1))</f>
        <v>157.98488572680344</v>
      </c>
      <c r="BJ151" s="62">
        <f t="shared" si="146"/>
        <v>269.20989374735825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10.570026466874719</v>
      </c>
      <c r="BQ151" s="23">
        <f>EXP(-LN(2)/25)*BQ150+(1-EXP(-LN(2)/25))/(LN(2)/25)*Calculateur!BL151*Calculateur!BN151*VLOOKUP('Données projet'!$B$11,Paramètres!$A$1:$I$89,3,0)*0.475*44/12</f>
        <v>0.12684836473171046</v>
      </c>
      <c r="BR151" s="23">
        <f>EXP(-LN(2)/2)*BR150+(1-EXP(-LN(2)/2))/(LN(2)/2)*BL151*BO151*VLOOKUP('Données projet'!$B$11,Paramètres!$A$1:$I$89,3,0)*0.475*44/12</f>
        <v>1.9108302417598914E-15</v>
      </c>
      <c r="BS151" s="24">
        <f t="shared" si="117"/>
        <v>10.696874831606431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-9.9316821433603781E-14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236.12531905695994</v>
      </c>
      <c r="CE151" s="62">
        <f t="shared" si="148"/>
        <v>270.64539221029258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3.3992364478763198E-14</v>
      </c>
      <c r="BF152" s="14">
        <f t="shared" si="145"/>
        <v>5.790027782444094E-13</v>
      </c>
      <c r="BG152" s="22">
        <f t="shared" si="115"/>
        <v>1.0676332069095257E-12</v>
      </c>
      <c r="BH152" s="62">
        <f t="shared" si="116"/>
        <v>293.33333333333439</v>
      </c>
      <c r="BI152" s="62">
        <f ca="1">AVERAGE(OFFSET($BH$3,0,0,'Données projet'!$E$11+1,1))-AVERAGE(OFFSET($H$3,0,0,'Données projet'!$E$11+1,1))</f>
        <v>157.98488572680344</v>
      </c>
      <c r="BJ152" s="62">
        <f t="shared" si="146"/>
        <v>269.20989374735825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10.362754694938854</v>
      </c>
      <c r="BQ152" s="23">
        <f>EXP(-LN(2)/25)*BQ151+(1-EXP(-LN(2)/25))/(LN(2)/25)*Calculateur!BL152*Calculateur!BN152*VLOOKUP('Données projet'!$B$11,Paramètres!$A$1:$I$89,3,0)*0.475*44/12</f>
        <v>0.12337968952745626</v>
      </c>
      <c r="BR152" s="23">
        <f>EXP(-LN(2)/2)*BR151+(1-EXP(-LN(2)/2))/(LN(2)/2)*BL152*BO152*VLOOKUP('Données projet'!$B$11,Paramètres!$A$1:$I$89,3,0)*0.475*44/12</f>
        <v>1.3511610216447492E-15</v>
      </c>
      <c r="BS152" s="24">
        <f t="shared" si="117"/>
        <v>10.486134384466311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-9.9316821433603781E-14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236.12531905695994</v>
      </c>
      <c r="CE152" s="62">
        <f t="shared" si="148"/>
        <v>270.64539221029258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3.3992364478763198E-14</v>
      </c>
      <c r="BF153" s="14">
        <f t="shared" si="145"/>
        <v>5.790027782444094E-13</v>
      </c>
      <c r="BG153" s="22">
        <f t="shared" si="115"/>
        <v>1.0676332069095257E-12</v>
      </c>
      <c r="BH153" s="62">
        <f t="shared" si="116"/>
        <v>293.33333333333439</v>
      </c>
      <c r="BI153" s="62">
        <f ca="1">AVERAGE(OFFSET($BH$3,0,0,'Données projet'!$E$11+1,1))-AVERAGE(OFFSET($H$3,0,0,'Données projet'!$E$11+1,1))</f>
        <v>157.98488572680344</v>
      </c>
      <c r="BJ153" s="62">
        <f t="shared" si="146"/>
        <v>269.20989374735825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10.159547396027353</v>
      </c>
      <c r="BQ153" s="23">
        <f>EXP(-LN(2)/25)*BQ152+(1-EXP(-LN(2)/25))/(LN(2)/25)*Calculateur!BL153*Calculateur!BN153*VLOOKUP('Données projet'!$B$11,Paramètres!$A$1:$I$89,3,0)*0.475*44/12</f>
        <v>0.12000586542907209</v>
      </c>
      <c r="BR153" s="23">
        <f>EXP(-LN(2)/2)*BR152+(1-EXP(-LN(2)/2))/(LN(2)/2)*BL153*BO153*VLOOKUP('Données projet'!$B$11,Paramètres!$A$1:$I$89,3,0)*0.475*44/12</f>
        <v>9.5541512087994569E-16</v>
      </c>
      <c r="BS153" s="24">
        <f t="shared" si="117"/>
        <v>10.279553261456426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-9.9316821433603781E-14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236.12531905695994</v>
      </c>
      <c r="CE153" s="62">
        <f t="shared" si="148"/>
        <v>270.64539221029258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3.3992364478763198E-14</v>
      </c>
      <c r="BF154" s="14">
        <f t="shared" ref="BF154:BF203" si="167">EXP(-1.0587+0.8836*LN(BE154)+0.284)</f>
        <v>5.790027782444094E-13</v>
      </c>
      <c r="BG154" s="22">
        <f t="shared" ref="BG154:BG203" si="168">(BE154+BF154)*0.475*44/12</f>
        <v>1.0676332069095257E-12</v>
      </c>
      <c r="BH154" s="62">
        <f t="shared" si="116"/>
        <v>293.33333333333439</v>
      </c>
      <c r="BI154" s="62">
        <f ca="1">AVERAGE(OFFSET($BH$3,0,0,'Données projet'!$E$11+1,1))-AVERAGE(OFFSET($H$3,0,0,'Données projet'!$E$11+1,1))</f>
        <v>157.98488572680344</v>
      </c>
      <c r="BJ154" s="62">
        <f t="shared" si="146"/>
        <v>269.20989374735825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9.9603248683032941</v>
      </c>
      <c r="BQ154" s="23">
        <f>EXP(-LN(2)/25)*BQ153+(1-EXP(-LN(2)/25))/(LN(2)/25)*Calculateur!BL154*Calculateur!BN154*VLOOKUP('Données projet'!$B$11,Paramètres!$A$1:$I$89,3,0)*0.475*44/12</f>
        <v>0.11672429872807992</v>
      </c>
      <c r="BR154" s="23">
        <f>EXP(-LN(2)/2)*BR153+(1-EXP(-LN(2)/2))/(LN(2)/2)*BL154*BO154*VLOOKUP('Données projet'!$B$11,Paramètres!$A$1:$I$89,3,0)*0.475*44/12</f>
        <v>6.7558051082237461E-16</v>
      </c>
      <c r="BS154" s="24">
        <f t="shared" ref="BS154:BS203" si="169">SUM(BP154:BR154)</f>
        <v>10.077049167031374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-9.9316821433603781E-14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236.12531905695994</v>
      </c>
      <c r="CE154" s="62">
        <f t="shared" si="148"/>
        <v>270.64539221029258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3.3992364478763198E-14</v>
      </c>
      <c r="BF155" s="14">
        <f t="shared" si="167"/>
        <v>5.790027782444094E-13</v>
      </c>
      <c r="BG155" s="22">
        <f t="shared" si="168"/>
        <v>1.0676332069095257E-12</v>
      </c>
      <c r="BH155" s="62">
        <f t="shared" si="116"/>
        <v>293.33333333333439</v>
      </c>
      <c r="BI155" s="62">
        <f ca="1">AVERAGE(OFFSET($BH$3,0,0,'Données projet'!$E$11+1,1))-AVERAGE(OFFSET($H$3,0,0,'Données projet'!$E$11+1,1))</f>
        <v>157.98488572680344</v>
      </c>
      <c r="BJ155" s="62">
        <f t="shared" si="146"/>
        <v>269.20989374735825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9.7650089728341598</v>
      </c>
      <c r="BQ155" s="23">
        <f>EXP(-LN(2)/25)*BQ154+(1-EXP(-LN(2)/25))/(LN(2)/25)*Calculateur!BL155*Calculateur!BN155*VLOOKUP('Données projet'!$B$11,Paramètres!$A$1:$I$89,3,0)*0.475*44/12</f>
        <v>0.11353246664109648</v>
      </c>
      <c r="BR155" s="23">
        <f>EXP(-LN(2)/2)*BR154+(1-EXP(-LN(2)/2))/(LN(2)/2)*BL155*BO155*VLOOKUP('Données projet'!$B$11,Paramètres!$A$1:$I$89,3,0)*0.475*44/12</f>
        <v>4.7770756043997284E-16</v>
      </c>
      <c r="BS155" s="24">
        <f t="shared" si="169"/>
        <v>9.8785414394752564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-9.9316821433603781E-14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236.12531905695994</v>
      </c>
      <c r="CE155" s="62">
        <f t="shared" si="148"/>
        <v>270.64539221029258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3.3992364478763198E-14</v>
      </c>
      <c r="BF156" s="14">
        <f t="shared" si="167"/>
        <v>5.790027782444094E-13</v>
      </c>
      <c r="BG156" s="22">
        <f t="shared" si="168"/>
        <v>1.0676332069095257E-12</v>
      </c>
      <c r="BH156" s="62">
        <f t="shared" si="116"/>
        <v>293.33333333333439</v>
      </c>
      <c r="BI156" s="62">
        <f ca="1">AVERAGE(OFFSET($BH$3,0,0,'Données projet'!$E$11+1,1))-AVERAGE(OFFSET($H$3,0,0,'Données projet'!$E$11+1,1))</f>
        <v>157.98488572680344</v>
      </c>
      <c r="BJ156" s="62">
        <f t="shared" si="146"/>
        <v>269.20989374735825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9.5735231029442431</v>
      </c>
      <c r="BQ156" s="23">
        <f>EXP(-LN(2)/25)*BQ155+(1-EXP(-LN(2)/25))/(LN(2)/25)*Calculateur!BL156*Calculateur!BN156*VLOOKUP('Données projet'!$B$11,Paramètres!$A$1:$I$89,3,0)*0.475*44/12</f>
        <v>0.11042791537038275</v>
      </c>
      <c r="BR156" s="23">
        <f>EXP(-LN(2)/2)*BR155+(1-EXP(-LN(2)/2))/(LN(2)/2)*BL156*BO156*VLOOKUP('Données projet'!$B$11,Paramètres!$A$1:$I$89,3,0)*0.475*44/12</f>
        <v>3.377902554111873E-16</v>
      </c>
      <c r="BS156" s="24">
        <f t="shared" si="169"/>
        <v>9.6839510183146267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-9.9316821433603781E-14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236.12531905695994</v>
      </c>
      <c r="CE156" s="62">
        <f t="shared" si="148"/>
        <v>270.64539221029258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3.3992364478763198E-14</v>
      </c>
      <c r="BF157" s="14">
        <f t="shared" si="167"/>
        <v>5.790027782444094E-13</v>
      </c>
      <c r="BG157" s="22">
        <f t="shared" si="168"/>
        <v>1.0676332069095257E-12</v>
      </c>
      <c r="BH157" s="62">
        <f t="shared" si="116"/>
        <v>293.33333333333439</v>
      </c>
      <c r="BI157" s="62">
        <f ca="1">AVERAGE(OFFSET($BH$3,0,0,'Données projet'!$E$11+1,1))-AVERAGE(OFFSET($H$3,0,0,'Données projet'!$E$11+1,1))</f>
        <v>157.98488572680344</v>
      </c>
      <c r="BJ157" s="62">
        <f t="shared" si="146"/>
        <v>269.20989374735825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9.3857921541680192</v>
      </c>
      <c r="BQ157" s="23">
        <f>EXP(-LN(2)/25)*BQ156+(1-EXP(-LN(2)/25))/(LN(2)/25)*Calculateur!BL157*Calculateur!BN157*VLOOKUP('Données projet'!$B$11,Paramètres!$A$1:$I$89,3,0)*0.475*44/12</f>
        <v>0.10740825821742796</v>
      </c>
      <c r="BR157" s="23">
        <f>EXP(-LN(2)/2)*BR156+(1-EXP(-LN(2)/2))/(LN(2)/2)*BL157*BO157*VLOOKUP('Données projet'!$B$11,Paramètres!$A$1:$I$89,3,0)*0.475*44/12</f>
        <v>2.3885378021998642E-16</v>
      </c>
      <c r="BS157" s="24">
        <f t="shared" si="169"/>
        <v>9.4932004123854465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-9.9316821433603781E-14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236.12531905695994</v>
      </c>
      <c r="CE157" s="62">
        <f t="shared" si="148"/>
        <v>270.64539221029258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3.3992364478763198E-14</v>
      </c>
      <c r="BF158" s="14">
        <f t="shared" si="167"/>
        <v>5.790027782444094E-13</v>
      </c>
      <c r="BG158" s="22">
        <f t="shared" si="168"/>
        <v>1.0676332069095257E-12</v>
      </c>
      <c r="BH158" s="62">
        <f t="shared" si="116"/>
        <v>293.33333333333439</v>
      </c>
      <c r="BI158" s="62">
        <f ca="1">AVERAGE(OFFSET($BH$3,0,0,'Données projet'!$E$11+1,1))-AVERAGE(OFFSET($H$3,0,0,'Données projet'!$E$11+1,1))</f>
        <v>157.98488572680344</v>
      </c>
      <c r="BJ158" s="62">
        <f t="shared" si="146"/>
        <v>269.20989374735825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9.2017424947927253</v>
      </c>
      <c r="BQ158" s="23">
        <f>EXP(-LN(2)/25)*BQ157+(1-EXP(-LN(2)/25))/(LN(2)/25)*Calculateur!BL158*Calculateur!BN158*VLOOKUP('Données projet'!$B$11,Paramètres!$A$1:$I$89,3,0)*0.475*44/12</f>
        <v>0.10447117374811757</v>
      </c>
      <c r="BR158" s="23">
        <f>EXP(-LN(2)/2)*BR157+(1-EXP(-LN(2)/2))/(LN(2)/2)*BL158*BO158*VLOOKUP('Données projet'!$B$11,Paramètres!$A$1:$I$89,3,0)*0.475*44/12</f>
        <v>1.6889512770559365E-16</v>
      </c>
      <c r="BS158" s="24">
        <f t="shared" si="169"/>
        <v>9.3062136685408436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-9.9316821433603781E-14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236.12531905695994</v>
      </c>
      <c r="CE158" s="62">
        <f t="shared" si="148"/>
        <v>270.64539221029258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3.3992364478763198E-14</v>
      </c>
      <c r="BF159" s="14">
        <f t="shared" si="167"/>
        <v>5.790027782444094E-13</v>
      </c>
      <c r="BG159" s="22">
        <f t="shared" si="168"/>
        <v>1.0676332069095257E-12</v>
      </c>
      <c r="BH159" s="62">
        <f t="shared" si="116"/>
        <v>293.33333333333439</v>
      </c>
      <c r="BI159" s="62">
        <f ca="1">AVERAGE(OFFSET($BH$3,0,0,'Données projet'!$E$11+1,1))-AVERAGE(OFFSET($H$3,0,0,'Données projet'!$E$11+1,1))</f>
        <v>157.98488572680344</v>
      </c>
      <c r="BJ159" s="62">
        <f t="shared" si="146"/>
        <v>269.20989374735825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9.0213019369785723</v>
      </c>
      <c r="BQ159" s="23">
        <f>EXP(-LN(2)/25)*BQ158+(1-EXP(-LN(2)/25))/(LN(2)/25)*Calculateur!BL159*Calculateur!BN159*VLOOKUP('Données projet'!$B$11,Paramètres!$A$1:$I$89,3,0)*0.475*44/12</f>
        <v>0.10161440400807503</v>
      </c>
      <c r="BR159" s="23">
        <f>EXP(-LN(2)/2)*BR158+(1-EXP(-LN(2)/2))/(LN(2)/2)*BL159*BO159*VLOOKUP('Données projet'!$B$11,Paramètres!$A$1:$I$89,3,0)*0.475*44/12</f>
        <v>1.1942689010999321E-16</v>
      </c>
      <c r="BS159" s="24">
        <f t="shared" si="169"/>
        <v>9.1229163409866469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-9.9316821433603781E-14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236.12531905695994</v>
      </c>
      <c r="CE159" s="62">
        <f t="shared" si="148"/>
        <v>270.64539221029258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3.3992364478763198E-14</v>
      </c>
      <c r="BF160" s="14">
        <f t="shared" si="167"/>
        <v>5.790027782444094E-13</v>
      </c>
      <c r="BG160" s="22">
        <f t="shared" si="168"/>
        <v>1.0676332069095257E-12</v>
      </c>
      <c r="BH160" s="62">
        <f t="shared" si="116"/>
        <v>293.33333333333439</v>
      </c>
      <c r="BI160" s="62">
        <f ca="1">AVERAGE(OFFSET($BH$3,0,0,'Données projet'!$E$11+1,1))-AVERAGE(OFFSET($H$3,0,0,'Données projet'!$E$11+1,1))</f>
        <v>157.98488572680344</v>
      </c>
      <c r="BJ160" s="62">
        <f t="shared" si="146"/>
        <v>269.20989374735825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8.8443997084452821</v>
      </c>
      <c r="BQ160" s="23">
        <f>EXP(-LN(2)/25)*BQ159+(1-EXP(-LN(2)/25))/(LN(2)/25)*Calculateur!BL160*Calculateur!BN160*VLOOKUP('Données projet'!$B$11,Paramètres!$A$1:$I$89,3,0)*0.475*44/12</f>
        <v>9.8835752786804953E-2</v>
      </c>
      <c r="BR160" s="23">
        <f>EXP(-LN(2)/2)*BR159+(1-EXP(-LN(2)/2))/(LN(2)/2)*BL160*BO160*VLOOKUP('Données projet'!$B$11,Paramètres!$A$1:$I$89,3,0)*0.475*44/12</f>
        <v>8.4447563852796826E-17</v>
      </c>
      <c r="BS160" s="24">
        <f t="shared" si="169"/>
        <v>8.9432354612320868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-9.9316821433603781E-14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236.12531905695994</v>
      </c>
      <c r="CE160" s="62">
        <f t="shared" si="148"/>
        <v>270.64539221029258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3.3992364478763198E-14</v>
      </c>
      <c r="BF161" s="14">
        <f t="shared" si="167"/>
        <v>5.790027782444094E-13</v>
      </c>
      <c r="BG161" s="22">
        <f t="shared" si="168"/>
        <v>1.0676332069095257E-12</v>
      </c>
      <c r="BH161" s="62">
        <f t="shared" si="116"/>
        <v>293.33333333333439</v>
      </c>
      <c r="BI161" s="62">
        <f ca="1">AVERAGE(OFFSET($BH$3,0,0,'Données projet'!$E$11+1,1))-AVERAGE(OFFSET($H$3,0,0,'Données projet'!$E$11+1,1))</f>
        <v>157.98488572680344</v>
      </c>
      <c r="BJ161" s="62">
        <f t="shared" si="146"/>
        <v>269.20989374735825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8.6709664247138249</v>
      </c>
      <c r="BQ161" s="23">
        <f>EXP(-LN(2)/25)*BQ160+(1-EXP(-LN(2)/25))/(LN(2)/25)*Calculateur!BL161*Calculateur!BN161*VLOOKUP('Données projet'!$B$11,Paramètres!$A$1:$I$89,3,0)*0.475*44/12</f>
        <v>9.613308392930342E-2</v>
      </c>
      <c r="BR161" s="23">
        <f>EXP(-LN(2)/2)*BR160+(1-EXP(-LN(2)/2))/(LN(2)/2)*BL161*BO161*VLOOKUP('Données projet'!$B$11,Paramètres!$A$1:$I$89,3,0)*0.475*44/12</f>
        <v>5.9713445054996605E-17</v>
      </c>
      <c r="BS161" s="24">
        <f t="shared" si="169"/>
        <v>8.7670995086431276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-9.9316821433603781E-14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236.12531905695994</v>
      </c>
      <c r="CE161" s="62">
        <f t="shared" si="148"/>
        <v>270.64539221029258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3.3992364478763198E-14</v>
      </c>
      <c r="BF162" s="14">
        <f t="shared" si="167"/>
        <v>5.790027782444094E-13</v>
      </c>
      <c r="BG162" s="22">
        <f t="shared" si="168"/>
        <v>1.0676332069095257E-12</v>
      </c>
      <c r="BH162" s="62">
        <f t="shared" si="116"/>
        <v>293.33333333333439</v>
      </c>
      <c r="BI162" s="62">
        <f ca="1">AVERAGE(OFFSET($BH$3,0,0,'Données projet'!$E$11+1,1))-AVERAGE(OFFSET($H$3,0,0,'Données projet'!$E$11+1,1))</f>
        <v>157.98488572680344</v>
      </c>
      <c r="BJ162" s="62">
        <f t="shared" si="146"/>
        <v>269.20989374735825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8.5009340618924831</v>
      </c>
      <c r="BQ162" s="23">
        <f>EXP(-LN(2)/25)*BQ161+(1-EXP(-LN(2)/25))/(LN(2)/25)*Calculateur!BL162*Calculateur!BN162*VLOOKUP('Données projet'!$B$11,Paramètres!$A$1:$I$89,3,0)*0.475*44/12</f>
        <v>9.3504319693837448E-2</v>
      </c>
      <c r="BR162" s="23">
        <f>EXP(-LN(2)/2)*BR161+(1-EXP(-LN(2)/2))/(LN(2)/2)*BL162*BO162*VLOOKUP('Données projet'!$B$11,Paramètres!$A$1:$I$89,3,0)*0.475*44/12</f>
        <v>4.2223781926398413E-17</v>
      </c>
      <c r="BS162" s="24">
        <f t="shared" si="169"/>
        <v>8.5944383815863201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-9.9316821433603781E-14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236.12531905695994</v>
      </c>
      <c r="CE162" s="62">
        <f t="shared" si="148"/>
        <v>270.64539221029258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3.3992364478763198E-14</v>
      </c>
      <c r="BF163" s="14">
        <f t="shared" si="167"/>
        <v>5.790027782444094E-13</v>
      </c>
      <c r="BG163" s="22">
        <f t="shared" si="168"/>
        <v>1.0676332069095257E-12</v>
      </c>
      <c r="BH163" s="62">
        <f t="shared" si="116"/>
        <v>293.33333333333439</v>
      </c>
      <c r="BI163" s="62">
        <f ca="1">AVERAGE(OFFSET($BH$3,0,0,'Données projet'!$E$11+1,1))-AVERAGE(OFFSET($H$3,0,0,'Données projet'!$E$11+1,1))</f>
        <v>157.98488572680344</v>
      </c>
      <c r="BJ163" s="62">
        <f t="shared" si="146"/>
        <v>269.20989374735825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8.3342359299965665</v>
      </c>
      <c r="BQ163" s="23">
        <f>EXP(-LN(2)/25)*BQ162+(1-EXP(-LN(2)/25))/(LN(2)/25)*Calculateur!BL163*Calculateur!BN163*VLOOKUP('Données projet'!$B$11,Paramètres!$A$1:$I$89,3,0)*0.475*44/12</f>
        <v>9.0947439154630993E-2</v>
      </c>
      <c r="BR163" s="23">
        <f>EXP(-LN(2)/2)*BR162+(1-EXP(-LN(2)/2))/(LN(2)/2)*BL163*BO163*VLOOKUP('Données projet'!$B$11,Paramètres!$A$1:$I$89,3,0)*0.475*44/12</f>
        <v>2.9856722527498303E-17</v>
      </c>
      <c r="BS163" s="24">
        <f t="shared" si="169"/>
        <v>8.4251833691511973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-9.9316821433603781E-14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236.12531905695994</v>
      </c>
      <c r="CE163" s="62">
        <f t="shared" si="148"/>
        <v>270.64539221029258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3.3992364478763198E-14</v>
      </c>
      <c r="BF164" s="14">
        <f t="shared" si="167"/>
        <v>5.790027782444094E-13</v>
      </c>
      <c r="BG164" s="22">
        <f t="shared" si="168"/>
        <v>1.0676332069095257E-12</v>
      </c>
      <c r="BH164" s="62">
        <f t="shared" si="116"/>
        <v>293.33333333333439</v>
      </c>
      <c r="BI164" s="62">
        <f ca="1">AVERAGE(OFFSET($BH$3,0,0,'Données projet'!$E$11+1,1))-AVERAGE(OFFSET($H$3,0,0,'Données projet'!$E$11+1,1))</f>
        <v>157.98488572680344</v>
      </c>
      <c r="BJ164" s="62">
        <f t="shared" si="146"/>
        <v>269.20989374735825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8.1708066467913092</v>
      </c>
      <c r="BQ164" s="23">
        <f>EXP(-LN(2)/25)*BQ163+(1-EXP(-LN(2)/25))/(LN(2)/25)*Calculateur!BL164*Calculateur!BN164*VLOOKUP('Données projet'!$B$11,Paramètres!$A$1:$I$89,3,0)*0.475*44/12</f>
        <v>8.8460476648229647E-2</v>
      </c>
      <c r="BR164" s="23">
        <f>EXP(-LN(2)/2)*BR163+(1-EXP(-LN(2)/2))/(LN(2)/2)*BL164*BO164*VLOOKUP('Données projet'!$B$11,Paramètres!$A$1:$I$89,3,0)*0.475*44/12</f>
        <v>2.1111890963199206E-17</v>
      </c>
      <c r="BS164" s="24">
        <f t="shared" si="169"/>
        <v>8.2592671234395389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-9.9316821433603781E-14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236.12531905695994</v>
      </c>
      <c r="CE164" s="62">
        <f t="shared" si="148"/>
        <v>270.64539221029258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3.3992364478763198E-14</v>
      </c>
      <c r="BF165" s="14">
        <f t="shared" si="167"/>
        <v>5.790027782444094E-13</v>
      </c>
      <c r="BG165" s="22">
        <f t="shared" si="168"/>
        <v>1.0676332069095257E-12</v>
      </c>
      <c r="BH165" s="62">
        <f t="shared" si="116"/>
        <v>293.33333333333439</v>
      </c>
      <c r="BI165" s="62">
        <f ca="1">AVERAGE(OFFSET($BH$3,0,0,'Données projet'!$E$11+1,1))-AVERAGE(OFFSET($H$3,0,0,'Données projet'!$E$11+1,1))</f>
        <v>157.98488572680344</v>
      </c>
      <c r="BJ165" s="62">
        <f t="shared" si="146"/>
        <v>269.20989374735825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8.0105821121476861</v>
      </c>
      <c r="BQ165" s="23">
        <f>EXP(-LN(2)/25)*BQ164+(1-EXP(-LN(2)/25))/(LN(2)/25)*Calculateur!BL165*Calculateur!BN165*VLOOKUP('Données projet'!$B$11,Paramètres!$A$1:$I$89,3,0)*0.475*44/12</f>
        <v>8.6041520262349513E-2</v>
      </c>
      <c r="BR165" s="23">
        <f>EXP(-LN(2)/2)*BR164+(1-EXP(-LN(2)/2))/(LN(2)/2)*BL165*BO165*VLOOKUP('Données projet'!$B$11,Paramètres!$A$1:$I$89,3,0)*0.475*44/12</f>
        <v>1.4928361263749151E-17</v>
      </c>
      <c r="BS165" s="24">
        <f t="shared" si="169"/>
        <v>8.0966236324100365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-9.9316821433603781E-14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236.12531905695994</v>
      </c>
      <c r="CE165" s="62">
        <f t="shared" si="148"/>
        <v>270.64539221029258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3.3992364478763198E-14</v>
      </c>
      <c r="BF166" s="14">
        <f t="shared" si="167"/>
        <v>5.790027782444094E-13</v>
      </c>
      <c r="BG166" s="22">
        <f t="shared" si="168"/>
        <v>1.0676332069095257E-12</v>
      </c>
      <c r="BH166" s="62">
        <f t="shared" si="116"/>
        <v>293.33333333333439</v>
      </c>
      <c r="BI166" s="62">
        <f ca="1">AVERAGE(OFFSET($BH$3,0,0,'Données projet'!$E$11+1,1))-AVERAGE(OFFSET($H$3,0,0,'Données projet'!$E$11+1,1))</f>
        <v>157.98488572680344</v>
      </c>
      <c r="BJ166" s="62">
        <f t="shared" si="146"/>
        <v>269.20989374735825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7.8534994829011087</v>
      </c>
      <c r="BQ166" s="23">
        <f>EXP(-LN(2)/25)*BQ165+(1-EXP(-LN(2)/25))/(LN(2)/25)*Calculateur!BL166*Calculateur!BN166*VLOOKUP('Données projet'!$B$11,Paramètres!$A$1:$I$89,3,0)*0.475*44/12</f>
        <v>8.3688710366048663E-2</v>
      </c>
      <c r="BR166" s="23">
        <f>EXP(-LN(2)/2)*BR165+(1-EXP(-LN(2)/2))/(LN(2)/2)*BL166*BO166*VLOOKUP('Données projet'!$B$11,Paramètres!$A$1:$I$89,3,0)*0.475*44/12</f>
        <v>1.0555945481599603E-17</v>
      </c>
      <c r="BS166" s="24">
        <f t="shared" si="169"/>
        <v>7.9371881932671577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-9.9316821433603781E-14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236.12531905695994</v>
      </c>
      <c r="CE166" s="62">
        <f t="shared" si="148"/>
        <v>270.64539221029258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3.3992364478763198E-14</v>
      </c>
      <c r="BF167" s="14">
        <f t="shared" si="167"/>
        <v>5.790027782444094E-13</v>
      </c>
      <c r="BG167" s="22">
        <f t="shared" si="168"/>
        <v>1.0676332069095257E-12</v>
      </c>
      <c r="BH167" s="62">
        <f t="shared" si="116"/>
        <v>293.33333333333439</v>
      </c>
      <c r="BI167" s="62">
        <f ca="1">AVERAGE(OFFSET($BH$3,0,0,'Données projet'!$E$11+1,1))-AVERAGE(OFFSET($H$3,0,0,'Données projet'!$E$11+1,1))</f>
        <v>157.98488572680344</v>
      </c>
      <c r="BJ167" s="62">
        <f t="shared" si="146"/>
        <v>269.20989374735825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7.6994971482031129</v>
      </c>
      <c r="BQ167" s="23">
        <f>EXP(-LN(2)/25)*BQ166+(1-EXP(-LN(2)/25))/(LN(2)/25)*Calculateur!BL167*Calculateur!BN167*VLOOKUP('Données projet'!$B$11,Paramètres!$A$1:$I$89,3,0)*0.475*44/12</f>
        <v>8.1400238180091053E-2</v>
      </c>
      <c r="BR167" s="23">
        <f>EXP(-LN(2)/2)*BR166+(1-EXP(-LN(2)/2))/(LN(2)/2)*BL167*BO167*VLOOKUP('Données projet'!$B$11,Paramètres!$A$1:$I$89,3,0)*0.475*44/12</f>
        <v>7.4641806318745757E-18</v>
      </c>
      <c r="BS167" s="24">
        <f t="shared" si="169"/>
        <v>7.7808973863832041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-9.9316821433603781E-14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236.12531905695994</v>
      </c>
      <c r="CE167" s="62">
        <f t="shared" si="148"/>
        <v>270.64539221029258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3.3992364478763198E-14</v>
      </c>
      <c r="BF168" s="14">
        <f t="shared" si="167"/>
        <v>5.790027782444094E-13</v>
      </c>
      <c r="BG168" s="22">
        <f t="shared" si="168"/>
        <v>1.0676332069095257E-12</v>
      </c>
      <c r="BH168" s="62">
        <f t="shared" si="116"/>
        <v>293.33333333333439</v>
      </c>
      <c r="BI168" s="62">
        <f ca="1">AVERAGE(OFFSET($BH$3,0,0,'Données projet'!$E$11+1,1))-AVERAGE(OFFSET($H$3,0,0,'Données projet'!$E$11+1,1))</f>
        <v>157.98488572680344</v>
      </c>
      <c r="BJ168" s="62">
        <f t="shared" si="146"/>
        <v>269.20989374735825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7.5485147053563963</v>
      </c>
      <c r="BQ168" s="23">
        <f>EXP(-LN(2)/25)*BQ167+(1-EXP(-LN(2)/25))/(LN(2)/25)*Calculateur!BL168*Calculateur!BN168*VLOOKUP('Données projet'!$B$11,Paramètres!$A$1:$I$89,3,0)*0.475*44/12</f>
        <v>7.9174344386403986E-2</v>
      </c>
      <c r="BR168" s="23">
        <f>EXP(-LN(2)/2)*BR167+(1-EXP(-LN(2)/2))/(LN(2)/2)*BL168*BO168*VLOOKUP('Données projet'!$B$11,Paramètres!$A$1:$I$89,3,0)*0.475*44/12</f>
        <v>5.2779727407998016E-18</v>
      </c>
      <c r="BS168" s="24">
        <f t="shared" si="169"/>
        <v>7.6276890497428003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-9.9316821433603781E-14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236.12531905695994</v>
      </c>
      <c r="CE168" s="62">
        <f t="shared" si="148"/>
        <v>270.64539221029258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3.3992364478763198E-14</v>
      </c>
      <c r="BF169" s="14">
        <f t="shared" si="167"/>
        <v>5.790027782444094E-13</v>
      </c>
      <c r="BG169" s="22">
        <f t="shared" si="168"/>
        <v>1.0676332069095257E-12</v>
      </c>
      <c r="BH169" s="62">
        <f t="shared" si="116"/>
        <v>293.33333333333439</v>
      </c>
      <c r="BI169" s="62">
        <f ca="1">AVERAGE(OFFSET($BH$3,0,0,'Données projet'!$E$11+1,1))-AVERAGE(OFFSET($H$3,0,0,'Données projet'!$E$11+1,1))</f>
        <v>157.98488572680344</v>
      </c>
      <c r="BJ169" s="62">
        <f t="shared" si="146"/>
        <v>269.20989374735825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7.4004929361237064</v>
      </c>
      <c r="BQ169" s="23">
        <f>EXP(-LN(2)/25)*BQ168+(1-EXP(-LN(2)/25))/(LN(2)/25)*Calculateur!BL169*Calculateur!BN169*VLOOKUP('Données projet'!$B$11,Paramètres!$A$1:$I$89,3,0)*0.475*44/12</f>
        <v>7.7009317775559957E-2</v>
      </c>
      <c r="BR169" s="23">
        <f>EXP(-LN(2)/2)*BR168+(1-EXP(-LN(2)/2))/(LN(2)/2)*BL169*BO169*VLOOKUP('Données projet'!$B$11,Paramètres!$A$1:$I$89,3,0)*0.475*44/12</f>
        <v>3.7320903159372878E-18</v>
      </c>
      <c r="BS169" s="24">
        <f t="shared" si="169"/>
        <v>7.4775022538992664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-9.9316821433603781E-14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236.12531905695994</v>
      </c>
      <c r="CE169" s="62">
        <f t="shared" si="148"/>
        <v>270.64539221029258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3.3992364478763198E-14</v>
      </c>
      <c r="BF170" s="14">
        <f t="shared" si="167"/>
        <v>5.790027782444094E-13</v>
      </c>
      <c r="BG170" s="22">
        <f t="shared" si="168"/>
        <v>1.0676332069095257E-12</v>
      </c>
      <c r="BH170" s="62">
        <f t="shared" si="116"/>
        <v>293.33333333333439</v>
      </c>
      <c r="BI170" s="62">
        <f ca="1">AVERAGE(OFFSET($BH$3,0,0,'Données projet'!$E$11+1,1))-AVERAGE(OFFSET($H$3,0,0,'Données projet'!$E$11+1,1))</f>
        <v>157.98488572680344</v>
      </c>
      <c r="BJ170" s="62">
        <f t="shared" si="146"/>
        <v>269.20989374735825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7.2553737835013052</v>
      </c>
      <c r="BQ170" s="23">
        <f>EXP(-LN(2)/25)*BQ169+(1-EXP(-LN(2)/25))/(LN(2)/25)*Calculateur!BL170*Calculateur!BN170*VLOOKUP('Données projet'!$B$11,Paramètres!$A$1:$I$89,3,0)*0.475*44/12</f>
        <v>7.4903493931243251E-2</v>
      </c>
      <c r="BR170" s="23">
        <f>EXP(-LN(2)/2)*BR169+(1-EXP(-LN(2)/2))/(LN(2)/2)*BL170*BO170*VLOOKUP('Données projet'!$B$11,Paramètres!$A$1:$I$89,3,0)*0.475*44/12</f>
        <v>2.6389863703999008E-18</v>
      </c>
      <c r="BS170" s="24">
        <f t="shared" si="169"/>
        <v>7.3302772774325486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-9.9316821433603781E-14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236.12531905695994</v>
      </c>
      <c r="CE170" s="62">
        <f t="shared" si="148"/>
        <v>270.64539221029258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3.3992364478763198E-14</v>
      </c>
      <c r="BF171" s="14">
        <f t="shared" si="167"/>
        <v>5.790027782444094E-13</v>
      </c>
      <c r="BG171" s="22">
        <f t="shared" si="168"/>
        <v>1.0676332069095257E-12</v>
      </c>
      <c r="BH171" s="62">
        <f t="shared" si="116"/>
        <v>293.33333333333439</v>
      </c>
      <c r="BI171" s="62">
        <f ca="1">AVERAGE(OFFSET($BH$3,0,0,'Données projet'!$E$11+1,1))-AVERAGE(OFFSET($H$3,0,0,'Données projet'!$E$11+1,1))</f>
        <v>157.98488572680344</v>
      </c>
      <c r="BJ171" s="62">
        <f t="shared" si="146"/>
        <v>269.20989374735825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7.113100328947886</v>
      </c>
      <c r="BQ171" s="23">
        <f>EXP(-LN(2)/25)*BQ170+(1-EXP(-LN(2)/25))/(LN(2)/25)*Calculateur!BL171*Calculateur!BN171*VLOOKUP('Données projet'!$B$11,Paramètres!$A$1:$I$89,3,0)*0.475*44/12</f>
        <v>7.2855253950689855E-2</v>
      </c>
      <c r="BR171" s="23">
        <f>EXP(-LN(2)/2)*BR170+(1-EXP(-LN(2)/2))/(LN(2)/2)*BL171*BO171*VLOOKUP('Données projet'!$B$11,Paramètres!$A$1:$I$89,3,0)*0.475*44/12</f>
        <v>1.8660451579686439E-18</v>
      </c>
      <c r="BS171" s="24">
        <f t="shared" si="169"/>
        <v>7.1859555828985755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-9.9316821433603781E-14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236.12531905695994</v>
      </c>
      <c r="CE171" s="62">
        <f t="shared" si="148"/>
        <v>270.64539221029258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3.3992364478763198E-14</v>
      </c>
      <c r="BF172" s="14">
        <f t="shared" si="167"/>
        <v>5.790027782444094E-13</v>
      </c>
      <c r="BG172" s="22">
        <f t="shared" si="168"/>
        <v>1.0676332069095257E-12</v>
      </c>
      <c r="BH172" s="62">
        <f t="shared" si="116"/>
        <v>293.33333333333439</v>
      </c>
      <c r="BI172" s="62">
        <f ca="1">AVERAGE(OFFSET($BH$3,0,0,'Données projet'!$E$11+1,1))-AVERAGE(OFFSET($H$3,0,0,'Données projet'!$E$11+1,1))</f>
        <v>157.98488572680344</v>
      </c>
      <c r="BJ172" s="62">
        <f t="shared" si="146"/>
        <v>269.20989374735825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6.9736167700600209</v>
      </c>
      <c r="BQ172" s="23">
        <f>EXP(-LN(2)/25)*BQ171+(1-EXP(-LN(2)/25))/(LN(2)/25)*Calculateur!BL172*Calculateur!BN172*VLOOKUP('Données projet'!$B$11,Paramètres!$A$1:$I$89,3,0)*0.475*44/12</f>
        <v>7.0863023200116948E-2</v>
      </c>
      <c r="BR172" s="23">
        <f>EXP(-LN(2)/2)*BR171+(1-EXP(-LN(2)/2))/(LN(2)/2)*BL172*BO172*VLOOKUP('Données projet'!$B$11,Paramètres!$A$1:$I$89,3,0)*0.475*44/12</f>
        <v>1.3194931851999504E-18</v>
      </c>
      <c r="BS172" s="24">
        <f t="shared" si="169"/>
        <v>7.0444797932601375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-9.9316821433603781E-14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236.12531905695994</v>
      </c>
      <c r="CE172" s="62">
        <f t="shared" si="148"/>
        <v>270.64539221029258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3.3992364478763198E-14</v>
      </c>
      <c r="BF173" s="14">
        <f t="shared" si="167"/>
        <v>5.790027782444094E-13</v>
      </c>
      <c r="BG173" s="22">
        <f t="shared" si="168"/>
        <v>1.0676332069095257E-12</v>
      </c>
      <c r="BH173" s="62">
        <f t="shared" si="116"/>
        <v>293.33333333333439</v>
      </c>
      <c r="BI173" s="62">
        <f ca="1">AVERAGE(OFFSET($BH$3,0,0,'Données projet'!$E$11+1,1))-AVERAGE(OFFSET($H$3,0,0,'Données projet'!$E$11+1,1))</f>
        <v>157.98488572680344</v>
      </c>
      <c r="BJ173" s="62">
        <f t="shared" si="146"/>
        <v>269.20989374735825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6.8368683986853771</v>
      </c>
      <c r="BQ173" s="23">
        <f>EXP(-LN(2)/25)*BQ172+(1-EXP(-LN(2)/25))/(LN(2)/25)*Calculateur!BL173*Calculateur!BN173*VLOOKUP('Données projet'!$B$11,Paramètres!$A$1:$I$89,3,0)*0.475*44/12</f>
        <v>6.8925270104185324E-2</v>
      </c>
      <c r="BR173" s="23">
        <f>EXP(-LN(2)/2)*BR172+(1-EXP(-LN(2)/2))/(LN(2)/2)*BL173*BO173*VLOOKUP('Données projet'!$B$11,Paramètres!$A$1:$I$89,3,0)*0.475*44/12</f>
        <v>9.3302257898432196E-19</v>
      </c>
      <c r="BS173" s="24">
        <f t="shared" si="169"/>
        <v>6.9057936687895625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-9.9316821433603781E-14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236.12531905695994</v>
      </c>
      <c r="CE173" s="62">
        <f t="shared" si="148"/>
        <v>270.64539221029258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3.3992364478763198E-14</v>
      </c>
      <c r="BF174" s="14">
        <f t="shared" si="167"/>
        <v>5.790027782444094E-13</v>
      </c>
      <c r="BG174" s="22">
        <f t="shared" si="168"/>
        <v>1.0676332069095257E-12</v>
      </c>
      <c r="BH174" s="62">
        <f t="shared" si="116"/>
        <v>293.33333333333439</v>
      </c>
      <c r="BI174" s="62">
        <f ca="1">AVERAGE(OFFSET($BH$3,0,0,'Données projet'!$E$11+1,1))-AVERAGE(OFFSET($H$3,0,0,'Données projet'!$E$11+1,1))</f>
        <v>157.98488572680344</v>
      </c>
      <c r="BJ174" s="62">
        <f t="shared" si="146"/>
        <v>269.20989374735825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6.7028015794651195</v>
      </c>
      <c r="BQ174" s="23">
        <f>EXP(-LN(2)/25)*BQ173+(1-EXP(-LN(2)/25))/(LN(2)/25)*Calculateur!BL174*Calculateur!BN174*VLOOKUP('Données projet'!$B$11,Paramètres!$A$1:$I$89,3,0)*0.475*44/12</f>
        <v>6.7040504968563952E-2</v>
      </c>
      <c r="BR174" s="23">
        <f>EXP(-LN(2)/2)*BR173+(1-EXP(-LN(2)/2))/(LN(2)/2)*BL174*BO174*VLOOKUP('Données projet'!$B$11,Paramètres!$A$1:$I$89,3,0)*0.475*44/12</f>
        <v>6.597465925999752E-19</v>
      </c>
      <c r="BS174" s="24">
        <f t="shared" si="169"/>
        <v>6.7698420844336837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-9.9316821433603781E-14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236.12531905695994</v>
      </c>
      <c r="CE174" s="62">
        <f t="shared" si="148"/>
        <v>270.64539221029258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3.3992364478763198E-14</v>
      </c>
      <c r="BF175" s="14">
        <f t="shared" si="167"/>
        <v>5.790027782444094E-13</v>
      </c>
      <c r="BG175" s="22">
        <f t="shared" si="168"/>
        <v>1.0676332069095257E-12</v>
      </c>
      <c r="BH175" s="62">
        <f t="shared" si="116"/>
        <v>293.33333333333439</v>
      </c>
      <c r="BI175" s="62">
        <f ca="1">AVERAGE(OFFSET($BH$3,0,0,'Données projet'!$E$11+1,1))-AVERAGE(OFFSET($H$3,0,0,'Données projet'!$E$11+1,1))</f>
        <v>157.98488572680344</v>
      </c>
      <c r="BJ175" s="62">
        <f t="shared" si="146"/>
        <v>269.20989374735825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6.5713637287970856</v>
      </c>
      <c r="BQ175" s="23">
        <f>EXP(-LN(2)/25)*BQ174+(1-EXP(-LN(2)/25))/(LN(2)/25)*Calculateur!BL175*Calculateur!BN175*VLOOKUP('Données projet'!$B$11,Paramètres!$A$1:$I$89,3,0)*0.475*44/12</f>
        <v>6.5207278834691643E-2</v>
      </c>
      <c r="BR175" s="23">
        <f>EXP(-LN(2)/2)*BR174+(1-EXP(-LN(2)/2))/(LN(2)/2)*BL175*BO175*VLOOKUP('Données projet'!$B$11,Paramètres!$A$1:$I$89,3,0)*0.475*44/12</f>
        <v>4.6651128949216098E-19</v>
      </c>
      <c r="BS175" s="24">
        <f t="shared" si="169"/>
        <v>6.636571007631777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-9.9316821433603781E-14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236.12531905695994</v>
      </c>
      <c r="CE175" s="62">
        <f t="shared" si="148"/>
        <v>270.64539221029258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3.3992364478763198E-14</v>
      </c>
      <c r="BF176" s="14">
        <f t="shared" si="167"/>
        <v>5.790027782444094E-13</v>
      </c>
      <c r="BG176" s="22">
        <f t="shared" si="168"/>
        <v>1.0676332069095257E-12</v>
      </c>
      <c r="BH176" s="62">
        <f t="shared" si="116"/>
        <v>293.33333333333439</v>
      </c>
      <c r="BI176" s="62">
        <f ca="1">AVERAGE(OFFSET($BH$3,0,0,'Données projet'!$E$11+1,1))-AVERAGE(OFFSET($H$3,0,0,'Données projet'!$E$11+1,1))</f>
        <v>157.98488572680344</v>
      </c>
      <c r="BJ176" s="62">
        <f t="shared" si="146"/>
        <v>269.20989374735825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6.4425032942114786</v>
      </c>
      <c r="BQ176" s="23">
        <f>EXP(-LN(2)/25)*BQ175+(1-EXP(-LN(2)/25))/(LN(2)/25)*Calculateur!BL176*Calculateur!BN176*VLOOKUP('Données projet'!$B$11,Paramètres!$A$1:$I$89,3,0)*0.475*44/12</f>
        <v>6.3424182365855244E-2</v>
      </c>
      <c r="BR176" s="23">
        <f>EXP(-LN(2)/2)*BR175+(1-EXP(-LN(2)/2))/(LN(2)/2)*BL176*BO176*VLOOKUP('Données projet'!$B$11,Paramètres!$A$1:$I$89,3,0)*0.475*44/12</f>
        <v>3.298732962999876E-19</v>
      </c>
      <c r="BS176" s="24">
        <f t="shared" si="169"/>
        <v>6.5059274765773338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-9.9316821433603781E-14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236.12531905695994</v>
      </c>
      <c r="CE176" s="62">
        <f t="shared" si="148"/>
        <v>270.64539221029258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3.3992364478763198E-14</v>
      </c>
      <c r="BF177" s="14">
        <f t="shared" si="167"/>
        <v>5.790027782444094E-13</v>
      </c>
      <c r="BG177" s="22">
        <f t="shared" si="168"/>
        <v>1.0676332069095257E-12</v>
      </c>
      <c r="BH177" s="62">
        <f t="shared" si="116"/>
        <v>293.33333333333439</v>
      </c>
      <c r="BI177" s="62">
        <f ca="1">AVERAGE(OFFSET($BH$3,0,0,'Données projet'!$E$11+1,1))-AVERAGE(OFFSET($H$3,0,0,'Données projet'!$E$11+1,1))</f>
        <v>157.98488572680344</v>
      </c>
      <c r="BJ177" s="62">
        <f t="shared" si="146"/>
        <v>269.20989374735825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6.316169734150991</v>
      </c>
      <c r="BQ177" s="23">
        <f>EXP(-LN(2)/25)*BQ176+(1-EXP(-LN(2)/25))/(LN(2)/25)*Calculateur!BL177*Calculateur!BN177*VLOOKUP('Données projet'!$B$11,Paramètres!$A$1:$I$89,3,0)*0.475*44/12</f>
        <v>6.1689844763728137E-2</v>
      </c>
      <c r="BR177" s="23">
        <f>EXP(-LN(2)/2)*BR176+(1-EXP(-LN(2)/2))/(LN(2)/2)*BL177*BO177*VLOOKUP('Données projet'!$B$11,Paramètres!$A$1:$I$89,3,0)*0.475*44/12</f>
        <v>2.3325564474608049E-19</v>
      </c>
      <c r="BS177" s="24">
        <f t="shared" si="169"/>
        <v>6.3778595789147188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-9.9316821433603781E-14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236.12531905695994</v>
      </c>
      <c r="CE177" s="62">
        <f t="shared" si="148"/>
        <v>270.64539221029258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3.3992364478763198E-14</v>
      </c>
      <c r="BF178" s="14">
        <f t="shared" si="167"/>
        <v>5.790027782444094E-13</v>
      </c>
      <c r="BG178" s="22">
        <f t="shared" si="168"/>
        <v>1.0676332069095257E-12</v>
      </c>
      <c r="BH178" s="62">
        <f t="shared" si="116"/>
        <v>293.33333333333439</v>
      </c>
      <c r="BI178" s="62">
        <f ca="1">AVERAGE(OFFSET($BH$3,0,0,'Données projet'!$E$11+1,1))-AVERAGE(OFFSET($H$3,0,0,'Données projet'!$E$11+1,1))</f>
        <v>157.98488572680344</v>
      </c>
      <c r="BJ178" s="62">
        <f t="shared" si="146"/>
        <v>269.20989374735825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6.1923134981474268</v>
      </c>
      <c r="BQ178" s="23">
        <f>EXP(-LN(2)/25)*BQ177+(1-EXP(-LN(2)/25))/(LN(2)/25)*Calculateur!BL178*Calculateur!BN178*VLOOKUP('Données projet'!$B$11,Paramètres!$A$1:$I$89,3,0)*0.475*44/12</f>
        <v>6.000293271453605E-2</v>
      </c>
      <c r="BR178" s="23">
        <f>EXP(-LN(2)/2)*BR177+(1-EXP(-LN(2)/2))/(LN(2)/2)*BL178*BO178*VLOOKUP('Données projet'!$B$11,Paramètres!$A$1:$I$89,3,0)*0.475*44/12</f>
        <v>1.649366481499938E-19</v>
      </c>
      <c r="BS178" s="24">
        <f t="shared" si="169"/>
        <v>6.2523164308619625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-9.9316821433603781E-14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236.12531905695994</v>
      </c>
      <c r="CE178" s="62">
        <f t="shared" si="148"/>
        <v>270.64539221029258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3.3992364478763198E-14</v>
      </c>
      <c r="BF179" s="14">
        <f t="shared" si="167"/>
        <v>5.790027782444094E-13</v>
      </c>
      <c r="BG179" s="22">
        <f t="shared" si="168"/>
        <v>1.0676332069095257E-12</v>
      </c>
      <c r="BH179" s="62">
        <f t="shared" si="116"/>
        <v>293.33333333333439</v>
      </c>
      <c r="BI179" s="62">
        <f ca="1">AVERAGE(OFFSET($BH$3,0,0,'Données projet'!$E$11+1,1))-AVERAGE(OFFSET($H$3,0,0,'Données projet'!$E$11+1,1))</f>
        <v>157.98488572680344</v>
      </c>
      <c r="BJ179" s="62">
        <f t="shared" si="146"/>
        <v>269.20989374735825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6.0708860073870481</v>
      </c>
      <c r="BQ179" s="23">
        <f>EXP(-LN(2)/25)*BQ178+(1-EXP(-LN(2)/25))/(LN(2)/25)*Calculateur!BL179*Calculateur!BN179*VLOOKUP('Données projet'!$B$11,Paramètres!$A$1:$I$89,3,0)*0.475*44/12</f>
        <v>5.8362149364039967E-2</v>
      </c>
      <c r="BR179" s="23">
        <f>EXP(-LN(2)/2)*BR178+(1-EXP(-LN(2)/2))/(LN(2)/2)*BL179*BO179*VLOOKUP('Données projet'!$B$11,Paramètres!$A$1:$I$89,3,0)*0.475*44/12</f>
        <v>1.1662782237304025E-19</v>
      </c>
      <c r="BS179" s="24">
        <f t="shared" si="169"/>
        <v>6.1292481567510881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-9.9316821433603781E-14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236.12531905695994</v>
      </c>
      <c r="CE179" s="62">
        <f t="shared" si="148"/>
        <v>270.64539221029258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3.3992364478763198E-14</v>
      </c>
      <c r="BF180" s="14">
        <f t="shared" si="167"/>
        <v>5.790027782444094E-13</v>
      </c>
      <c r="BG180" s="22">
        <f t="shared" si="168"/>
        <v>1.0676332069095257E-12</v>
      </c>
      <c r="BH180" s="62">
        <f t="shared" si="116"/>
        <v>293.33333333333439</v>
      </c>
      <c r="BI180" s="62">
        <f ca="1">AVERAGE(OFFSET($BH$3,0,0,'Données projet'!$E$11+1,1))-AVERAGE(OFFSET($H$3,0,0,'Données projet'!$E$11+1,1))</f>
        <v>157.98488572680344</v>
      </c>
      <c r="BJ180" s="62">
        <f t="shared" si="146"/>
        <v>269.20989374735825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5.9518396356570245</v>
      </c>
      <c r="BQ180" s="23">
        <f>EXP(-LN(2)/25)*BQ179+(1-EXP(-LN(2)/25))/(LN(2)/25)*Calculateur!BL180*Calculateur!BN180*VLOOKUP('Données projet'!$B$11,Paramètres!$A$1:$I$89,3,0)*0.475*44/12</f>
        <v>5.6766233320548247E-2</v>
      </c>
      <c r="BR180" s="23">
        <f>EXP(-LN(2)/2)*BR179+(1-EXP(-LN(2)/2))/(LN(2)/2)*BL180*BO180*VLOOKUP('Données projet'!$B$11,Paramètres!$A$1:$I$89,3,0)*0.475*44/12</f>
        <v>8.24683240749969E-20</v>
      </c>
      <c r="BS180" s="24">
        <f t="shared" si="169"/>
        <v>6.0086058689775728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-9.9316821433603781E-14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236.12531905695994</v>
      </c>
      <c r="CE180" s="62">
        <f t="shared" si="148"/>
        <v>270.64539221029258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3.3992364478763198E-14</v>
      </c>
      <c r="BF181" s="14">
        <f t="shared" si="167"/>
        <v>5.790027782444094E-13</v>
      </c>
      <c r="BG181" s="22">
        <f t="shared" si="168"/>
        <v>1.0676332069095257E-12</v>
      </c>
      <c r="BH181" s="62">
        <f t="shared" si="116"/>
        <v>293.33333333333439</v>
      </c>
      <c r="BI181" s="62">
        <f ca="1">AVERAGE(OFFSET($BH$3,0,0,'Données projet'!$E$11+1,1))-AVERAGE(OFFSET($H$3,0,0,'Données projet'!$E$11+1,1))</f>
        <v>157.98488572680344</v>
      </c>
      <c r="BJ181" s="62">
        <f t="shared" si="146"/>
        <v>269.20989374735825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5.8351276906655096</v>
      </c>
      <c r="BQ181" s="23">
        <f>EXP(-LN(2)/25)*BQ180+(1-EXP(-LN(2)/25))/(LN(2)/25)*Calculateur!BL181*Calculateur!BN181*VLOOKUP('Données projet'!$B$11,Paramètres!$A$1:$I$89,3,0)*0.475*44/12</f>
        <v>5.5213957685191384E-2</v>
      </c>
      <c r="BR181" s="23">
        <f>EXP(-LN(2)/2)*BR180+(1-EXP(-LN(2)/2))/(LN(2)/2)*BL181*BO181*VLOOKUP('Données projet'!$B$11,Paramètres!$A$1:$I$89,3,0)*0.475*44/12</f>
        <v>5.8313911186520123E-20</v>
      </c>
      <c r="BS181" s="24">
        <f t="shared" si="169"/>
        <v>5.8903416483507014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-9.9316821433603781E-14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236.12531905695994</v>
      </c>
      <c r="CE181" s="62">
        <f t="shared" si="148"/>
        <v>270.64539221029258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3.3992364478763198E-14</v>
      </c>
      <c r="BF182" s="14">
        <f t="shared" si="167"/>
        <v>5.790027782444094E-13</v>
      </c>
      <c r="BG182" s="22">
        <f t="shared" si="168"/>
        <v>1.0676332069095257E-12</v>
      </c>
      <c r="BH182" s="62">
        <f t="shared" si="116"/>
        <v>293.33333333333439</v>
      </c>
      <c r="BI182" s="62">
        <f ca="1">AVERAGE(OFFSET($BH$3,0,0,'Données projet'!$E$11+1,1))-AVERAGE(OFFSET($H$3,0,0,'Données projet'!$E$11+1,1))</f>
        <v>157.98488572680344</v>
      </c>
      <c r="BJ182" s="62">
        <f t="shared" si="146"/>
        <v>269.20989374735825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5.7207043957280206</v>
      </c>
      <c r="BQ182" s="23">
        <f>EXP(-LN(2)/25)*BQ181+(1-EXP(-LN(2)/25))/(LN(2)/25)*Calculateur!BL182*Calculateur!BN182*VLOOKUP('Données projet'!$B$11,Paramètres!$A$1:$I$89,3,0)*0.475*44/12</f>
        <v>5.3704129108713985E-2</v>
      </c>
      <c r="BR182" s="23">
        <f>EXP(-LN(2)/2)*BR181+(1-EXP(-LN(2)/2))/(LN(2)/2)*BL182*BO182*VLOOKUP('Données projet'!$B$11,Paramètres!$A$1:$I$89,3,0)*0.475*44/12</f>
        <v>4.123416203749845E-20</v>
      </c>
      <c r="BS182" s="24">
        <f t="shared" si="169"/>
        <v>5.7744085248367343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-9.9316821433603781E-14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236.12531905695994</v>
      </c>
      <c r="CE182" s="62">
        <f t="shared" si="148"/>
        <v>270.64539221029258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3.3992364478763198E-14</v>
      </c>
      <c r="BF183" s="14">
        <f t="shared" si="167"/>
        <v>5.790027782444094E-13</v>
      </c>
      <c r="BG183" s="22">
        <f t="shared" si="168"/>
        <v>1.0676332069095257E-12</v>
      </c>
      <c r="BH183" s="62">
        <f t="shared" si="116"/>
        <v>293.33333333333439</v>
      </c>
      <c r="BI183" s="62">
        <f ca="1">AVERAGE(OFFSET($BH$3,0,0,'Données projet'!$E$11+1,1))-AVERAGE(OFFSET($H$3,0,0,'Données projet'!$E$11+1,1))</f>
        <v>157.98488572680344</v>
      </c>
      <c r="BJ183" s="62">
        <f t="shared" si="146"/>
        <v>269.20989374735825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5.6085248718129375</v>
      </c>
      <c r="BQ183" s="23">
        <f>EXP(-LN(2)/25)*BQ182+(1-EXP(-LN(2)/25))/(LN(2)/25)*Calculateur!BL183*Calculateur!BN183*VLOOKUP('Données projet'!$B$11,Paramètres!$A$1:$I$89,3,0)*0.475*44/12</f>
        <v>5.2235586874058791E-2</v>
      </c>
      <c r="BR183" s="23">
        <f>EXP(-LN(2)/2)*BR182+(1-EXP(-LN(2)/2))/(LN(2)/2)*BL183*BO183*VLOOKUP('Données projet'!$B$11,Paramètres!$A$1:$I$89,3,0)*0.475*44/12</f>
        <v>2.9156955593260061E-20</v>
      </c>
      <c r="BS183" s="24">
        <f t="shared" si="169"/>
        <v>5.6607604586869966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-9.9316821433603781E-14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236.12531905695994</v>
      </c>
      <c r="CE183" s="62">
        <f t="shared" si="148"/>
        <v>270.64539221029258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3.3992364478763198E-14</v>
      </c>
      <c r="BF184" s="14">
        <f t="shared" si="167"/>
        <v>5.790027782444094E-13</v>
      </c>
      <c r="BG184" s="22">
        <f t="shared" si="168"/>
        <v>1.0676332069095257E-12</v>
      </c>
      <c r="BH184" s="62">
        <f t="shared" si="116"/>
        <v>293.33333333333439</v>
      </c>
      <c r="BI184" s="62">
        <f ca="1">AVERAGE(OFFSET($BH$3,0,0,'Données projet'!$E$11+1,1))-AVERAGE(OFFSET($H$3,0,0,'Données projet'!$E$11+1,1))</f>
        <v>157.98488572680344</v>
      </c>
      <c r="BJ184" s="62">
        <f t="shared" si="146"/>
        <v>269.20989374735825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5.4985451199390756</v>
      </c>
      <c r="BQ184" s="23">
        <f>EXP(-LN(2)/25)*BQ183+(1-EXP(-LN(2)/25))/(LN(2)/25)*Calculateur!BL184*Calculateur!BN184*VLOOKUP('Données projet'!$B$11,Paramètres!$A$1:$I$89,3,0)*0.475*44/12</f>
        <v>5.0807202004037523E-2</v>
      </c>
      <c r="BR184" s="23">
        <f>EXP(-LN(2)/2)*BR183+(1-EXP(-LN(2)/2))/(LN(2)/2)*BL184*BO184*VLOOKUP('Données projet'!$B$11,Paramètres!$A$1:$I$89,3,0)*0.475*44/12</f>
        <v>2.0617081018749225E-20</v>
      </c>
      <c r="BS184" s="24">
        <f t="shared" si="169"/>
        <v>5.5493523219431129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-9.9316821433603781E-14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236.12531905695994</v>
      </c>
      <c r="CE184" s="62">
        <f t="shared" si="148"/>
        <v>270.64539221029258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3.3992364478763198E-14</v>
      </c>
      <c r="BF185" s="14">
        <f t="shared" si="167"/>
        <v>5.790027782444094E-13</v>
      </c>
      <c r="BG185" s="22">
        <f t="shared" si="168"/>
        <v>1.0676332069095257E-12</v>
      </c>
      <c r="BH185" s="62">
        <f t="shared" si="116"/>
        <v>293.33333333333439</v>
      </c>
      <c r="BI185" s="62">
        <f ca="1">AVERAGE(OFFSET($BH$3,0,0,'Données projet'!$E$11+1,1))-AVERAGE(OFFSET($H$3,0,0,'Données projet'!$E$11+1,1))</f>
        <v>157.98488572680344</v>
      </c>
      <c r="BJ185" s="62">
        <f t="shared" si="146"/>
        <v>269.20989374735825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5.3907220039184347</v>
      </c>
      <c r="BQ185" s="23">
        <f>EXP(-LN(2)/25)*BQ184+(1-EXP(-LN(2)/25))/(LN(2)/25)*Calculateur!BL185*Calculateur!BN185*VLOOKUP('Données projet'!$B$11,Paramètres!$A$1:$I$89,3,0)*0.475*44/12</f>
        <v>4.9417876393402484E-2</v>
      </c>
      <c r="BR185" s="23">
        <f>EXP(-LN(2)/2)*BR184+(1-EXP(-LN(2)/2))/(LN(2)/2)*BL185*BO185*VLOOKUP('Données projet'!$B$11,Paramètres!$A$1:$I$89,3,0)*0.475*44/12</f>
        <v>1.4578477796630031E-20</v>
      </c>
      <c r="BS185" s="24">
        <f t="shared" si="169"/>
        <v>5.440139880311837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-9.9316821433603781E-14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236.12531905695994</v>
      </c>
      <c r="CE185" s="62">
        <f t="shared" si="148"/>
        <v>270.64539221029258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3.3992364478763198E-14</v>
      </c>
      <c r="BF186" s="14">
        <f t="shared" si="167"/>
        <v>5.790027782444094E-13</v>
      </c>
      <c r="BG186" s="22">
        <f t="shared" si="168"/>
        <v>1.0676332069095257E-12</v>
      </c>
      <c r="BH186" s="62">
        <f t="shared" si="116"/>
        <v>293.33333333333439</v>
      </c>
      <c r="BI186" s="62">
        <f ca="1">AVERAGE(OFFSET($BH$3,0,0,'Données projet'!$E$11+1,1))-AVERAGE(OFFSET($H$3,0,0,'Données projet'!$E$11+1,1))</f>
        <v>157.98488572680344</v>
      </c>
      <c r="BJ186" s="62">
        <f t="shared" si="146"/>
        <v>269.20989374735825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5.2850132334373523</v>
      </c>
      <c r="BQ186" s="23">
        <f>EXP(-LN(2)/25)*BQ185+(1-EXP(-LN(2)/25))/(LN(2)/25)*Calculateur!BL186*Calculateur!BN186*VLOOKUP('Données projet'!$B$11,Paramètres!$A$1:$I$89,3,0)*0.475*44/12</f>
        <v>4.8066541964651717E-2</v>
      </c>
      <c r="BR186" s="23">
        <f>EXP(-LN(2)/2)*BR185+(1-EXP(-LN(2)/2))/(LN(2)/2)*BL186*BO186*VLOOKUP('Données projet'!$B$11,Paramètres!$A$1:$I$89,3,0)*0.475*44/12</f>
        <v>1.0308540509374613E-20</v>
      </c>
      <c r="BS186" s="24">
        <f t="shared" si="169"/>
        <v>5.3330797754020036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-9.9316821433603781E-14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236.12531905695994</v>
      </c>
      <c r="CE186" s="62">
        <f t="shared" si="148"/>
        <v>270.64539221029258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3.3992364478763198E-14</v>
      </c>
      <c r="BF187" s="14">
        <f t="shared" si="167"/>
        <v>5.790027782444094E-13</v>
      </c>
      <c r="BG187" s="22">
        <f t="shared" si="168"/>
        <v>1.0676332069095257E-12</v>
      </c>
      <c r="BH187" s="62">
        <f t="shared" si="116"/>
        <v>293.33333333333439</v>
      </c>
      <c r="BI187" s="62">
        <f ca="1">AVERAGE(OFFSET($BH$3,0,0,'Données projet'!$E$11+1,1))-AVERAGE(OFFSET($H$3,0,0,'Données projet'!$E$11+1,1))</f>
        <v>157.98488572680344</v>
      </c>
      <c r="BJ187" s="62">
        <f t="shared" si="146"/>
        <v>269.20989374735825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5.1813773474694198</v>
      </c>
      <c r="BQ187" s="23">
        <f>EXP(-LN(2)/25)*BQ186+(1-EXP(-LN(2)/25))/(LN(2)/25)*Calculateur!BL187*Calculateur!BN187*VLOOKUP('Données projet'!$B$11,Paramètres!$A$1:$I$89,3,0)*0.475*44/12</f>
        <v>4.6752159846918731E-2</v>
      </c>
      <c r="BR187" s="23">
        <f>EXP(-LN(2)/2)*BR186+(1-EXP(-LN(2)/2))/(LN(2)/2)*BL187*BO187*VLOOKUP('Données projet'!$B$11,Paramètres!$A$1:$I$89,3,0)*0.475*44/12</f>
        <v>7.2892388983150153E-21</v>
      </c>
      <c r="BS187" s="24">
        <f t="shared" si="169"/>
        <v>5.2281295073163383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-9.9316821433603781E-14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236.12531905695994</v>
      </c>
      <c r="CE187" s="62">
        <f t="shared" si="148"/>
        <v>270.64539221029258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3.3992364478763198E-14</v>
      </c>
      <c r="BF188" s="14">
        <f t="shared" si="167"/>
        <v>5.790027782444094E-13</v>
      </c>
      <c r="BG188" s="22">
        <f t="shared" si="168"/>
        <v>1.0676332069095257E-12</v>
      </c>
      <c r="BH188" s="62">
        <f t="shared" si="116"/>
        <v>293.33333333333439</v>
      </c>
      <c r="BI188" s="62">
        <f ca="1">AVERAGE(OFFSET($BH$3,0,0,'Données projet'!$E$11+1,1))-AVERAGE(OFFSET($H$3,0,0,'Données projet'!$E$11+1,1))</f>
        <v>157.98488572680344</v>
      </c>
      <c r="BJ188" s="62">
        <f t="shared" si="146"/>
        <v>269.20989374735825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5.0797736980136703</v>
      </c>
      <c r="BQ188" s="23">
        <f>EXP(-LN(2)/25)*BQ187+(1-EXP(-LN(2)/25))/(LN(2)/25)*Calculateur!BL188*Calculateur!BN188*VLOOKUP('Données projet'!$B$11,Paramètres!$A$1:$I$89,3,0)*0.475*44/12</f>
        <v>4.5473719577315504E-2</v>
      </c>
      <c r="BR188" s="23">
        <f>EXP(-LN(2)/2)*BR187+(1-EXP(-LN(2)/2))/(LN(2)/2)*BL188*BO188*VLOOKUP('Données projet'!$B$11,Paramètres!$A$1:$I$89,3,0)*0.475*44/12</f>
        <v>5.1542702546873063E-21</v>
      </c>
      <c r="BS188" s="24">
        <f t="shared" si="169"/>
        <v>5.1252474175909857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-9.9316821433603781E-14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236.12531905695994</v>
      </c>
      <c r="CE188" s="62">
        <f t="shared" si="148"/>
        <v>270.64539221029258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3.3992364478763198E-14</v>
      </c>
      <c r="BF189" s="14">
        <f t="shared" si="167"/>
        <v>5.790027782444094E-13</v>
      </c>
      <c r="BG189" s="22">
        <f t="shared" si="168"/>
        <v>1.0676332069095257E-12</v>
      </c>
      <c r="BH189" s="62">
        <f t="shared" si="116"/>
        <v>293.33333333333439</v>
      </c>
      <c r="BI189" s="62">
        <f ca="1">AVERAGE(OFFSET($BH$3,0,0,'Données projet'!$E$11+1,1))-AVERAGE(OFFSET($H$3,0,0,'Données projet'!$E$11+1,1))</f>
        <v>157.98488572680344</v>
      </c>
      <c r="BJ189" s="62">
        <f t="shared" si="146"/>
        <v>269.20989374735825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4.9801624341516408</v>
      </c>
      <c r="BQ189" s="23">
        <f>EXP(-LN(2)/25)*BQ188+(1-EXP(-LN(2)/25))/(LN(2)/25)*Calculateur!BL189*Calculateur!BN189*VLOOKUP('Données projet'!$B$11,Paramètres!$A$1:$I$89,3,0)*0.475*44/12</f>
        <v>4.423023832411483E-2</v>
      </c>
      <c r="BR189" s="23">
        <f>EXP(-LN(2)/2)*BR188+(1-EXP(-LN(2)/2))/(LN(2)/2)*BL189*BO189*VLOOKUP('Données projet'!$B$11,Paramètres!$A$1:$I$89,3,0)*0.475*44/12</f>
        <v>3.6446194491575077E-21</v>
      </c>
      <c r="BS189" s="24">
        <f t="shared" si="169"/>
        <v>5.0243926724757557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-9.9316821433603781E-14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236.12531905695994</v>
      </c>
      <c r="CE189" s="62">
        <f t="shared" si="148"/>
        <v>270.64539221029258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3.3992364478763198E-14</v>
      </c>
      <c r="BF190" s="14">
        <f t="shared" si="167"/>
        <v>5.790027782444094E-13</v>
      </c>
      <c r="BG190" s="22">
        <f t="shared" si="168"/>
        <v>1.0676332069095257E-12</v>
      </c>
      <c r="BH190" s="62">
        <f t="shared" si="116"/>
        <v>293.33333333333439</v>
      </c>
      <c r="BI190" s="62">
        <f ca="1">AVERAGE(OFFSET($BH$3,0,0,'Données projet'!$E$11+1,1))-AVERAGE(OFFSET($H$3,0,0,'Données projet'!$E$11+1,1))</f>
        <v>157.98488572680344</v>
      </c>
      <c r="BJ190" s="62">
        <f t="shared" si="146"/>
        <v>269.20989374735825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4.8825044864170737</v>
      </c>
      <c r="BQ190" s="23">
        <f>EXP(-LN(2)/25)*BQ189+(1-EXP(-LN(2)/25))/(LN(2)/25)*Calculateur!BL190*Calculateur!BN190*VLOOKUP('Données projet'!$B$11,Paramètres!$A$1:$I$89,3,0)*0.475*44/12</f>
        <v>4.3020760131174764E-2</v>
      </c>
      <c r="BR190" s="23">
        <f>EXP(-LN(2)/2)*BR189+(1-EXP(-LN(2)/2))/(LN(2)/2)*BL190*BO190*VLOOKUP('Données projet'!$B$11,Paramètres!$A$1:$I$89,3,0)*0.475*44/12</f>
        <v>2.5771351273436531E-21</v>
      </c>
      <c r="BS190" s="24">
        <f t="shared" si="169"/>
        <v>4.9255252465482489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-9.9316821433603781E-14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236.12531905695994</v>
      </c>
      <c r="CE190" s="62">
        <f t="shared" si="148"/>
        <v>270.64539221029258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3.3992364478763198E-14</v>
      </c>
      <c r="BF191" s="14">
        <f t="shared" si="167"/>
        <v>5.790027782444094E-13</v>
      </c>
      <c r="BG191" s="22">
        <f t="shared" si="168"/>
        <v>1.0676332069095257E-12</v>
      </c>
      <c r="BH191" s="62">
        <f t="shared" si="116"/>
        <v>293.33333333333439</v>
      </c>
      <c r="BI191" s="62">
        <f ca="1">AVERAGE(OFFSET($BH$3,0,0,'Données projet'!$E$11+1,1))-AVERAGE(OFFSET($H$3,0,0,'Données projet'!$E$11+1,1))</f>
        <v>157.98488572680344</v>
      </c>
      <c r="BJ191" s="62">
        <f t="shared" si="146"/>
        <v>269.20989374735825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4.7867615514721154</v>
      </c>
      <c r="BQ191" s="23">
        <f>EXP(-LN(2)/25)*BQ190+(1-EXP(-LN(2)/25))/(LN(2)/25)*Calculateur!BL191*Calculateur!BN191*VLOOKUP('Données projet'!$B$11,Paramètres!$A$1:$I$89,3,0)*0.475*44/12</f>
        <v>4.1844355183024338E-2</v>
      </c>
      <c r="BR191" s="23">
        <f>EXP(-LN(2)/2)*BR190+(1-EXP(-LN(2)/2))/(LN(2)/2)*BL191*BO191*VLOOKUP('Données projet'!$B$11,Paramètres!$A$1:$I$89,3,0)*0.475*44/12</f>
        <v>1.8223097245787538E-21</v>
      </c>
      <c r="BS191" s="24">
        <f t="shared" si="169"/>
        <v>4.8286059066551399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-9.9316821433603781E-14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236.12531905695994</v>
      </c>
      <c r="CE191" s="62">
        <f t="shared" si="148"/>
        <v>270.64539221029258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3.3992364478763198E-14</v>
      </c>
      <c r="BF192" s="14">
        <f t="shared" si="167"/>
        <v>5.790027782444094E-13</v>
      </c>
      <c r="BG192" s="22">
        <f t="shared" si="168"/>
        <v>1.0676332069095257E-12</v>
      </c>
      <c r="BH192" s="62">
        <f t="shared" si="116"/>
        <v>293.33333333333439</v>
      </c>
      <c r="BI192" s="62">
        <f ca="1">AVERAGE(OFFSET($BH$3,0,0,'Données projet'!$E$11+1,1))-AVERAGE(OFFSET($H$3,0,0,'Données projet'!$E$11+1,1))</f>
        <v>157.98488572680344</v>
      </c>
      <c r="BJ192" s="62">
        <f t="shared" si="146"/>
        <v>269.20989374735825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4.6928960770840034</v>
      </c>
      <c r="BQ192" s="23">
        <f>EXP(-LN(2)/25)*BQ191+(1-EXP(-LN(2)/25))/(LN(2)/25)*Calculateur!BL192*Calculateur!BN192*VLOOKUP('Données projet'!$B$11,Paramètres!$A$1:$I$89,3,0)*0.475*44/12</f>
        <v>4.0700119090045533E-2</v>
      </c>
      <c r="BR192" s="23">
        <f>EXP(-LN(2)/2)*BR191+(1-EXP(-LN(2)/2))/(LN(2)/2)*BL192*BO192*VLOOKUP('Données projet'!$B$11,Paramètres!$A$1:$I$89,3,0)*0.475*44/12</f>
        <v>1.2885675636718266E-21</v>
      </c>
      <c r="BS192" s="24">
        <f t="shared" si="169"/>
        <v>4.7335961961740489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-9.9316821433603781E-14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236.12531905695994</v>
      </c>
      <c r="CE192" s="62">
        <f t="shared" si="148"/>
        <v>270.64539221029258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3.3992364478763198E-14</v>
      </c>
      <c r="BF193" s="14">
        <f t="shared" si="167"/>
        <v>5.790027782444094E-13</v>
      </c>
      <c r="BG193" s="22">
        <f t="shared" si="168"/>
        <v>1.0676332069095257E-12</v>
      </c>
      <c r="BH193" s="62">
        <f t="shared" si="116"/>
        <v>293.33333333333439</v>
      </c>
      <c r="BI193" s="62">
        <f ca="1">AVERAGE(OFFSET($BH$3,0,0,'Données projet'!$E$11+1,1))-AVERAGE(OFFSET($H$3,0,0,'Données projet'!$E$11+1,1))</f>
        <v>157.98488572680344</v>
      </c>
      <c r="BJ193" s="62">
        <f t="shared" si="146"/>
        <v>269.20989374735825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4.6008712473963564</v>
      </c>
      <c r="BQ193" s="23">
        <f>EXP(-LN(2)/25)*BQ192+(1-EXP(-LN(2)/25))/(LN(2)/25)*Calculateur!BL193*Calculateur!BN193*VLOOKUP('Données projet'!$B$11,Paramètres!$A$1:$I$89,3,0)*0.475*44/12</f>
        <v>3.9587172193202E-2</v>
      </c>
      <c r="BR193" s="23">
        <f>EXP(-LN(2)/2)*BR192+(1-EXP(-LN(2)/2))/(LN(2)/2)*BL193*BO193*VLOOKUP('Données projet'!$B$11,Paramètres!$A$1:$I$89,3,0)*0.475*44/12</f>
        <v>9.1115486228937691E-22</v>
      </c>
      <c r="BS193" s="24">
        <f t="shared" si="169"/>
        <v>4.6404584195895584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-9.9316821433603781E-14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236.12531905695994</v>
      </c>
      <c r="CE193" s="62">
        <f t="shared" si="148"/>
        <v>270.64539221029258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3.3992364478763198E-14</v>
      </c>
      <c r="BF194" s="14">
        <f t="shared" si="167"/>
        <v>5.790027782444094E-13</v>
      </c>
      <c r="BG194" s="22">
        <f t="shared" si="168"/>
        <v>1.0676332069095257E-12</v>
      </c>
      <c r="BH194" s="62">
        <f t="shared" si="116"/>
        <v>293.33333333333439</v>
      </c>
      <c r="BI194" s="62">
        <f ca="1">AVERAGE(OFFSET($BH$3,0,0,'Données projet'!$E$11+1,1))-AVERAGE(OFFSET($H$3,0,0,'Données projet'!$E$11+1,1))</f>
        <v>157.98488572680344</v>
      </c>
      <c r="BJ194" s="62">
        <f t="shared" si="146"/>
        <v>269.20989374735825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4.5106509684892799</v>
      </c>
      <c r="BQ194" s="23">
        <f>EXP(-LN(2)/25)*BQ193+(1-EXP(-LN(2)/25))/(LN(2)/25)*Calculateur!BL194*Calculateur!BN194*VLOOKUP('Données projet'!$B$11,Paramètres!$A$1:$I$89,3,0)*0.475*44/12</f>
        <v>3.8504658887779986E-2</v>
      </c>
      <c r="BR194" s="23">
        <f>EXP(-LN(2)/2)*BR193+(1-EXP(-LN(2)/2))/(LN(2)/2)*BL194*BO194*VLOOKUP('Données projet'!$B$11,Paramètres!$A$1:$I$89,3,0)*0.475*44/12</f>
        <v>6.4428378183591328E-22</v>
      </c>
      <c r="BS194" s="24">
        <f t="shared" si="169"/>
        <v>4.5491556273770595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-9.9316821433603781E-14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236.12531905695994</v>
      </c>
      <c r="CE194" s="62">
        <f t="shared" si="148"/>
        <v>270.64539221029258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3.3992364478763198E-14</v>
      </c>
      <c r="BF195" s="14">
        <f t="shared" si="167"/>
        <v>5.790027782444094E-13</v>
      </c>
      <c r="BG195" s="22">
        <f t="shared" si="168"/>
        <v>1.0676332069095257E-12</v>
      </c>
      <c r="BH195" s="62">
        <f t="shared" si="116"/>
        <v>293.33333333333439</v>
      </c>
      <c r="BI195" s="62">
        <f ca="1">AVERAGE(OFFSET($BH$3,0,0,'Données projet'!$E$11+1,1))-AVERAGE(OFFSET($H$3,0,0,'Données projet'!$E$11+1,1))</f>
        <v>157.98488572680344</v>
      </c>
      <c r="BJ195" s="62">
        <f t="shared" si="146"/>
        <v>269.20989374735825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4.4221998542226348</v>
      </c>
      <c r="BQ195" s="23">
        <f>EXP(-LN(2)/25)*BQ194+(1-EXP(-LN(2)/25))/(LN(2)/25)*Calculateur!BL195*Calculateur!BN195*VLOOKUP('Données projet'!$B$11,Paramètres!$A$1:$I$89,3,0)*0.475*44/12</f>
        <v>3.7451746965621632E-2</v>
      </c>
      <c r="BR195" s="23">
        <f>EXP(-LN(2)/2)*BR194+(1-EXP(-LN(2)/2))/(LN(2)/2)*BL195*BO195*VLOOKUP('Données projet'!$B$11,Paramètres!$A$1:$I$89,3,0)*0.475*44/12</f>
        <v>4.5557743114468846E-22</v>
      </c>
      <c r="BS195" s="24">
        <f t="shared" si="169"/>
        <v>4.4596516011882565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-9.9316821433603781E-14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236.12531905695994</v>
      </c>
      <c r="CE195" s="62">
        <f t="shared" si="148"/>
        <v>270.64539221029258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3.3992364478763198E-14</v>
      </c>
      <c r="BF196" s="14">
        <f t="shared" si="167"/>
        <v>5.790027782444094E-13</v>
      </c>
      <c r="BG196" s="22">
        <f t="shared" si="168"/>
        <v>1.0676332069095257E-12</v>
      </c>
      <c r="BH196" s="62">
        <f t="shared" ref="BH196:BH203" si="194">BG196+(AY196+AZ196)*44/12</f>
        <v>293.33333333333439</v>
      </c>
      <c r="BI196" s="62">
        <f ca="1">AVERAGE(OFFSET($BH$3,0,0,'Données projet'!$E$11+1,1))-AVERAGE(OFFSET($H$3,0,0,'Données projet'!$E$11+1,1))</f>
        <v>157.98488572680344</v>
      </c>
      <c r="BJ196" s="62">
        <f t="shared" si="146"/>
        <v>269.20989374735825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4.3354832123569063</v>
      </c>
      <c r="BQ196" s="23">
        <f>EXP(-LN(2)/25)*BQ195+(1-EXP(-LN(2)/25))/(LN(2)/25)*Calculateur!BL196*Calculateur!BN196*VLOOKUP('Données projet'!$B$11,Paramètres!$A$1:$I$89,3,0)*0.475*44/12</f>
        <v>3.6427626975344934E-2</v>
      </c>
      <c r="BR196" s="23">
        <f>EXP(-LN(2)/2)*BR195+(1-EXP(-LN(2)/2))/(LN(2)/2)*BL196*BO196*VLOOKUP('Données projet'!$B$11,Paramètres!$A$1:$I$89,3,0)*0.475*44/12</f>
        <v>3.2214189091795664E-22</v>
      </c>
      <c r="BS196" s="24">
        <f t="shared" si="169"/>
        <v>4.3719108393322514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-9.9316821433603781E-14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236.12531905695994</v>
      </c>
      <c r="CE196" s="62">
        <f t="shared" si="148"/>
        <v>270.64539221029258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3.3992364478763198E-14</v>
      </c>
      <c r="BF197" s="14">
        <f t="shared" si="167"/>
        <v>5.790027782444094E-13</v>
      </c>
      <c r="BG197" s="22">
        <f t="shared" si="168"/>
        <v>1.0676332069095257E-12</v>
      </c>
      <c r="BH197" s="62">
        <f t="shared" si="194"/>
        <v>293.33333333333439</v>
      </c>
      <c r="BI197" s="62">
        <f ca="1">AVERAGE(OFFSET($BH$3,0,0,'Données projet'!$E$11+1,1))-AVERAGE(OFFSET($H$3,0,0,'Données projet'!$E$11+1,1))</f>
        <v>157.98488572680344</v>
      </c>
      <c r="BJ197" s="62">
        <f t="shared" ref="BJ197:BJ203" si="206">$BJ$3</f>
        <v>269.20989374735825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4.2504670309462353</v>
      </c>
      <c r="BQ197" s="23">
        <f>EXP(-LN(2)/25)*BQ196+(1-EXP(-LN(2)/25))/(LN(2)/25)*Calculateur!BL197*Calculateur!BN197*VLOOKUP('Données projet'!$B$11,Paramètres!$A$1:$I$89,3,0)*0.475*44/12</f>
        <v>3.5431511600058481E-2</v>
      </c>
      <c r="BR197" s="23">
        <f>EXP(-LN(2)/2)*BR196+(1-EXP(-LN(2)/2))/(LN(2)/2)*BL197*BO197*VLOOKUP('Données projet'!$B$11,Paramètres!$A$1:$I$89,3,0)*0.475*44/12</f>
        <v>2.2778871557234423E-22</v>
      </c>
      <c r="BS197" s="24">
        <f t="shared" si="169"/>
        <v>4.2858985425462937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-9.9316821433603781E-14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236.12531905695994</v>
      </c>
      <c r="CE197" s="62">
        <f t="shared" ref="CE197:CE203" si="207">$CE$3</f>
        <v>270.64539221029258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3.3992364478763198E-14</v>
      </c>
      <c r="BF198" s="14">
        <f t="shared" si="167"/>
        <v>5.790027782444094E-13</v>
      </c>
      <c r="BG198" s="22">
        <f t="shared" si="168"/>
        <v>1.0676332069095257E-12</v>
      </c>
      <c r="BH198" s="62">
        <f t="shared" si="194"/>
        <v>293.33333333333439</v>
      </c>
      <c r="BI198" s="62">
        <f ca="1">AVERAGE(OFFSET($BH$3,0,0,'Données projet'!$E$11+1,1))-AVERAGE(OFFSET($H$3,0,0,'Données projet'!$E$11+1,1))</f>
        <v>157.98488572680344</v>
      </c>
      <c r="BJ198" s="62">
        <f t="shared" si="206"/>
        <v>269.20989374735825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4.1671179649982779</v>
      </c>
      <c r="BQ198" s="23">
        <f>EXP(-LN(2)/25)*BQ197+(1-EXP(-LN(2)/25))/(LN(2)/25)*Calculateur!BL198*Calculateur!BN198*VLOOKUP('Données projet'!$B$11,Paramètres!$A$1:$I$89,3,0)*0.475*44/12</f>
        <v>3.4462635052092669E-2</v>
      </c>
      <c r="BR198" s="23">
        <f>EXP(-LN(2)/2)*BR197+(1-EXP(-LN(2)/2))/(LN(2)/2)*BL198*BO198*VLOOKUP('Données projet'!$B$11,Paramètres!$A$1:$I$89,3,0)*0.475*44/12</f>
        <v>1.6107094545897832E-22</v>
      </c>
      <c r="BS198" s="24">
        <f t="shared" si="169"/>
        <v>4.2015806000503702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-9.9316821433603781E-14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236.12531905695994</v>
      </c>
      <c r="CE198" s="62">
        <f t="shared" si="207"/>
        <v>270.64539221029258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3.3992364478763198E-14</v>
      </c>
      <c r="BF199" s="14">
        <f t="shared" si="167"/>
        <v>5.790027782444094E-13</v>
      </c>
      <c r="BG199" s="22">
        <f t="shared" si="168"/>
        <v>1.0676332069095257E-12</v>
      </c>
      <c r="BH199" s="62">
        <f t="shared" si="194"/>
        <v>293.33333333333439</v>
      </c>
      <c r="BI199" s="62">
        <f ca="1">AVERAGE(OFFSET($BH$3,0,0,'Données projet'!$E$11+1,1))-AVERAGE(OFFSET($H$3,0,0,'Données projet'!$E$11+1,1))</f>
        <v>157.98488572680344</v>
      </c>
      <c r="BJ199" s="62">
        <f t="shared" si="206"/>
        <v>269.20989374735825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4.0854033233956493</v>
      </c>
      <c r="BQ199" s="23">
        <f>EXP(-LN(2)/25)*BQ198+(1-EXP(-LN(2)/25))/(LN(2)/25)*Calculateur!BL199*Calculateur!BN199*VLOOKUP('Données projet'!$B$11,Paramètres!$A$1:$I$89,3,0)*0.475*44/12</f>
        <v>3.3520252484281983E-2</v>
      </c>
      <c r="BR199" s="23">
        <f>EXP(-LN(2)/2)*BR198+(1-EXP(-LN(2)/2))/(LN(2)/2)*BL199*BO199*VLOOKUP('Données projet'!$B$11,Paramètres!$A$1:$I$89,3,0)*0.475*44/12</f>
        <v>1.1389435778617211E-22</v>
      </c>
      <c r="BS199" s="24">
        <f t="shared" si="169"/>
        <v>4.118923575879931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-9.9316821433603781E-14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236.12531905695994</v>
      </c>
      <c r="CE199" s="62">
        <f t="shared" si="207"/>
        <v>270.64539221029258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3.3992364478763198E-14</v>
      </c>
      <c r="BF200" s="14">
        <f t="shared" si="167"/>
        <v>5.790027782444094E-13</v>
      </c>
      <c r="BG200" s="22">
        <f t="shared" si="168"/>
        <v>1.0676332069095257E-12</v>
      </c>
      <c r="BH200" s="62">
        <f t="shared" si="194"/>
        <v>293.33333333333439</v>
      </c>
      <c r="BI200" s="62">
        <f ca="1">AVERAGE(OFFSET($BH$3,0,0,'Données projet'!$E$11+1,1))-AVERAGE(OFFSET($H$3,0,0,'Données projet'!$E$11+1,1))</f>
        <v>157.98488572680344</v>
      </c>
      <c r="BJ200" s="62">
        <f t="shared" si="206"/>
        <v>269.20989374735825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4.0052910560738377</v>
      </c>
      <c r="BQ200" s="23">
        <f>EXP(-LN(2)/25)*BQ199+(1-EXP(-LN(2)/25))/(LN(2)/25)*Calculateur!BL200*Calculateur!BN200*VLOOKUP('Données projet'!$B$11,Paramètres!$A$1:$I$89,3,0)*0.475*44/12</f>
        <v>3.2603639417345828E-2</v>
      </c>
      <c r="BR200" s="23">
        <f>EXP(-LN(2)/2)*BR199+(1-EXP(-LN(2)/2))/(LN(2)/2)*BL200*BO200*VLOOKUP('Données projet'!$B$11,Paramètres!$A$1:$I$89,3,0)*0.475*44/12</f>
        <v>8.053547272948916E-23</v>
      </c>
      <c r="BS200" s="24">
        <f t="shared" si="169"/>
        <v>4.0378946954911834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-9.9316821433603781E-14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236.12531905695994</v>
      </c>
      <c r="CE200" s="62">
        <f t="shared" si="207"/>
        <v>270.64539221029258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3.3992364478763198E-14</v>
      </c>
      <c r="BF201" s="14">
        <f t="shared" si="167"/>
        <v>5.790027782444094E-13</v>
      </c>
      <c r="BG201" s="22">
        <f t="shared" si="168"/>
        <v>1.0676332069095257E-12</v>
      </c>
      <c r="BH201" s="62">
        <f t="shared" si="194"/>
        <v>293.33333333333439</v>
      </c>
      <c r="BI201" s="62">
        <f ca="1">AVERAGE(OFFSET($BH$3,0,0,'Données projet'!$E$11+1,1))-AVERAGE(OFFSET($H$3,0,0,'Données projet'!$E$11+1,1))</f>
        <v>157.98488572680344</v>
      </c>
      <c r="BJ201" s="62">
        <f t="shared" si="206"/>
        <v>269.20989374735825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3.926749741450549</v>
      </c>
      <c r="BQ201" s="23">
        <f>EXP(-LN(2)/25)*BQ200+(1-EXP(-LN(2)/25))/(LN(2)/25)*Calculateur!BL201*Calculateur!BN201*VLOOKUP('Données projet'!$B$11,Paramètres!$A$1:$I$89,3,0)*0.475*44/12</f>
        <v>3.1712091182927629E-2</v>
      </c>
      <c r="BR201" s="23">
        <f>EXP(-LN(2)/2)*BR200+(1-EXP(-LN(2)/2))/(LN(2)/2)*BL201*BO201*VLOOKUP('Données projet'!$B$11,Paramètres!$A$1:$I$89,3,0)*0.475*44/12</f>
        <v>5.6947178893086057E-23</v>
      </c>
      <c r="BS201" s="24">
        <f t="shared" si="169"/>
        <v>3.9584618326334766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-9.9316821433603781E-14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236.12531905695994</v>
      </c>
      <c r="CE201" s="62">
        <f t="shared" si="207"/>
        <v>270.64539221029258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3.3992364478763198E-14</v>
      </c>
      <c r="BF202" s="14">
        <f t="shared" si="167"/>
        <v>5.790027782444094E-13</v>
      </c>
      <c r="BG202" s="22">
        <f t="shared" si="168"/>
        <v>1.0676332069095257E-12</v>
      </c>
      <c r="BH202" s="62">
        <f t="shared" si="194"/>
        <v>293.33333333333439</v>
      </c>
      <c r="BI202" s="62">
        <f ca="1">AVERAGE(OFFSET($BH$3,0,0,'Données projet'!$E$11+1,1))-AVERAGE(OFFSET($H$3,0,0,'Données projet'!$E$11+1,1))</f>
        <v>157.98488572680344</v>
      </c>
      <c r="BJ202" s="62">
        <f t="shared" si="206"/>
        <v>269.20989374735825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3.8497485741015516</v>
      </c>
      <c r="BQ202" s="23">
        <f>EXP(-LN(2)/25)*BQ201+(1-EXP(-LN(2)/25))/(LN(2)/25)*Calculateur!BL202*Calculateur!BN202*VLOOKUP('Données projet'!$B$11,Paramètres!$A$1:$I$89,3,0)*0.475*44/12</f>
        <v>3.0844922381864075E-2</v>
      </c>
      <c r="BR202" s="23">
        <f>EXP(-LN(2)/2)*BR201+(1-EXP(-LN(2)/2))/(LN(2)/2)*BL202*BO202*VLOOKUP('Données projet'!$B$11,Paramètres!$A$1:$I$89,3,0)*0.475*44/12</f>
        <v>4.026773636474458E-23</v>
      </c>
      <c r="BS202" s="24">
        <f t="shared" si="169"/>
        <v>3.8805934964834154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-9.9316821433603781E-14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236.12531905695994</v>
      </c>
      <c r="CE202" s="62">
        <f t="shared" si="207"/>
        <v>270.64539221029258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3.3992364478763198E-14</v>
      </c>
      <c r="BF203" s="14">
        <f t="shared" si="167"/>
        <v>5.790027782444094E-13</v>
      </c>
      <c r="BG203" s="22">
        <f t="shared" si="168"/>
        <v>1.0676332069095257E-12</v>
      </c>
      <c r="BH203" s="62">
        <f t="shared" si="194"/>
        <v>293.33333333333439</v>
      </c>
      <c r="BI203" s="62">
        <f ca="1">AVERAGE(OFFSET($BH$3,0,0,'Données projet'!$E$11+1,1))-AVERAGE(OFFSET($H$3,0,0,'Données projet'!$E$11+1,1))</f>
        <v>157.98488572680344</v>
      </c>
      <c r="BJ203" s="62">
        <f t="shared" si="206"/>
        <v>269.20989374735825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3.7742573526781933</v>
      </c>
      <c r="BQ203" s="23">
        <f>EXP(-LN(2)/25)*BQ202+(1-EXP(-LN(2)/25))/(LN(2)/25)*Calculateur!BL203*Calculateur!BN203*VLOOKUP('Données projet'!$B$11,Paramètres!$A$1:$I$89,3,0)*0.475*44/12</f>
        <v>3.0001466357268032E-2</v>
      </c>
      <c r="BR203" s="23">
        <f>EXP(-LN(2)/2)*BR202+(1-EXP(-LN(2)/2))/(LN(2)/2)*BL203*BO203*VLOOKUP('Données projet'!$B$11,Paramètres!$A$1:$I$89,3,0)*0.475*44/12</f>
        <v>2.8473589446543029E-23</v>
      </c>
      <c r="BS203" s="24">
        <f t="shared" si="169"/>
        <v>3.8042588190354611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-9.9316821433603781E-14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236.12531905695994</v>
      </c>
      <c r="CE203" s="62">
        <f t="shared" si="207"/>
        <v>270.64539221029258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>
        <f>EXP(LN('Données projet'!B88)/'Données projet'!A88)</f>
        <v>1.3939124009120489</v>
      </c>
      <c r="BV205" s="88">
        <f>EXP(LN('Données projet'!B114)/'Données projet'!A114)</f>
        <v>1.2765231539157764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B6" sqref="B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3.0999690000000002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457.95573650101397</v>
      </c>
      <c r="G6" s="156">
        <f ca="1">F6*(100%-'Données projet'!$C$24)*(100%-'Données projet'!$C$25)*(100%-'Données projet'!$C$26)*(100%-'Données projet'!$C$27)</f>
        <v>280.2689107386206</v>
      </c>
      <c r="H6" s="157">
        <f>IF(OR('Données projet'!B9="",'Données projet'!C9="",'Données projet'!C9=0%),0,AVERAGE(Calculateur!$AC$3:$AC$33)*B6)</f>
        <v>46.60207564723472</v>
      </c>
      <c r="I6" s="158">
        <f>H6*(100%-'Données projet'!$C$24)*(100%-'Données projet'!$C$25)*(100%-'Données projet'!$C$26)*(100%-'Données projet'!$C$27)</f>
        <v>28.52047029610765</v>
      </c>
      <c r="J6" s="159">
        <f>IF(OR('Données projet'!B9="",'Données projet'!C9="",'Données projet'!C9=0%),0,SUM(Calculateur!$V$3:$V$33)*VLOOKUP('Données projet'!$B$9,Paramètres!$A$1:$I$89,9,0)*B6)</f>
        <v>589.18010814000002</v>
      </c>
      <c r="K6" s="160">
        <f>J6*(100%-'Données projet'!$C$24)*(100%-'Données projet'!$C$25)*(100%-'Données projet'!$C$26)*(100%-'Données projet'!$C$27)</f>
        <v>360.57822618168007</v>
      </c>
      <c r="L6" s="161">
        <f ca="1">G6+I6+K6</f>
        <v>669.36760721640826</v>
      </c>
      <c r="M6" s="25">
        <f ca="1">L6/B6</f>
        <v>215.92719385787672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5.6286700000000005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831.51854595035059</v>
      </c>
      <c r="G7" s="156">
        <f ca="1">F7*(100%-'Données projet'!$C$24)*(100%-'Données projet'!$C$25)*(100%-'Données projet'!$C$26)*(100%-'Données projet'!$C$27)</f>
        <v>508.88935012161454</v>
      </c>
      <c r="H7" s="164">
        <f>IF(OR('Données projet'!B10="",'Données projet'!C10="",'Données projet'!C10=0%),0,AVERAGE(Calculateur!$AX$3:$AX$33)*B7)</f>
        <v>84.616234915033232</v>
      </c>
      <c r="I7" s="158">
        <f>H7*(100%-'Données projet'!$C$24)*(100%-'Données projet'!$C$25)*(100%-'Données projet'!$C$26)*(100%-'Données projet'!$C$27)</f>
        <v>51.785135768000337</v>
      </c>
      <c r="J7" s="159">
        <f>IF(OR('Données projet'!B10="",'Données projet'!C10="",'Données projet'!C10=0%),0,SUM(Calculateur!$AQ$3:$AQ$33)*VLOOKUP('Données projet'!$B$10,Paramètres!$A$1:$I$89,9,0)*B7)</f>
        <v>1467.8445626</v>
      </c>
      <c r="K7" s="160">
        <f>J7*(100%-'Données projet'!$C$24)*(100%-'Données projet'!$C$25)*(100%-'Données projet'!$C$26)*(100%-'Données projet'!$C$27)</f>
        <v>898.32087231120022</v>
      </c>
      <c r="L7" s="161">
        <f t="shared" ref="L7:L15" ca="1" si="2">G7+I7+K7</f>
        <v>1458.9953582008152</v>
      </c>
      <c r="M7" s="25">
        <f ca="1">L7/B7</f>
        <v>259.20783385787672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maritime</v>
      </c>
      <c r="B8" s="163">
        <f>'Données projet'!D11</f>
        <v>16.999829999999999</v>
      </c>
      <c r="C8" s="156">
        <f ca="1">IF(OR('Données projet'!B11="",'Données projet'!C11="",'Données projet'!C11=0%),0,Calculateur!BI3)</f>
        <v>157.98488572680344</v>
      </c>
      <c r="D8" s="156">
        <f>IF(OR('Données projet'!B11="",'Données projet'!C11="",'Données projet'!C11=0%),0,Calculateur!BJ3)</f>
        <v>269.20989374735825</v>
      </c>
      <c r="E8" s="156">
        <f t="shared" ca="1" si="0"/>
        <v>157.98488572680344</v>
      </c>
      <c r="F8" s="156">
        <f t="shared" ca="1" si="1"/>
        <v>2685.7161999250848</v>
      </c>
      <c r="G8" s="156">
        <f ca="1">F8*(100%-'Données projet'!$C$24)*(100%-'Données projet'!$C$25)*(100%-'Données projet'!$C$26)*(100%-'Données projet'!$C$27)</f>
        <v>1643.6583143541518</v>
      </c>
      <c r="H8" s="164">
        <f>IF(OR('Données projet'!B11="",'Données projet'!C11="",'Données projet'!C11=0%),0,AVERAGE(Calculateur!$BS$3:$BS$33)*B8)</f>
        <v>139.17845269974435</v>
      </c>
      <c r="I8" s="158">
        <f>H8*(100%-'Données projet'!$C$24)*(100%-'Données projet'!$C$25)*(100%-'Données projet'!$C$26)*(100%-'Données projet'!$C$27)</f>
        <v>85.177213052243545</v>
      </c>
      <c r="J8" s="159">
        <f>IF(OR('Données projet'!B11="",'Données projet'!C11="",'Données projet'!C11=0%),0,SUM(Calculateur!$BL$3:$BL$33)*VLOOKUP('Données projet'!$B$11,Paramètres!$A$1:$I$89,9,0)*B8)</f>
        <v>1093.2590673</v>
      </c>
      <c r="K8" s="160">
        <f>J8*(100%-'Données projet'!$C$24)*(100%-'Données projet'!$C$25)*(100%-'Données projet'!$C$26)*(100%-'Données projet'!$C$27)</f>
        <v>669.07454918760004</v>
      </c>
      <c r="L8" s="161">
        <f t="shared" ca="1" si="2"/>
        <v>2397.9100765939957</v>
      </c>
      <c r="M8" s="25">
        <f ca="1">L8/B8</f>
        <v>141.05494446673853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rouge d'Amérique</v>
      </c>
      <c r="B9" s="163">
        <f>'Données projet'!D12</f>
        <v>1.3685500000000002</v>
      </c>
      <c r="C9" s="156">
        <f ca="1">IF(OR('Données projet'!B12="",'Données projet'!C12="",'Données projet'!C12=0%),0,Calculateur!CD3)</f>
        <v>236.12531905695994</v>
      </c>
      <c r="D9" s="156">
        <f>IF(OR('Données projet'!B12="",'Données projet'!C12="",'Données projet'!C12=0%),0,Calculateur!CE3)</f>
        <v>270.64539221029258</v>
      </c>
      <c r="E9" s="156">
        <f t="shared" ca="1" si="0"/>
        <v>236.12531905695994</v>
      </c>
      <c r="F9" s="156">
        <f t="shared" ca="1" si="1"/>
        <v>323.14930539540256</v>
      </c>
      <c r="G9" s="156">
        <f ca="1">F9*(100%-'Données projet'!$C$24)*(100%-'Données projet'!$C$25)*(100%-'Données projet'!$C$26)*(100%-'Données projet'!$C$27)</f>
        <v>197.76737490198636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42.425050000000006</v>
      </c>
      <c r="K9" s="160">
        <f>J9*(100%-'Données projet'!$C$24)*(100%-'Données projet'!$C$25)*(100%-'Données projet'!$C$26)*(100%-'Données projet'!$C$27)</f>
        <v>25.964130600000004</v>
      </c>
      <c r="L9" s="161">
        <f t="shared" ca="1" si="2"/>
        <v>223.73150550198636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4298.3397877718517</v>
      </c>
      <c r="G16" s="175">
        <f t="shared" ca="1" si="3"/>
        <v>2630.5839501163732</v>
      </c>
      <c r="H16" s="176">
        <f t="shared" si="3"/>
        <v>270.39676326201231</v>
      </c>
      <c r="I16" s="176">
        <f t="shared" si="3"/>
        <v>165.48281911635155</v>
      </c>
      <c r="J16" s="177">
        <f t="shared" si="3"/>
        <v>3192.7087880399999</v>
      </c>
      <c r="K16" s="177">
        <f t="shared" si="3"/>
        <v>1953.9377782804804</v>
      </c>
      <c r="L16" s="178">
        <f t="shared" ca="1" si="3"/>
        <v>4750.0045475132056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52" sqref="C52:C5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3.0999690000000002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5.6286700000000005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16.999829999999999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rouge d'Amérique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1.3685500000000002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13</v>
      </c>
      <c r="B85" s="193">
        <f>'Données projet'!D88</f>
        <v>15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19</v>
      </c>
      <c r="B86" s="193">
        <f>'Données projet'!D89</f>
        <v>40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54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38</v>
      </c>
      <c r="B89" s="193">
        <f>'Données projet'!D92</f>
        <v>338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50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37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37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36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33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31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25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22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17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15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13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12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236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2024-09-16T12:32:00Z</dcterms:modified>
</cp:coreProperties>
</file>