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ili\Documents\Forêt\Atmosylva\Projets forestiers\Jean de Grandcourt\Boran-sur-Oise\Dossier définitif\"/>
    </mc:Choice>
  </mc:AlternateContent>
  <xr:revisionPtr revIDLastSave="0" documentId="13_ncr:1_{C008104D-0CCD-4964-9FDF-557A2144C5DC}" xr6:coauthVersionLast="47" xr6:coauthVersionMax="47" xr10:uidLastSave="{00000000-0000-0000-0000-000000000000}"/>
  <bookViews>
    <workbookView xWindow="5760" yWindow="2952" windowWidth="17160" windowHeight="9072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6" l="1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B55" i="1" l="1"/>
  <c r="B54" i="1"/>
  <c r="B53" i="1"/>
  <c r="B52" i="1"/>
  <c r="B51" i="1"/>
  <c r="B50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49" i="1" l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E86" i="6" s="1"/>
  <c r="D87" i="6"/>
  <c r="E87" i="6" s="1"/>
  <c r="D88" i="6"/>
  <c r="E88" i="6" s="1"/>
  <c r="D89" i="6"/>
  <c r="E89" i="6" s="1"/>
  <c r="D90" i="6"/>
  <c r="E90" i="6" s="1"/>
  <c r="D91" i="6"/>
  <c r="E91" i="6" s="1"/>
  <c r="D92" i="6"/>
  <c r="E92" i="6" s="1"/>
  <c r="D93" i="6"/>
  <c r="E93" i="6" s="1"/>
  <c r="D94" i="6"/>
  <c r="E94" i="6" s="1"/>
  <c r="D95" i="6"/>
  <c r="E95" i="6" s="1"/>
  <c r="D96" i="6"/>
  <c r="E96" i="6" s="1"/>
  <c r="D97" i="6"/>
  <c r="E97" i="6" s="1"/>
  <c r="D98" i="6"/>
  <c r="E98" i="6" s="1"/>
  <c r="D99" i="6"/>
  <c r="D100" i="6"/>
  <c r="D101" i="6"/>
  <c r="D102" i="6"/>
  <c r="D103" i="6"/>
  <c r="D104" i="6"/>
  <c r="D85" i="6"/>
  <c r="E85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E63" i="6" s="1"/>
  <c r="D64" i="6"/>
  <c r="E64" i="6" s="1"/>
  <c r="D65" i="6"/>
  <c r="E65" i="6" s="1"/>
  <c r="D66" i="6"/>
  <c r="E66" i="6" s="1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C28" i="2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X145" i="2"/>
  <c r="FR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HG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V164" i="2" l="1"/>
  <c r="EA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DF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HI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<sst xmlns="http://schemas.openxmlformats.org/spreadsheetml/2006/main" count="1172" uniqueCount="324">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</sst>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2.5293893803343845</c:v>
                </c:pt>
                <c:pt idx="2">
                  <c:v>3.6948529722276615</c:v>
                </c:pt>
                <c:pt idx="3">
                  <c:v>5.3997261684669491</c:v>
                </c:pt>
                <c:pt idx="4">
                  <c:v>7.8947054436414872</c:v>
                </c:pt>
                <c:pt idx="5">
                  <c:v>11.547451852282768</c:v>
                </c:pt>
                <c:pt idx="6">
                  <c:v>16.897355881311395</c:v>
                </c:pt>
                <c:pt idx="7">
                  <c:v>24.736027374484902</c:v>
                </c:pt>
                <c:pt idx="8">
                  <c:v>36.225630106859022</c:v>
                </c:pt>
                <c:pt idx="9">
                  <c:v>53.072905503148895</c:v>
                </c:pt>
                <c:pt idx="10">
                  <c:v>77.78516561796242</c:v>
                </c:pt>
                <c:pt idx="11">
                  <c:v>81.047497498362148</c:v>
                </c:pt>
                <c:pt idx="12">
                  <c:v>102.03029339782115</c:v>
                </c:pt>
                <c:pt idx="13">
                  <c:v>122.90583455224412</c:v>
                </c:pt>
                <c:pt idx="14">
                  <c:v>143.69498143753458</c:v>
                </c:pt>
                <c:pt idx="15">
                  <c:v>164.41202153837864</c:v>
                </c:pt>
                <c:pt idx="16">
                  <c:v>155.08295617357044</c:v>
                </c:pt>
                <c:pt idx="17">
                  <c:v>177.80084077500987</c:v>
                </c:pt>
                <c:pt idx="18">
                  <c:v>200.45060599053122</c:v>
                </c:pt>
                <c:pt idx="19">
                  <c:v>223.04103536231375</c:v>
                </c:pt>
                <c:pt idx="20">
                  <c:v>245.57898442621942</c:v>
                </c:pt>
                <c:pt idx="21">
                  <c:v>228.5356540934732</c:v>
                </c:pt>
                <c:pt idx="22">
                  <c:v>250.48469618478433</c:v>
                </c:pt>
                <c:pt idx="23">
                  <c:v>272.39013471494303</c:v>
                </c:pt>
                <c:pt idx="24">
                  <c:v>294.25596819401397</c:v>
                </c:pt>
                <c:pt idx="25">
                  <c:v>316.0855522050615</c:v>
                </c:pt>
                <c:pt idx="26">
                  <c:v>293.68102945696205</c:v>
                </c:pt>
                <c:pt idx="27">
                  <c:v>314.36341274566212</c:v>
                </c:pt>
                <c:pt idx="28">
                  <c:v>335.01563846802929</c:v>
                </c:pt>
                <c:pt idx="29">
                  <c:v>355.63982627224988</c:v>
                </c:pt>
                <c:pt idx="30">
                  <c:v>376.2378299590705</c:v>
                </c:pt>
                <c:pt idx="31">
                  <c:v>351.34533779988072</c:v>
                </c:pt>
                <c:pt idx="32">
                  <c:v>370.80469343052636</c:v>
                </c:pt>
                <c:pt idx="33">
                  <c:v>390.2417851586851</c:v>
                </c:pt>
                <c:pt idx="34">
                  <c:v>409.65787734799005</c:v>
                </c:pt>
                <c:pt idx="35">
                  <c:v>429.05410478388194</c:v>
                </c:pt>
                <c:pt idx="36">
                  <c:v>402.52197482878029</c:v>
                </c:pt>
                <c:pt idx="37">
                  <c:v>420.21410300118418</c:v>
                </c:pt>
                <c:pt idx="38">
                  <c:v>437.89019219663368</c:v>
                </c:pt>
                <c:pt idx="39">
                  <c:v>455.5509806860602</c:v>
                </c:pt>
                <c:pt idx="40">
                  <c:v>473.19714485434059</c:v>
                </c:pt>
                <c:pt idx="41">
                  <c:v>445.86788496288995</c:v>
                </c:pt>
                <c:pt idx="42">
                  <c:v>462.66809287436007</c:v>
                </c:pt>
                <c:pt idx="43">
                  <c:v>479.45529052095389</c:v>
                </c:pt>
                <c:pt idx="44">
                  <c:v>496.22999735796765</c:v>
                </c:pt>
                <c:pt idx="45">
                  <c:v>512.9926948734817</c:v>
                </c:pt>
                <c:pt idx="46">
                  <c:v>485.99604123882438</c:v>
                </c:pt>
                <c:pt idx="47">
                  <c:v>501.62944299248096</c:v>
                </c:pt>
                <c:pt idx="48">
                  <c:v>517.25253721854097</c:v>
                </c:pt>
                <c:pt idx="49">
                  <c:v>532.86567895634664</c:v>
                </c:pt>
                <c:pt idx="50">
                  <c:v>548.46920075259266</c:v>
                </c:pt>
                <c:pt idx="51">
                  <c:v>524.91839293173007</c:v>
                </c:pt>
                <c:pt idx="52">
                  <c:v>539.67565265652695</c:v>
                </c:pt>
                <c:pt idx="53">
                  <c:v>554.42443730497314</c:v>
                </c:pt>
                <c:pt idx="54">
                  <c:v>569.16500399185645</c:v>
                </c:pt>
                <c:pt idx="55">
                  <c:v>583.89759543430625</c:v>
                </c:pt>
                <c:pt idx="56">
                  <c:v>557.82682688400178</c:v>
                </c:pt>
                <c:pt idx="57">
                  <c:v>571.43206972791415</c:v>
                </c:pt>
                <c:pt idx="58">
                  <c:v>585.03054802713166</c:v>
                </c:pt>
                <c:pt idx="59">
                  <c:v>598.62244110848189</c:v>
                </c:pt>
                <c:pt idx="60">
                  <c:v>612.20791949490581</c:v>
                </c:pt>
                <c:pt idx="61">
                  <c:v>586.72989121237822</c:v>
                </c:pt>
                <c:pt idx="62">
                  <c:v>599.47171971380703</c:v>
                </c:pt>
                <c:pt idx="63">
                  <c:v>612.20791949490581</c:v>
                </c:pt>
                <c:pt idx="64">
                  <c:v>624.93862411067119</c:v>
                </c:pt>
                <c:pt idx="65">
                  <c:v>637.66396123329548</c:v>
                </c:pt>
                <c:pt idx="66">
                  <c:v>613.90566143049773</c:v>
                </c:pt>
                <c:pt idx="67">
                  <c:v>625.50430770334458</c:v>
                </c:pt>
                <c:pt idx="68">
                  <c:v>637.09850296079537</c:v>
                </c:pt>
                <c:pt idx="69">
                  <c:v>648.68833959360757</c:v>
                </c:pt>
                <c:pt idx="70">
                  <c:v>660.2739064231165</c:v>
                </c:pt>
                <c:pt idx="71">
                  <c:v>626.3528132383891</c:v>
                </c:pt>
                <c:pt idx="72">
                  <c:v>626.3528132383891</c:v>
                </c:pt>
                <c:pt idx="73">
                  <c:v>626.3528132383891</c:v>
                </c:pt>
                <c:pt idx="74">
                  <c:v>626.3528132383891</c:v>
                </c:pt>
                <c:pt idx="75">
                  <c:v>626.3528132383891</c:v>
                </c:pt>
                <c:pt idx="76">
                  <c:v>626.3528132383891</c:v>
                </c:pt>
                <c:pt idx="77">
                  <c:v>626.3528132383891</c:v>
                </c:pt>
                <c:pt idx="78">
                  <c:v>626.3528132383891</c:v>
                </c:pt>
                <c:pt idx="79">
                  <c:v>626.3528132383891</c:v>
                </c:pt>
                <c:pt idx="80">
                  <c:v>626.3528132383891</c:v>
                </c:pt>
                <c:pt idx="81">
                  <c:v>626.3528132383891</c:v>
                </c:pt>
                <c:pt idx="82">
                  <c:v>626.3528132383891</c:v>
                </c:pt>
                <c:pt idx="83">
                  <c:v>626.3528132383891</c:v>
                </c:pt>
                <c:pt idx="84">
                  <c:v>626.3528132383891</c:v>
                </c:pt>
                <c:pt idx="85">
                  <c:v>626.3528132383891</c:v>
                </c:pt>
                <c:pt idx="86">
                  <c:v>626.3528132383891</c:v>
                </c:pt>
                <c:pt idx="87">
                  <c:v>626.3528132383891</c:v>
                </c:pt>
                <c:pt idx="88">
                  <c:v>626.3528132383891</c:v>
                </c:pt>
                <c:pt idx="89">
                  <c:v>626.3528132383891</c:v>
                </c:pt>
                <c:pt idx="90">
                  <c:v>626.3528132383891</c:v>
                </c:pt>
                <c:pt idx="91">
                  <c:v>626.3528132383891</c:v>
                </c:pt>
                <c:pt idx="92">
                  <c:v>626.3528132383891</c:v>
                </c:pt>
                <c:pt idx="93">
                  <c:v>626.3528132383891</c:v>
                </c:pt>
                <c:pt idx="94">
                  <c:v>626.3528132383891</c:v>
                </c:pt>
                <c:pt idx="95">
                  <c:v>626.3528132383891</c:v>
                </c:pt>
                <c:pt idx="96">
                  <c:v>626.3528132383891</c:v>
                </c:pt>
                <c:pt idx="97">
                  <c:v>626.3528132383891</c:v>
                </c:pt>
                <c:pt idx="98">
                  <c:v>626.3528132383891</c:v>
                </c:pt>
                <c:pt idx="99">
                  <c:v>626.3528132383891</c:v>
                </c:pt>
                <c:pt idx="100">
                  <c:v>626.3528132383891</c:v>
                </c:pt>
                <c:pt idx="101">
                  <c:v>626.3528132383891</c:v>
                </c:pt>
                <c:pt idx="102">
                  <c:v>626.3528132383891</c:v>
                </c:pt>
                <c:pt idx="103">
                  <c:v>626.3528132383891</c:v>
                </c:pt>
                <c:pt idx="104">
                  <c:v>626.3528132383891</c:v>
                </c:pt>
                <c:pt idx="105">
                  <c:v>626.3528132383891</c:v>
                </c:pt>
                <c:pt idx="106">
                  <c:v>626.3528132383891</c:v>
                </c:pt>
                <c:pt idx="107">
                  <c:v>626.3528132383891</c:v>
                </c:pt>
                <c:pt idx="108">
                  <c:v>626.3528132383891</c:v>
                </c:pt>
                <c:pt idx="109">
                  <c:v>626.3528132383891</c:v>
                </c:pt>
                <c:pt idx="110">
                  <c:v>626.3528132383891</c:v>
                </c:pt>
                <c:pt idx="111">
                  <c:v>626.3528132383891</c:v>
                </c:pt>
                <c:pt idx="112">
                  <c:v>626.3528132383891</c:v>
                </c:pt>
                <c:pt idx="113">
                  <c:v>626.3528132383891</c:v>
                </c:pt>
                <c:pt idx="114">
                  <c:v>626.3528132383891</c:v>
                </c:pt>
                <c:pt idx="115">
                  <c:v>626.3528132383891</c:v>
                </c:pt>
                <c:pt idx="116">
                  <c:v>626.3528132383891</c:v>
                </c:pt>
                <c:pt idx="117">
                  <c:v>626.3528132383891</c:v>
                </c:pt>
                <c:pt idx="118">
                  <c:v>626.3528132383891</c:v>
                </c:pt>
                <c:pt idx="119">
                  <c:v>626.3528132383891</c:v>
                </c:pt>
                <c:pt idx="120">
                  <c:v>626.3528132383891</c:v>
                </c:pt>
                <c:pt idx="121">
                  <c:v>626.3528132383891</c:v>
                </c:pt>
                <c:pt idx="122">
                  <c:v>626.3528132383891</c:v>
                </c:pt>
                <c:pt idx="123">
                  <c:v>626.3528132383891</c:v>
                </c:pt>
                <c:pt idx="124">
                  <c:v>626.3528132383891</c:v>
                </c:pt>
                <c:pt idx="125">
                  <c:v>626.3528132383891</c:v>
                </c:pt>
                <c:pt idx="126">
                  <c:v>626.3528132383891</c:v>
                </c:pt>
                <c:pt idx="127">
                  <c:v>626.3528132383891</c:v>
                </c:pt>
                <c:pt idx="128">
                  <c:v>626.3528132383891</c:v>
                </c:pt>
                <c:pt idx="129">
                  <c:v>626.3528132383891</c:v>
                </c:pt>
                <c:pt idx="130">
                  <c:v>626.3528132383891</c:v>
                </c:pt>
                <c:pt idx="131">
                  <c:v>626.3528132383891</c:v>
                </c:pt>
                <c:pt idx="132">
                  <c:v>626.3528132383891</c:v>
                </c:pt>
                <c:pt idx="133">
                  <c:v>626.3528132383891</c:v>
                </c:pt>
                <c:pt idx="134">
                  <c:v>626.3528132383891</c:v>
                </c:pt>
                <c:pt idx="135">
                  <c:v>626.3528132383891</c:v>
                </c:pt>
                <c:pt idx="136">
                  <c:v>626.3528132383891</c:v>
                </c:pt>
                <c:pt idx="137">
                  <c:v>626.3528132383891</c:v>
                </c:pt>
                <c:pt idx="138">
                  <c:v>626.3528132383891</c:v>
                </c:pt>
                <c:pt idx="139">
                  <c:v>626.3528132383891</c:v>
                </c:pt>
                <c:pt idx="140">
                  <c:v>626.3528132383891</c:v>
                </c:pt>
                <c:pt idx="141">
                  <c:v>626.3528132383891</c:v>
                </c:pt>
                <c:pt idx="142">
                  <c:v>626.3528132383891</c:v>
                </c:pt>
                <c:pt idx="143">
                  <c:v>626.3528132383891</c:v>
                </c:pt>
                <c:pt idx="144">
                  <c:v>626.3528132383891</c:v>
                </c:pt>
                <c:pt idx="145">
                  <c:v>626.3528132383891</c:v>
                </c:pt>
                <c:pt idx="146">
                  <c:v>626.3528132383891</c:v>
                </c:pt>
                <c:pt idx="147">
                  <c:v>626.3528132383891</c:v>
                </c:pt>
                <c:pt idx="148">
                  <c:v>626.3528132383891</c:v>
                </c:pt>
                <c:pt idx="149">
                  <c:v>626.3528132383891</c:v>
                </c:pt>
                <c:pt idx="150">
                  <c:v>626.3528132383891</c:v>
                </c:pt>
                <c:pt idx="151">
                  <c:v>626.3528132383891</c:v>
                </c:pt>
                <c:pt idx="152">
                  <c:v>626.3528132383891</c:v>
                </c:pt>
                <c:pt idx="153">
                  <c:v>626.3528132383891</c:v>
                </c:pt>
                <c:pt idx="154">
                  <c:v>626.3528132383891</c:v>
                </c:pt>
                <c:pt idx="155">
                  <c:v>626.3528132383891</c:v>
                </c:pt>
                <c:pt idx="156">
                  <c:v>626.3528132383891</c:v>
                </c:pt>
                <c:pt idx="157">
                  <c:v>626.3528132383891</c:v>
                </c:pt>
                <c:pt idx="158">
                  <c:v>626.3528132383891</c:v>
                </c:pt>
                <c:pt idx="159">
                  <c:v>626.3528132383891</c:v>
                </c:pt>
                <c:pt idx="160">
                  <c:v>626.3528132383891</c:v>
                </c:pt>
                <c:pt idx="161">
                  <c:v>626.3528132383891</c:v>
                </c:pt>
                <c:pt idx="162">
                  <c:v>626.3528132383891</c:v>
                </c:pt>
                <c:pt idx="163">
                  <c:v>626.3528132383891</c:v>
                </c:pt>
                <c:pt idx="164">
                  <c:v>626.3528132383891</c:v>
                </c:pt>
                <c:pt idx="165">
                  <c:v>626.3528132383891</c:v>
                </c:pt>
                <c:pt idx="166">
                  <c:v>626.3528132383891</c:v>
                </c:pt>
                <c:pt idx="167">
                  <c:v>626.3528132383891</c:v>
                </c:pt>
                <c:pt idx="168">
                  <c:v>626.3528132383891</c:v>
                </c:pt>
                <c:pt idx="169">
                  <c:v>626.3528132383891</c:v>
                </c:pt>
                <c:pt idx="170">
                  <c:v>626.3528132383891</c:v>
                </c:pt>
                <c:pt idx="171">
                  <c:v>626.3528132383891</c:v>
                </c:pt>
                <c:pt idx="172">
                  <c:v>626.3528132383891</c:v>
                </c:pt>
                <c:pt idx="173">
                  <c:v>626.3528132383891</c:v>
                </c:pt>
                <c:pt idx="174">
                  <c:v>626.3528132383891</c:v>
                </c:pt>
                <c:pt idx="175">
                  <c:v>626.3528132383891</c:v>
                </c:pt>
                <c:pt idx="176">
                  <c:v>626.3528132383891</c:v>
                </c:pt>
                <c:pt idx="177">
                  <c:v>626.3528132383891</c:v>
                </c:pt>
                <c:pt idx="178">
                  <c:v>626.3528132383891</c:v>
                </c:pt>
                <c:pt idx="179">
                  <c:v>626.3528132383891</c:v>
                </c:pt>
                <c:pt idx="180">
                  <c:v>626.3528132383891</c:v>
                </c:pt>
                <c:pt idx="181">
                  <c:v>626.3528132383891</c:v>
                </c:pt>
                <c:pt idx="182">
                  <c:v>626.3528132383891</c:v>
                </c:pt>
                <c:pt idx="183">
                  <c:v>626.3528132383891</c:v>
                </c:pt>
                <c:pt idx="184">
                  <c:v>626.3528132383891</c:v>
                </c:pt>
                <c:pt idx="185">
                  <c:v>626.3528132383891</c:v>
                </c:pt>
                <c:pt idx="186">
                  <c:v>626.3528132383891</c:v>
                </c:pt>
                <c:pt idx="187">
                  <c:v>626.3528132383891</c:v>
                </c:pt>
                <c:pt idx="188">
                  <c:v>626.3528132383891</c:v>
                </c:pt>
                <c:pt idx="189">
                  <c:v>626.3528132383891</c:v>
                </c:pt>
                <c:pt idx="190">
                  <c:v>626.3528132383891</c:v>
                </c:pt>
                <c:pt idx="191">
                  <c:v>626.3528132383891</c:v>
                </c:pt>
                <c:pt idx="192">
                  <c:v>626.3528132383891</c:v>
                </c:pt>
                <c:pt idx="193">
                  <c:v>626.3528132383891</c:v>
                </c:pt>
                <c:pt idx="194">
                  <c:v>626.3528132383891</c:v>
                </c:pt>
                <c:pt idx="195">
                  <c:v>626.3528132383891</c:v>
                </c:pt>
                <c:pt idx="196">
                  <c:v>626.3528132383891</c:v>
                </c:pt>
                <c:pt idx="197">
                  <c:v>626.3528132383891</c:v>
                </c:pt>
                <c:pt idx="198">
                  <c:v>626.3528132383891</c:v>
                </c:pt>
                <c:pt idx="199">
                  <c:v>626.3528132383891</c:v>
                </c:pt>
                <c:pt idx="200">
                  <c:v>626.3528132383891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351.99790751820501</c:v>
                </c:pt>
                <c:pt idx="42">
                  <c:v>367.95110424042531</c:v>
                </c:pt>
                <c:pt idx="43">
                  <c:v>383.88920919164849</c:v>
                </c:pt>
                <c:pt idx="44">
                  <c:v>399.81293702596389</c:v>
                </c:pt>
                <c:pt idx="45">
                  <c:v>415.72294083711472</c:v>
                </c:pt>
                <c:pt idx="46">
                  <c:v>390.32815400232903</c:v>
                </c:pt>
                <c:pt idx="47">
                  <c:v>405.56917103469476</c:v>
                </c:pt>
                <c:pt idx="48">
                  <c:v>420.79781154308063</c:v>
                </c:pt>
                <c:pt idx="49">
                  <c:v>436.01458640999027</c:v>
                </c:pt>
                <c:pt idx="50">
                  <c:v>451.21996795767319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456.62366402503341</c:v>
                </c:pt>
                <c:pt idx="54">
                  <c:v>469.11450984619819</c:v>
                </c:pt>
                <c:pt idx="55">
                  <c:v>481.5982718486552</c:v>
                </c:pt>
                <c:pt idx="56">
                  <c:v>465.06421135415462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506.88231274768867</c:v>
                </c:pt>
                <c:pt idx="61">
                  <c:v>492.05233905304038</c:v>
                </c:pt>
                <c:pt idx="62">
                  <c:v>500.81663116885534</c:v>
                </c:pt>
                <c:pt idx="63">
                  <c:v>509.57767746501696</c:v>
                </c:pt>
                <c:pt idx="64">
                  <c:v>518.33554162748908</c:v>
                </c:pt>
                <c:pt idx="65">
                  <c:v>527.09028501417163</c:v>
                </c:pt>
                <c:pt idx="66">
                  <c:v>512.94645994076348</c:v>
                </c:pt>
                <c:pt idx="67">
                  <c:v>520.69289242265415</c:v>
                </c:pt>
                <c:pt idx="68">
                  <c:v>528.43689541833783</c:v>
                </c:pt>
                <c:pt idx="69">
                  <c:v>536.17850956190932</c:v>
                </c:pt>
                <c:pt idx="70">
                  <c:v>543.91777421805489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550.30933483971364</c:v>
                </c:pt>
                <c:pt idx="75">
                  <c:v>557.37188141896695</c:v>
                </c:pt>
                <c:pt idx="76">
                  <c:v>543.24488697768527</c:v>
                </c:pt>
                <c:pt idx="77">
                  <c:v>549.30024505818949</c:v>
                </c:pt>
                <c:pt idx="78">
                  <c:v>555.35420335873357</c:v>
                </c:pt>
                <c:pt idx="79">
                  <c:v>561.40677929677724</c:v>
                </c:pt>
                <c:pt idx="80">
                  <c:v>567.45798988344666</c:v>
                </c:pt>
                <c:pt idx="81">
                  <c:v>548.9638731613054</c:v>
                </c:pt>
                <c:pt idx="82">
                  <c:v>548.9638731613054</c:v>
                </c:pt>
                <c:pt idx="83">
                  <c:v>548.9638731613054</c:v>
                </c:pt>
                <c:pt idx="84">
                  <c:v>548.9638731613054</c:v>
                </c:pt>
                <c:pt idx="85">
                  <c:v>548.9638731613054</c:v>
                </c:pt>
                <c:pt idx="86">
                  <c:v>548.9638731613054</c:v>
                </c:pt>
                <c:pt idx="87">
                  <c:v>548.9638731613054</c:v>
                </c:pt>
                <c:pt idx="88">
                  <c:v>548.9638731613054</c:v>
                </c:pt>
                <c:pt idx="89">
                  <c:v>548.9638731613054</c:v>
                </c:pt>
                <c:pt idx="90">
                  <c:v>548.9638731613054</c:v>
                </c:pt>
                <c:pt idx="91">
                  <c:v>548.9638731613054</c:v>
                </c:pt>
                <c:pt idx="92">
                  <c:v>548.9638731613054</c:v>
                </c:pt>
                <c:pt idx="93">
                  <c:v>548.9638731613054</c:v>
                </c:pt>
                <c:pt idx="94">
                  <c:v>548.9638731613054</c:v>
                </c:pt>
                <c:pt idx="95">
                  <c:v>548.9638731613054</c:v>
                </c:pt>
                <c:pt idx="96">
                  <c:v>548.9638731613054</c:v>
                </c:pt>
                <c:pt idx="97">
                  <c:v>548.9638731613054</c:v>
                </c:pt>
                <c:pt idx="98">
                  <c:v>548.9638731613054</c:v>
                </c:pt>
                <c:pt idx="99">
                  <c:v>548.9638731613054</c:v>
                </c:pt>
                <c:pt idx="100">
                  <c:v>548.9638731613054</c:v>
                </c:pt>
                <c:pt idx="101">
                  <c:v>548.9638731613054</c:v>
                </c:pt>
                <c:pt idx="102">
                  <c:v>548.9638731613054</c:v>
                </c:pt>
                <c:pt idx="103">
                  <c:v>548.9638731613054</c:v>
                </c:pt>
                <c:pt idx="104">
                  <c:v>548.9638731613054</c:v>
                </c:pt>
                <c:pt idx="105">
                  <c:v>548.9638731613054</c:v>
                </c:pt>
                <c:pt idx="106">
                  <c:v>548.9638731613054</c:v>
                </c:pt>
                <c:pt idx="107">
                  <c:v>548.9638731613054</c:v>
                </c:pt>
                <c:pt idx="108">
                  <c:v>548.9638731613054</c:v>
                </c:pt>
                <c:pt idx="109">
                  <c:v>548.9638731613054</c:v>
                </c:pt>
                <c:pt idx="110">
                  <c:v>548.9638731613054</c:v>
                </c:pt>
                <c:pt idx="111">
                  <c:v>548.9638731613054</c:v>
                </c:pt>
                <c:pt idx="112">
                  <c:v>548.9638731613054</c:v>
                </c:pt>
                <c:pt idx="113">
                  <c:v>548.9638731613054</c:v>
                </c:pt>
                <c:pt idx="114">
                  <c:v>548.9638731613054</c:v>
                </c:pt>
                <c:pt idx="115">
                  <c:v>548.9638731613054</c:v>
                </c:pt>
                <c:pt idx="116">
                  <c:v>548.9638731613054</c:v>
                </c:pt>
                <c:pt idx="117">
                  <c:v>548.9638731613054</c:v>
                </c:pt>
                <c:pt idx="118">
                  <c:v>548.9638731613054</c:v>
                </c:pt>
                <c:pt idx="119">
                  <c:v>548.9638731613054</c:v>
                </c:pt>
                <c:pt idx="120">
                  <c:v>548.9638731613054</c:v>
                </c:pt>
                <c:pt idx="121">
                  <c:v>548.9638731613054</c:v>
                </c:pt>
                <c:pt idx="122">
                  <c:v>548.9638731613054</c:v>
                </c:pt>
                <c:pt idx="123">
                  <c:v>548.9638731613054</c:v>
                </c:pt>
                <c:pt idx="124">
                  <c:v>548.9638731613054</c:v>
                </c:pt>
                <c:pt idx="125">
                  <c:v>548.9638731613054</c:v>
                </c:pt>
                <c:pt idx="126">
                  <c:v>548.9638731613054</c:v>
                </c:pt>
                <c:pt idx="127">
                  <c:v>548.9638731613054</c:v>
                </c:pt>
                <c:pt idx="128">
                  <c:v>548.9638731613054</c:v>
                </c:pt>
                <c:pt idx="129">
                  <c:v>548.9638731613054</c:v>
                </c:pt>
                <c:pt idx="130">
                  <c:v>548.9638731613054</c:v>
                </c:pt>
                <c:pt idx="131">
                  <c:v>548.9638731613054</c:v>
                </c:pt>
                <c:pt idx="132">
                  <c:v>548.9638731613054</c:v>
                </c:pt>
                <c:pt idx="133">
                  <c:v>548.9638731613054</c:v>
                </c:pt>
                <c:pt idx="134">
                  <c:v>548.9638731613054</c:v>
                </c:pt>
                <c:pt idx="135">
                  <c:v>548.9638731613054</c:v>
                </c:pt>
                <c:pt idx="136">
                  <c:v>548.9638731613054</c:v>
                </c:pt>
                <c:pt idx="137">
                  <c:v>548.9638731613054</c:v>
                </c:pt>
                <c:pt idx="138">
                  <c:v>548.9638731613054</c:v>
                </c:pt>
                <c:pt idx="139">
                  <c:v>548.9638731613054</c:v>
                </c:pt>
                <c:pt idx="140">
                  <c:v>548.9638731613054</c:v>
                </c:pt>
                <c:pt idx="141">
                  <c:v>548.9638731613054</c:v>
                </c:pt>
                <c:pt idx="142">
                  <c:v>548.9638731613054</c:v>
                </c:pt>
                <c:pt idx="143">
                  <c:v>548.9638731613054</c:v>
                </c:pt>
                <c:pt idx="144">
                  <c:v>548.9638731613054</c:v>
                </c:pt>
                <c:pt idx="145">
                  <c:v>548.9638731613054</c:v>
                </c:pt>
                <c:pt idx="146">
                  <c:v>548.9638731613054</c:v>
                </c:pt>
                <c:pt idx="147">
                  <c:v>548.9638731613054</c:v>
                </c:pt>
                <c:pt idx="148">
                  <c:v>548.9638731613054</c:v>
                </c:pt>
                <c:pt idx="149">
                  <c:v>548.9638731613054</c:v>
                </c:pt>
                <c:pt idx="150">
                  <c:v>548.9638731613054</c:v>
                </c:pt>
                <c:pt idx="151">
                  <c:v>548.9638731613054</c:v>
                </c:pt>
                <c:pt idx="152">
                  <c:v>548.9638731613054</c:v>
                </c:pt>
                <c:pt idx="153">
                  <c:v>548.9638731613054</c:v>
                </c:pt>
                <c:pt idx="154">
                  <c:v>548.9638731613054</c:v>
                </c:pt>
                <c:pt idx="155">
                  <c:v>548.9638731613054</c:v>
                </c:pt>
                <c:pt idx="156">
                  <c:v>548.9638731613054</c:v>
                </c:pt>
                <c:pt idx="157">
                  <c:v>548.9638731613054</c:v>
                </c:pt>
                <c:pt idx="158">
                  <c:v>548.9638731613054</c:v>
                </c:pt>
                <c:pt idx="159">
                  <c:v>548.9638731613054</c:v>
                </c:pt>
                <c:pt idx="160">
                  <c:v>548.9638731613054</c:v>
                </c:pt>
                <c:pt idx="161">
                  <c:v>548.9638731613054</c:v>
                </c:pt>
                <c:pt idx="162">
                  <c:v>548.9638731613054</c:v>
                </c:pt>
                <c:pt idx="163">
                  <c:v>548.9638731613054</c:v>
                </c:pt>
                <c:pt idx="164">
                  <c:v>548.9638731613054</c:v>
                </c:pt>
                <c:pt idx="165">
                  <c:v>548.9638731613054</c:v>
                </c:pt>
                <c:pt idx="166">
                  <c:v>548.9638731613054</c:v>
                </c:pt>
                <c:pt idx="167">
                  <c:v>548.9638731613054</c:v>
                </c:pt>
                <c:pt idx="168">
                  <c:v>548.9638731613054</c:v>
                </c:pt>
                <c:pt idx="169">
                  <c:v>548.9638731613054</c:v>
                </c:pt>
                <c:pt idx="170">
                  <c:v>548.9638731613054</c:v>
                </c:pt>
                <c:pt idx="171">
                  <c:v>548.9638731613054</c:v>
                </c:pt>
                <c:pt idx="172">
                  <c:v>548.9638731613054</c:v>
                </c:pt>
                <c:pt idx="173">
                  <c:v>548.9638731613054</c:v>
                </c:pt>
                <c:pt idx="174">
                  <c:v>548.9638731613054</c:v>
                </c:pt>
                <c:pt idx="175">
                  <c:v>548.9638731613054</c:v>
                </c:pt>
                <c:pt idx="176">
                  <c:v>548.9638731613054</c:v>
                </c:pt>
                <c:pt idx="177">
                  <c:v>548.9638731613054</c:v>
                </c:pt>
                <c:pt idx="178">
                  <c:v>548.9638731613054</c:v>
                </c:pt>
                <c:pt idx="179">
                  <c:v>548.9638731613054</c:v>
                </c:pt>
                <c:pt idx="180">
                  <c:v>548.9638731613054</c:v>
                </c:pt>
                <c:pt idx="181">
                  <c:v>548.9638731613054</c:v>
                </c:pt>
                <c:pt idx="182">
                  <c:v>548.9638731613054</c:v>
                </c:pt>
                <c:pt idx="183">
                  <c:v>548.9638731613054</c:v>
                </c:pt>
                <c:pt idx="184">
                  <c:v>548.9638731613054</c:v>
                </c:pt>
                <c:pt idx="185">
                  <c:v>548.9638731613054</c:v>
                </c:pt>
                <c:pt idx="186">
                  <c:v>548.9638731613054</c:v>
                </c:pt>
                <c:pt idx="187">
                  <c:v>548.9638731613054</c:v>
                </c:pt>
                <c:pt idx="188">
                  <c:v>548.9638731613054</c:v>
                </c:pt>
                <c:pt idx="189">
                  <c:v>548.9638731613054</c:v>
                </c:pt>
                <c:pt idx="190">
                  <c:v>548.9638731613054</c:v>
                </c:pt>
                <c:pt idx="191">
                  <c:v>548.9638731613054</c:v>
                </c:pt>
                <c:pt idx="192">
                  <c:v>548.9638731613054</c:v>
                </c:pt>
                <c:pt idx="193">
                  <c:v>548.9638731613054</c:v>
                </c:pt>
                <c:pt idx="194">
                  <c:v>548.9638731613054</c:v>
                </c:pt>
                <c:pt idx="195">
                  <c:v>548.9638731613054</c:v>
                </c:pt>
                <c:pt idx="196">
                  <c:v>548.9638731613054</c:v>
                </c:pt>
                <c:pt idx="197">
                  <c:v>548.9638731613054</c:v>
                </c:pt>
                <c:pt idx="198">
                  <c:v>548.9638731613054</c:v>
                </c:pt>
                <c:pt idx="199">
                  <c:v>548.9638731613054</c:v>
                </c:pt>
                <c:pt idx="200">
                  <c:v>548.9638731613054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4" zoomScale="80" zoomScaleNormal="80" workbookViewId="0">
      <selection activeCell="B101" sqref="B10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6.32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12</v>
      </c>
      <c r="C9" s="32">
        <v>0.33</v>
      </c>
      <c r="D9" s="33">
        <f t="shared" ref="D9:D18" si="0">C9*$C$5</f>
        <v>2.0856000000000003</v>
      </c>
      <c r="E9" s="34">
        <v>115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50</v>
      </c>
      <c r="C10" s="32">
        <v>0.33</v>
      </c>
      <c r="D10" s="33">
        <f t="shared" si="0"/>
        <v>2.0856000000000003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22</v>
      </c>
      <c r="C11" s="32">
        <v>0.33</v>
      </c>
      <c r="D11" s="33">
        <f t="shared" si="0"/>
        <v>2.0856000000000003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</v>
      </c>
      <c r="D19" s="38">
        <f>SUM(D9:D18)</f>
        <v>6.256800000000001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pubescent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f>67+D36</f>
        <v>73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f>75+D37</f>
        <v>103</v>
      </c>
      <c r="C37" s="60">
        <v>2</v>
      </c>
      <c r="D37" s="60">
        <v>28</v>
      </c>
      <c r="E37" s="51"/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f>93+D38</f>
        <v>121</v>
      </c>
      <c r="C38" s="60">
        <v>3</v>
      </c>
      <c r="D38" s="60">
        <v>28</v>
      </c>
      <c r="E38" s="51">
        <v>0.4</v>
      </c>
      <c r="F38" s="51">
        <v>0.08</v>
      </c>
      <c r="G38" s="51">
        <v>0.12</v>
      </c>
      <c r="H38" s="51">
        <v>0.4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f>119+D39</f>
        <v>147</v>
      </c>
      <c r="C39" s="60">
        <v>4</v>
      </c>
      <c r="D39" s="60">
        <v>28</v>
      </c>
      <c r="E39" s="51">
        <v>0.4</v>
      </c>
      <c r="F39" s="51">
        <v>0.08</v>
      </c>
      <c r="G39" s="51">
        <v>0.12</v>
      </c>
      <c r="H39" s="51">
        <v>0.4</v>
      </c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f>147+D40</f>
        <v>175</v>
      </c>
      <c r="C40" s="60">
        <v>5</v>
      </c>
      <c r="D40" s="60">
        <v>28</v>
      </c>
      <c r="E40" s="51">
        <v>0.4</v>
      </c>
      <c r="F40" s="51">
        <v>0.08</v>
      </c>
      <c r="G40" s="51">
        <v>0.12</v>
      </c>
      <c r="H40" s="51">
        <v>0.4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f>176+D41</f>
        <v>204</v>
      </c>
      <c r="C41" s="60">
        <v>6</v>
      </c>
      <c r="D41" s="60">
        <v>28</v>
      </c>
      <c r="E41" s="51">
        <v>0.5</v>
      </c>
      <c r="F41" s="51">
        <v>0.06</v>
      </c>
      <c r="G41" s="51">
        <v>0.14000000000000001</v>
      </c>
      <c r="H41" s="51">
        <v>0.3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f>203+D42</f>
        <v>231</v>
      </c>
      <c r="C42" s="60">
        <v>7</v>
      </c>
      <c r="D42" s="60">
        <v>28</v>
      </c>
      <c r="E42" s="51">
        <v>0.5</v>
      </c>
      <c r="F42" s="51">
        <v>0.06</v>
      </c>
      <c r="G42" s="51">
        <v>0.14000000000000001</v>
      </c>
      <c r="H42" s="51">
        <v>0.3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f>226+D43</f>
        <v>254</v>
      </c>
      <c r="C43" s="60">
        <v>8</v>
      </c>
      <c r="D43" s="60">
        <v>28</v>
      </c>
      <c r="E43" s="51">
        <v>0.5</v>
      </c>
      <c r="F43" s="51">
        <v>0.06</v>
      </c>
      <c r="G43" s="51">
        <v>0.14000000000000001</v>
      </c>
      <c r="H43" s="51">
        <v>0.3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f>245+D44</f>
        <v>273</v>
      </c>
      <c r="C44" s="60">
        <v>9</v>
      </c>
      <c r="D44" s="60">
        <v>28</v>
      </c>
      <c r="E44" s="51">
        <v>0.5</v>
      </c>
      <c r="F44" s="51">
        <v>0.06</v>
      </c>
      <c r="G44" s="51">
        <v>0.14000000000000001</v>
      </c>
      <c r="H44" s="51">
        <v>0.3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f>261+D45</f>
        <v>289</v>
      </c>
      <c r="C45" s="60">
        <v>10</v>
      </c>
      <c r="D45" s="60">
        <v>28</v>
      </c>
      <c r="E45" s="51">
        <v>0.6</v>
      </c>
      <c r="F45" s="51">
        <v>0.08</v>
      </c>
      <c r="G45" s="51">
        <v>0.12</v>
      </c>
      <c r="H45" s="51">
        <v>0.2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f>274+D46</f>
        <v>302</v>
      </c>
      <c r="C46" s="60">
        <v>11</v>
      </c>
      <c r="D46" s="60">
        <v>28</v>
      </c>
      <c r="E46" s="51">
        <v>0.6</v>
      </c>
      <c r="F46" s="51">
        <v>0.08</v>
      </c>
      <c r="G46" s="51">
        <v>0.12</v>
      </c>
      <c r="H46" s="51">
        <v>0.2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f>284+D47</f>
        <v>312</v>
      </c>
      <c r="C47" s="60">
        <v>12</v>
      </c>
      <c r="D47" s="60">
        <v>28</v>
      </c>
      <c r="E47" s="51">
        <v>0.7</v>
      </c>
      <c r="F47" s="51">
        <v>0.05</v>
      </c>
      <c r="G47" s="51">
        <v>0.1</v>
      </c>
      <c r="H47" s="51">
        <v>0.15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f>292+D48</f>
        <v>320</v>
      </c>
      <c r="C48" s="60">
        <v>13</v>
      </c>
      <c r="D48" s="60">
        <v>28</v>
      </c>
      <c r="E48" s="51">
        <v>0.7</v>
      </c>
      <c r="F48" s="51">
        <v>0.05</v>
      </c>
      <c r="G48" s="51">
        <v>0.1</v>
      </c>
      <c r="H48" s="51">
        <v>0.15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f>298+D49</f>
        <v>326</v>
      </c>
      <c r="C49" s="60">
        <v>14</v>
      </c>
      <c r="D49" s="60">
        <v>28</v>
      </c>
      <c r="E49" s="51">
        <v>0.7</v>
      </c>
      <c r="F49" s="51">
        <v>0.05</v>
      </c>
      <c r="G49" s="51">
        <v>0.1</v>
      </c>
      <c r="H49" s="51">
        <v>0.15</v>
      </c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f>302+D50</f>
        <v>330</v>
      </c>
      <c r="C50" s="50">
        <v>15</v>
      </c>
      <c r="D50" s="50">
        <v>28</v>
      </c>
      <c r="E50" s="51">
        <v>0.8</v>
      </c>
      <c r="F50" s="51">
        <v>0.04</v>
      </c>
      <c r="G50" s="51">
        <v>0.06</v>
      </c>
      <c r="H50" s="51">
        <v>0.1</v>
      </c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f>305+D51</f>
        <v>333</v>
      </c>
      <c r="C51" s="50">
        <v>16</v>
      </c>
      <c r="D51" s="50">
        <v>28</v>
      </c>
      <c r="E51" s="51">
        <v>0.8</v>
      </c>
      <c r="F51" s="51">
        <v>0.04</v>
      </c>
      <c r="G51" s="51">
        <v>0.06</v>
      </c>
      <c r="H51" s="51">
        <v>0.1</v>
      </c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f>306+D52</f>
        <v>333</v>
      </c>
      <c r="C52" s="50">
        <v>17</v>
      </c>
      <c r="D52" s="50">
        <v>27</v>
      </c>
      <c r="E52" s="51">
        <v>0.8</v>
      </c>
      <c r="F52" s="51">
        <v>0.04</v>
      </c>
      <c r="G52" s="51">
        <v>0.06</v>
      </c>
      <c r="H52" s="51">
        <v>0.1</v>
      </c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105</v>
      </c>
      <c r="B53" s="50">
        <f>307+D53</f>
        <v>333</v>
      </c>
      <c r="C53" s="50">
        <v>18</v>
      </c>
      <c r="D53" s="50">
        <v>26</v>
      </c>
      <c r="E53" s="51">
        <v>0.8</v>
      </c>
      <c r="F53" s="51">
        <v>0.04</v>
      </c>
      <c r="G53" s="51">
        <v>0.06</v>
      </c>
      <c r="H53" s="51">
        <v>0.1</v>
      </c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110</v>
      </c>
      <c r="B54" s="50">
        <f>307+D54</f>
        <v>332</v>
      </c>
      <c r="C54" s="50">
        <v>19</v>
      </c>
      <c r="D54" s="50">
        <v>25</v>
      </c>
      <c r="E54" s="51">
        <v>0.8</v>
      </c>
      <c r="F54" s="51">
        <v>0.04</v>
      </c>
      <c r="G54" s="51">
        <v>0.06</v>
      </c>
      <c r="H54" s="51">
        <v>0.1</v>
      </c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>
        <v>115</v>
      </c>
      <c r="B55" s="50">
        <f>307+D55</f>
        <v>331</v>
      </c>
      <c r="C55" s="50">
        <v>20</v>
      </c>
      <c r="D55" s="50">
        <v>24</v>
      </c>
      <c r="E55" s="51">
        <v>0.8</v>
      </c>
      <c r="F55" s="51">
        <v>0.04</v>
      </c>
      <c r="G55" s="51">
        <v>0.06</v>
      </c>
      <c r="H55" s="51">
        <v>0.1</v>
      </c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Tilleul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51</v>
      </c>
      <c r="C62" s="60">
        <v>1</v>
      </c>
      <c r="D62" s="60">
        <v>12</v>
      </c>
      <c r="E62" s="51"/>
      <c r="F62" s="51"/>
      <c r="G62" s="51"/>
      <c r="H62" s="51">
        <v>1</v>
      </c>
      <c r="I62" s="53">
        <f>IFERROR(B62/A62,"")</f>
        <v>5.0999999999999996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110</v>
      </c>
      <c r="C63" s="60">
        <v>2</v>
      </c>
      <c r="D63" s="60">
        <v>22</v>
      </c>
      <c r="E63" s="51"/>
      <c r="F63" s="51"/>
      <c r="G63" s="51"/>
      <c r="H63" s="51">
        <v>1</v>
      </c>
      <c r="I63" s="49">
        <f>IF(A63&lt;&gt;0,(B63-(B62-D62))/(A63-A62),"")</f>
        <v>14.2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166</v>
      </c>
      <c r="C64" s="60">
        <v>3</v>
      </c>
      <c r="D64" s="60">
        <v>27</v>
      </c>
      <c r="E64" s="51">
        <v>0.4</v>
      </c>
      <c r="F64" s="51">
        <v>0.08</v>
      </c>
      <c r="G64" s="51">
        <v>0.12</v>
      </c>
      <c r="H64" s="51">
        <v>0.4</v>
      </c>
      <c r="I64" s="49">
        <f>IF(A64&lt;&gt;0,(B64-(B63-D63))/(A64-A63),"")</f>
        <v>15.6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215</v>
      </c>
      <c r="C65" s="60">
        <v>4</v>
      </c>
      <c r="D65" s="60">
        <v>30</v>
      </c>
      <c r="E65" s="51">
        <v>0.4</v>
      </c>
      <c r="F65" s="51">
        <v>0.08</v>
      </c>
      <c r="G65" s="51">
        <v>0.12</v>
      </c>
      <c r="H65" s="51">
        <v>0.4</v>
      </c>
      <c r="I65" s="49">
        <f>IF(A65&lt;&gt;0,(B65-(B64-D64))/(A65-A64),"")</f>
        <v>15.2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257</v>
      </c>
      <c r="C66" s="60">
        <v>5</v>
      </c>
      <c r="D66" s="60">
        <v>31</v>
      </c>
      <c r="E66" s="51">
        <v>0.4</v>
      </c>
      <c r="F66" s="51">
        <v>0.08</v>
      </c>
      <c r="G66" s="51">
        <v>0.12</v>
      </c>
      <c r="H66" s="51">
        <v>0.4</v>
      </c>
      <c r="I66" s="49">
        <f t="shared" ref="I66:I81" si="2">IF(A66&lt;&gt;0,(B66-(B65-D65))/(A66-A65),"")</f>
        <v>14.4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294</v>
      </c>
      <c r="C67" s="60">
        <v>6</v>
      </c>
      <c r="D67" s="60">
        <v>31</v>
      </c>
      <c r="E67" s="51">
        <v>0.5</v>
      </c>
      <c r="F67" s="51">
        <v>0.06</v>
      </c>
      <c r="G67" s="51">
        <v>0.14000000000000001</v>
      </c>
      <c r="H67" s="51">
        <v>0.3</v>
      </c>
      <c r="I67" s="49">
        <f t="shared" si="2"/>
        <v>13.6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325</v>
      </c>
      <c r="C68" s="60">
        <v>7</v>
      </c>
      <c r="D68" s="60">
        <v>31</v>
      </c>
      <c r="E68" s="51">
        <v>0.5</v>
      </c>
      <c r="F68" s="51">
        <v>0.06</v>
      </c>
      <c r="G68" s="51">
        <v>0.14000000000000001</v>
      </c>
      <c r="H68" s="51">
        <v>0.3</v>
      </c>
      <c r="I68" s="49">
        <f t="shared" si="2"/>
        <v>12.4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50">
        <v>353</v>
      </c>
      <c r="C69" s="50">
        <v>8</v>
      </c>
      <c r="D69" s="50">
        <v>30</v>
      </c>
      <c r="E69" s="51">
        <v>0.6</v>
      </c>
      <c r="F69" s="51">
        <v>0.08</v>
      </c>
      <c r="G69" s="51">
        <v>0.12</v>
      </c>
      <c r="H69" s="51">
        <v>0.2</v>
      </c>
      <c r="I69" s="49">
        <f t="shared" si="2"/>
        <v>11.8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50">
        <v>378</v>
      </c>
      <c r="C70" s="50">
        <v>9</v>
      </c>
      <c r="D70" s="50">
        <v>27</v>
      </c>
      <c r="E70" s="51">
        <v>0.7</v>
      </c>
      <c r="F70" s="51">
        <v>0.05</v>
      </c>
      <c r="G70" s="51">
        <v>0.1</v>
      </c>
      <c r="H70" s="51">
        <v>0.15</v>
      </c>
      <c r="I70" s="49">
        <f t="shared" si="2"/>
        <v>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50">
        <v>403</v>
      </c>
      <c r="C71" s="50">
        <v>10</v>
      </c>
      <c r="D71" s="50">
        <v>28</v>
      </c>
      <c r="E71" s="51">
        <v>0.7</v>
      </c>
      <c r="F71" s="51">
        <v>0.05</v>
      </c>
      <c r="G71" s="51">
        <v>0.1</v>
      </c>
      <c r="H71" s="51">
        <v>0.15</v>
      </c>
      <c r="I71" s="49">
        <f t="shared" si="2"/>
        <v>10.4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50">
        <v>423</v>
      </c>
      <c r="C72" s="50">
        <v>11</v>
      </c>
      <c r="D72" s="50">
        <v>27</v>
      </c>
      <c r="E72" s="51">
        <v>0.7</v>
      </c>
      <c r="F72" s="51">
        <v>0.05</v>
      </c>
      <c r="G72" s="51">
        <v>0.1</v>
      </c>
      <c r="H72" s="51">
        <v>0.15</v>
      </c>
      <c r="I72" s="49">
        <f t="shared" si="2"/>
        <v>9.6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65</v>
      </c>
      <c r="B73" s="50">
        <v>441</v>
      </c>
      <c r="C73" s="50">
        <v>12</v>
      </c>
      <c r="D73" s="50">
        <v>25</v>
      </c>
      <c r="E73" s="51">
        <v>0.8</v>
      </c>
      <c r="F73" s="51">
        <v>0.04</v>
      </c>
      <c r="G73" s="51">
        <v>0.06</v>
      </c>
      <c r="H73" s="51">
        <v>0.1</v>
      </c>
      <c r="I73" s="49">
        <f t="shared" si="2"/>
        <v>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70</v>
      </c>
      <c r="B74" s="50">
        <v>457</v>
      </c>
      <c r="C74" s="50">
        <v>13</v>
      </c>
      <c r="D74" s="50">
        <v>24</v>
      </c>
      <c r="E74" s="51">
        <v>0.8</v>
      </c>
      <c r="F74" s="51">
        <v>0.04</v>
      </c>
      <c r="G74" s="51">
        <v>0.06</v>
      </c>
      <c r="H74" s="51">
        <v>0.1</v>
      </c>
      <c r="I74" s="49">
        <f t="shared" si="2"/>
        <v>8.1999999999999993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plane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f>33+D88</f>
        <v>65</v>
      </c>
      <c r="C88" s="60">
        <v>1</v>
      </c>
      <c r="D88" s="60">
        <v>32</v>
      </c>
      <c r="E88" s="51"/>
      <c r="F88" s="51"/>
      <c r="G88" s="51"/>
      <c r="H88" s="87">
        <v>1</v>
      </c>
      <c r="I88" s="53">
        <f>IFERROR(B88/A88,"")</f>
        <v>4.333333333333333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f>67+D89</f>
        <v>102</v>
      </c>
      <c r="C89" s="60">
        <v>2</v>
      </c>
      <c r="D89" s="60">
        <v>35</v>
      </c>
      <c r="E89" s="51"/>
      <c r="F89" s="51"/>
      <c r="G89" s="51"/>
      <c r="H89" s="87">
        <v>1</v>
      </c>
      <c r="I89" s="53">
        <f t="shared" ref="I89:I107" si="3">IF(A89&lt;&gt;0,(B89-(B88-D88))/(A89-A88),"")</f>
        <v>13.8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f>106+D90</f>
        <v>141</v>
      </c>
      <c r="C90" s="60">
        <v>3</v>
      </c>
      <c r="D90" s="60">
        <v>35</v>
      </c>
      <c r="E90" s="87">
        <v>0.4</v>
      </c>
      <c r="F90" s="87">
        <v>0.08</v>
      </c>
      <c r="G90" s="87">
        <v>0.12</v>
      </c>
      <c r="H90" s="87">
        <v>0.4</v>
      </c>
      <c r="I90" s="53">
        <f t="shared" si="3"/>
        <v>14.8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f>142+D91</f>
        <v>177</v>
      </c>
      <c r="C91" s="60">
        <v>4</v>
      </c>
      <c r="D91" s="60">
        <v>35</v>
      </c>
      <c r="E91" s="87">
        <v>0.4</v>
      </c>
      <c r="F91" s="87">
        <v>0.08</v>
      </c>
      <c r="G91" s="87">
        <v>0.12</v>
      </c>
      <c r="H91" s="87">
        <v>0.4</v>
      </c>
      <c r="I91" s="53">
        <f t="shared" si="3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f>171+D92</f>
        <v>206</v>
      </c>
      <c r="C92" s="60">
        <v>5</v>
      </c>
      <c r="D92" s="60">
        <v>35</v>
      </c>
      <c r="E92" s="87">
        <v>0.4</v>
      </c>
      <c r="F92" s="87">
        <v>0.08</v>
      </c>
      <c r="G92" s="87">
        <v>0.12</v>
      </c>
      <c r="H92" s="87">
        <v>0.4</v>
      </c>
      <c r="I92" s="53">
        <f t="shared" si="3"/>
        <v>12.8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f>193+D93</f>
        <v>228</v>
      </c>
      <c r="C93" s="60">
        <v>6</v>
      </c>
      <c r="D93" s="60">
        <v>35</v>
      </c>
      <c r="E93" s="87">
        <v>0.5</v>
      </c>
      <c r="F93" s="87">
        <v>0.06</v>
      </c>
      <c r="G93" s="87">
        <v>0.14000000000000001</v>
      </c>
      <c r="H93" s="87">
        <v>0.3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f>216+D94</f>
        <v>240</v>
      </c>
      <c r="C94" s="60">
        <v>7</v>
      </c>
      <c r="D94" s="60">
        <v>24</v>
      </c>
      <c r="E94" s="87">
        <v>0.5</v>
      </c>
      <c r="F94" s="87">
        <v>0.06</v>
      </c>
      <c r="G94" s="87">
        <v>0.14000000000000001</v>
      </c>
      <c r="H94" s="87">
        <v>0.3</v>
      </c>
      <c r="I94" s="53">
        <f t="shared" si="3"/>
        <v>9.4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f>242+D95</f>
        <v>261</v>
      </c>
      <c r="C95" s="60">
        <v>8</v>
      </c>
      <c r="D95" s="60">
        <v>19</v>
      </c>
      <c r="E95" s="87">
        <v>0.6</v>
      </c>
      <c r="F95" s="87">
        <v>0.08</v>
      </c>
      <c r="G95" s="87">
        <v>0.12</v>
      </c>
      <c r="H95" s="87">
        <v>0.2</v>
      </c>
      <c r="I95" s="53">
        <f t="shared" si="3"/>
        <v>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55</v>
      </c>
      <c r="B96" s="60">
        <f>263+D96</f>
        <v>279</v>
      </c>
      <c r="C96" s="60">
        <v>9</v>
      </c>
      <c r="D96" s="60">
        <v>16</v>
      </c>
      <c r="E96" s="87">
        <v>0.7</v>
      </c>
      <c r="F96" s="87">
        <v>0.05</v>
      </c>
      <c r="G96" s="87">
        <v>0.1</v>
      </c>
      <c r="H96" s="87">
        <v>0.15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60</v>
      </c>
      <c r="B97" s="60">
        <f>280+D97</f>
        <v>294</v>
      </c>
      <c r="C97" s="60">
        <v>10</v>
      </c>
      <c r="D97" s="60">
        <v>14</v>
      </c>
      <c r="E97" s="87">
        <v>0.7</v>
      </c>
      <c r="F97" s="87">
        <v>0.05</v>
      </c>
      <c r="G97" s="87">
        <v>0.1</v>
      </c>
      <c r="H97" s="87">
        <v>0.15</v>
      </c>
      <c r="I97" s="53">
        <f t="shared" si="3"/>
        <v>6.2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65</v>
      </c>
      <c r="B98" s="60">
        <f>293+D98</f>
        <v>306</v>
      </c>
      <c r="C98" s="60">
        <v>11</v>
      </c>
      <c r="D98" s="60">
        <v>13</v>
      </c>
      <c r="E98" s="87">
        <v>0.7</v>
      </c>
      <c r="F98" s="87">
        <v>0.05</v>
      </c>
      <c r="G98" s="87">
        <v>0.1</v>
      </c>
      <c r="H98" s="87">
        <v>0.15</v>
      </c>
      <c r="I98" s="53">
        <f t="shared" si="3"/>
        <v>5.2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70</v>
      </c>
      <c r="B99" s="60">
        <f>303+D99</f>
        <v>316</v>
      </c>
      <c r="C99" s="60">
        <v>12</v>
      </c>
      <c r="D99" s="60">
        <v>13</v>
      </c>
      <c r="E99" s="87">
        <v>0.8</v>
      </c>
      <c r="F99" s="87">
        <v>0.04</v>
      </c>
      <c r="G99" s="87">
        <v>0.06</v>
      </c>
      <c r="H99" s="87">
        <v>0.1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75</v>
      </c>
      <c r="B100" s="60">
        <f>312+D100</f>
        <v>324</v>
      </c>
      <c r="C100" s="60">
        <v>13</v>
      </c>
      <c r="D100" s="60">
        <v>12</v>
      </c>
      <c r="E100" s="65">
        <v>0.8</v>
      </c>
      <c r="F100" s="65">
        <v>0.04</v>
      </c>
      <c r="G100" s="65">
        <v>0.06</v>
      </c>
      <c r="H100" s="65">
        <v>0.1</v>
      </c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80</v>
      </c>
      <c r="B101" s="60">
        <f>319+D101</f>
        <v>330</v>
      </c>
      <c r="C101" s="60">
        <v>14</v>
      </c>
      <c r="D101" s="60">
        <v>11</v>
      </c>
      <c r="E101" s="65">
        <v>0.8</v>
      </c>
      <c r="F101" s="65">
        <v>0.04</v>
      </c>
      <c r="G101" s="65">
        <v>0.06</v>
      </c>
      <c r="H101" s="65">
        <v>0.1</v>
      </c>
      <c r="I101" s="53">
        <f t="shared" si="3"/>
        <v>3.6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1" zoomScaleNormal="100" workbookViewId="0">
      <selection activeCell="F16" sqref="F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26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pubescent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Tilleul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plane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342.91408684769942</v>
      </c>
      <c r="T3" s="59">
        <f>IF('Données projet'!E9&gt;30,$R$33-$H$33,LOOKUP('Données projet'!$E$9,$A$3:$A$203,R3:R203)-LOOKUP('Données projet'!$E$9,$A$3:$A$203,$H$3:$H$203))</f>
        <v>209.92380505963234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296.25231821504275</v>
      </c>
      <c r="AO3" s="59">
        <f>IF('Données projet'!E10&gt;30,$AM$33-$H$33,LOOKUP('Données projet'!$E$10,$A$3:$A$203,AM3:AM203)-LOOKUP('Données projet'!$E$10,$A$3:$A$203,$H$3:$H$203))</f>
        <v>316.20936902390275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244.50301885429764</v>
      </c>
      <c r="BJ3" s="59">
        <f>IF('Données projet'!E11&gt;30,$BH$33-$H$33,LOOKUP('Données projet'!$E$11,$A$3:$A$203,BH3:BH203)-LOOKUP('Données projet'!$E$11,$A$3:$A$203,$H$3:$H$203))</f>
        <v>248.77995374147798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1">
        <f>IFERROR(EXP(-1.0587+0.8836*LN(C4)+0.284),0)</f>
        <v>0.40897418972440713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67">
        <f t="shared" ref="H4:H67" si="1">(B4+E4+F4)*44/12+(C4+D4)*0.475*44/12</f>
        <v>295.56715004710333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1.2566203774920315</v>
      </c>
      <c r="P4" s="13">
        <f>EXP(-1.0587+0.8836*LN(O4)+0.284)</f>
        <v>0.56390871417545174</v>
      </c>
      <c r="Q4" s="20">
        <f t="shared" ref="Q4:Q34" si="2">(O4+P4)*0.475*44/12</f>
        <v>3.1707548346542</v>
      </c>
      <c r="R4" s="59">
        <f t="shared" si="0"/>
        <v>296.5040881679875</v>
      </c>
      <c r="S4" s="59">
        <f ca="1">AVERAGE(OFFSET($R$3,0,0,'Données projet'!$E$9+1,1))-AVERAGE(OFFSET($H$3,0,0,'Données projet'!$E$9+1,1))</f>
        <v>342.91408684769942</v>
      </c>
      <c r="T4" s="59">
        <f>$T$3</f>
        <v>209.92380505963234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5.0999999999999996</v>
      </c>
      <c r="AI4" s="13">
        <f>IF('Données projet'!$A$62&gt;35,AI3+AH4-AQ3,IF(A4&lt;'Données projet'!$A$62,$AF$205^A4,IF(A4='Données projet'!$A$62,'Données projet'!$B$62,AI3+AH4-AQ3)))</f>
        <v>1.4816888666071193</v>
      </c>
      <c r="AJ4" s="13">
        <f>AI4*VLOOKUP('Données projet'!$B$10,Paramètres!$A$1:$I$89,3,0)*VLOOKUP('Données projet'!$B$10,Paramètres!$A$1:$I$89,5,0)</f>
        <v>0.9939168917200556</v>
      </c>
      <c r="AK4" s="13">
        <f>EXP(-1.0587+0.8836*LN(AJ4)+0.284)</f>
        <v>0.45836409220399277</v>
      </c>
      <c r="AL4" s="20">
        <f t="shared" ref="AL4:AL67" si="4">(AJ4+AK4)*0.475*44/12</f>
        <v>2.5293893803343845</v>
      </c>
      <c r="AM4" s="59">
        <f t="shared" ref="AM4:AM67" si="5">AL4+(AD4+AE4)*44/12</f>
        <v>295.86272271366772</v>
      </c>
      <c r="AN4" s="59">
        <f ca="1">AVERAGE(OFFSET($AM$3,0,0,'Données projet'!$E$10+1,1))-AVERAGE(OFFSET($H$3,0,0,'Données projet'!$E$10+1,1))</f>
        <v>296.25231821504275</v>
      </c>
      <c r="AO4" s="59">
        <f>$AO$3</f>
        <v>316.20936902390275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4.333333333333333</v>
      </c>
      <c r="BD4" s="12">
        <f>IF('Données projet'!$A$88&gt;35,BD3+BC4-BL3,IF(A4&lt;'Données projet'!$A$88,$BA$205^A4,IF(A4='Données projet'!$A$88,'Données projet'!$B$88,BD3+BC4-BL3)))</f>
        <v>1.3208724756526424</v>
      </c>
      <c r="BE4" s="13">
        <f>BD4*VLOOKUP('Données projet'!$B$11,Paramètres!$A$1:$I$89,3,0)*VLOOKUP('Données projet'!$B$11,Paramètres!$A$1:$I$89,5,0)</f>
        <v>1.0508861416292423</v>
      </c>
      <c r="BF4" s="13">
        <f>EXP(-1.0587+0.8836*LN(BE4)+0.284)</f>
        <v>0.48150261531866312</v>
      </c>
      <c r="BG4" s="20">
        <f t="shared" ref="BG4:BG67" si="7">(BE4+BF4)*0.475*44/12</f>
        <v>2.6689104183509347</v>
      </c>
      <c r="BH4" s="59">
        <f t="shared" ref="BH4:BH67" si="8">BG4+(AY4+AZ4)*44/12</f>
        <v>296.00224375168426</v>
      </c>
      <c r="BI4" s="59">
        <f ca="1">AVERAGE(OFFSET($BH$3,0,0,'Données projet'!$E$11+1,1))-AVERAGE(OFFSET($H$3,0,0,'Données projet'!$E$11+1,1))</f>
        <v>244.50301885429764</v>
      </c>
      <c r="BJ4" s="59">
        <f>$BJ$3</f>
        <v>248.77995374147798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1">
        <f t="shared" ref="D5:D68" si="32">IFERROR(EXP(-1.0587+0.8836*LN(C5)+0.284),0)</f>
        <v>0.75454649280048791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67">
        <f t="shared" si="1"/>
        <v>297.69054180829414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1.5572926756688519</v>
      </c>
      <c r="P5" s="13">
        <f t="shared" ref="P5:P68" si="33">EXP(-1.0587+0.8836*LN(O5)+0.284)</f>
        <v>0.68160129960402205</v>
      </c>
      <c r="Q5" s="20">
        <f t="shared" si="2"/>
        <v>3.8994070069335893</v>
      </c>
      <c r="R5" s="59">
        <f t="shared" si="0"/>
        <v>297.2327403402669</v>
      </c>
      <c r="S5" s="59">
        <f ca="1">AVERAGE(OFFSET($R$3,0,0,'Données projet'!$E$9+1,1))-AVERAGE(OFFSET($H$3,0,0,'Données projet'!$E$9+1,1))</f>
        <v>342.91408684769942</v>
      </c>
      <c r="T5" s="59">
        <f t="shared" ref="T5:T68" si="34">$T$3</f>
        <v>209.92380505963234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5.0999999999999996</v>
      </c>
      <c r="AI5" s="13">
        <f>IF('Données projet'!$A$62&gt;35,AI4+AH5-AQ4,IF(A5&lt;'Données projet'!$A$62,$AF$205^A5,IF(A5='Données projet'!$A$62,'Données projet'!$B$62,AI4+AH5-AQ4)))</f>
        <v>2.1954018974274896</v>
      </c>
      <c r="AJ5" s="13">
        <f>AI5*VLOOKUP('Données projet'!$B$10,Paramètres!$A$1:$I$89,3,0)*VLOOKUP('Données projet'!$B$10,Paramètres!$A$1:$I$89,5,0)</f>
        <v>1.47267559279436</v>
      </c>
      <c r="AK5" s="13">
        <f t="shared" ref="AK5:AK68" si="35">EXP(-1.0587+0.8836*LN(AJ5)+0.284)</f>
        <v>0.64877108982439335</v>
      </c>
      <c r="AL5" s="20">
        <f t="shared" si="4"/>
        <v>3.6948529722276615</v>
      </c>
      <c r="AM5" s="59">
        <f t="shared" si="5"/>
        <v>297.02818630556095</v>
      </c>
      <c r="AN5" s="59">
        <f ca="1">AVERAGE(OFFSET($AM$3,0,0,'Données projet'!$E$10+1,1))-AVERAGE(OFFSET($H$3,0,0,'Données projet'!$E$10+1,1))</f>
        <v>296.25231821504275</v>
      </c>
      <c r="AO5" s="59">
        <f t="shared" ref="AO5:AO68" si="36">$AO$3</f>
        <v>316.20936902390275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4.333333333333333</v>
      </c>
      <c r="BD5" s="12">
        <f>IF('Données projet'!$A$88&gt;35,BD4+BC5-BL4,IF(A5&lt;'Données projet'!$A$88,$BA$205^A5,IF(A5='Données projet'!$A$88,'Données projet'!$B$88,BD4+BC5-BL4)))</f>
        <v>1.7447040969367404</v>
      </c>
      <c r="BE5" s="13">
        <f>BD5*VLOOKUP('Données projet'!$B$11,Paramètres!$A$1:$I$89,3,0)*VLOOKUP('Données projet'!$B$11,Paramètres!$A$1:$I$89,5,0)</f>
        <v>1.3880865795228707</v>
      </c>
      <c r="BF5" s="13">
        <f t="shared" ref="BF5:BF68" si="37">EXP(-1.0587+0.8836*LN(BE5)+0.284)</f>
        <v>0.61573144482258502</v>
      </c>
      <c r="BG5" s="20">
        <f t="shared" si="7"/>
        <v>3.4899830590683352</v>
      </c>
      <c r="BH5" s="59">
        <f t="shared" si="8"/>
        <v>296.82331639240164</v>
      </c>
      <c r="BI5" s="59">
        <f ca="1">AVERAGE(OFFSET($BH$3,0,0,'Données projet'!$E$11+1,1))-AVERAGE(OFFSET($H$3,0,0,'Données projet'!$E$11+1,1))</f>
        <v>244.50301885429764</v>
      </c>
      <c r="BJ5" s="59">
        <f t="shared" ref="BJ5:BJ68" si="38">$BJ$3</f>
        <v>248.77995374147798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1">
        <f t="shared" si="32"/>
        <v>1.0796431690647796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67">
        <f t="shared" si="1"/>
        <v>299.77827185278778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1.9299070117993768</v>
      </c>
      <c r="P6" s="13">
        <f t="shared" si="33"/>
        <v>0.82385733708903885</v>
      </c>
      <c r="Q6" s="20">
        <f t="shared" si="2"/>
        <v>4.7961395743139903</v>
      </c>
      <c r="R6" s="59">
        <f t="shared" si="0"/>
        <v>298.12947290764731</v>
      </c>
      <c r="S6" s="59">
        <f ca="1">AVERAGE(OFFSET($R$3,0,0,'Données projet'!$E$9+1,1))-AVERAGE(OFFSET($H$3,0,0,'Données projet'!$E$9+1,1))</f>
        <v>342.91408684769942</v>
      </c>
      <c r="T6" s="59">
        <f t="shared" si="34"/>
        <v>209.92380505963234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5.0999999999999996</v>
      </c>
      <c r="AI6" s="13">
        <f>IF('Données projet'!$A$62&gt;35,AI5+AH6-AQ5,IF(A6&lt;'Données projet'!$A$62,$AF$205^A6,IF(A6='Données projet'!$A$62,'Données projet'!$B$62,AI5+AH6-AQ5)))</f>
        <v>3.252902549146456</v>
      </c>
      <c r="AJ6" s="13">
        <f>AI6*VLOOKUP('Données projet'!$B$10,Paramètres!$A$1:$I$89,3,0)*VLOOKUP('Données projet'!$B$10,Paramètres!$A$1:$I$89,5,0)</f>
        <v>2.182047029967443</v>
      </c>
      <c r="AK6" s="13">
        <f t="shared" si="35"/>
        <v>0.91827421508535134</v>
      </c>
      <c r="AL6" s="20">
        <f t="shared" si="4"/>
        <v>5.3997261684669491</v>
      </c>
      <c r="AM6" s="59">
        <f t="shared" si="5"/>
        <v>298.73305950180026</v>
      </c>
      <c r="AN6" s="59">
        <f ca="1">AVERAGE(OFFSET($AM$3,0,0,'Données projet'!$E$10+1,1))-AVERAGE(OFFSET($H$3,0,0,'Données projet'!$E$10+1,1))</f>
        <v>296.25231821504275</v>
      </c>
      <c r="AO6" s="59">
        <f t="shared" si="36"/>
        <v>316.20936902390275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4.333333333333333</v>
      </c>
      <c r="BD6" s="12">
        <f>IF('Données projet'!$A$88&gt;35,BD5+BC6-BL5,IF(A6&lt;'Données projet'!$A$88,$BA$205^A6,IF(A6='Données projet'!$A$88,'Données projet'!$B$88,BD5+BC6-BL5)))</f>
        <v>2.3045316198021402</v>
      </c>
      <c r="BE6" s="13">
        <f>BD6*VLOOKUP('Données projet'!$B$11,Paramètres!$A$1:$I$89,3,0)*VLOOKUP('Données projet'!$B$11,Paramètres!$A$1:$I$89,5,0)</f>
        <v>1.833485356714583</v>
      </c>
      <c r="BF6" s="13">
        <f t="shared" si="37"/>
        <v>0.78737934142351296</v>
      </c>
      <c r="BG6" s="20">
        <f t="shared" si="7"/>
        <v>4.5646726825905164</v>
      </c>
      <c r="BH6" s="59">
        <f t="shared" si="8"/>
        <v>297.89800601592384</v>
      </c>
      <c r="BI6" s="59">
        <f ca="1">AVERAGE(OFFSET($BH$3,0,0,'Données projet'!$E$11+1,1))-AVERAGE(OFFSET($H$3,0,0,'Données projet'!$E$11+1,1))</f>
        <v>244.50301885429764</v>
      </c>
      <c r="BJ6" s="59">
        <f t="shared" si="38"/>
        <v>248.77995374147798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1">
        <f t="shared" si="32"/>
        <v>1.392118192547003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67">
        <f t="shared" si="1"/>
        <v>301.84401918535269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2.3916769996961063</v>
      </c>
      <c r="P7" s="13">
        <f t="shared" si="33"/>
        <v>0.9958034297612971</v>
      </c>
      <c r="Q7" s="20">
        <f t="shared" si="2"/>
        <v>5.8998617479716442</v>
      </c>
      <c r="R7" s="59">
        <f t="shared" si="0"/>
        <v>299.23319508130498</v>
      </c>
      <c r="S7" s="59">
        <f ca="1">AVERAGE(OFFSET($R$3,0,0,'Données projet'!$E$9+1,1))-AVERAGE(OFFSET($H$3,0,0,'Données projet'!$E$9+1,1))</f>
        <v>342.91408684769942</v>
      </c>
      <c r="T7" s="59">
        <f t="shared" si="34"/>
        <v>209.92380505963234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5.0999999999999996</v>
      </c>
      <c r="AI7" s="13">
        <f>IF('Données projet'!$A$62&gt;35,AI6+AH7-AQ6,IF(A7&lt;'Données projet'!$A$62,$AF$205^A7,IF(A7='Données projet'!$A$62,'Données projet'!$B$62,AI6+AH7-AQ6)))</f>
        <v>4.8197894912282218</v>
      </c>
      <c r="AJ7" s="13">
        <f>AI7*VLOOKUP('Données projet'!$B$10,Paramètres!$A$1:$I$89,3,0)*VLOOKUP('Données projet'!$B$10,Paramètres!$A$1:$I$89,5,0)</f>
        <v>3.233114790715891</v>
      </c>
      <c r="AK7" s="13">
        <f t="shared" si="35"/>
        <v>1.2997304400830487</v>
      </c>
      <c r="AL7" s="20">
        <f t="shared" si="4"/>
        <v>7.8947054436414872</v>
      </c>
      <c r="AM7" s="59">
        <f t="shared" si="5"/>
        <v>301.22803877697481</v>
      </c>
      <c r="AN7" s="59">
        <f ca="1">AVERAGE(OFFSET($AM$3,0,0,'Données projet'!$E$10+1,1))-AVERAGE(OFFSET($H$3,0,0,'Données projet'!$E$10+1,1))</f>
        <v>296.25231821504275</v>
      </c>
      <c r="AO7" s="59">
        <f t="shared" si="36"/>
        <v>316.20936902390275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4.333333333333333</v>
      </c>
      <c r="BD7" s="12">
        <f>IF('Données projet'!$A$88&gt;35,BD6+BC7-BL6,IF(A7&lt;'Données projet'!$A$88,$BA$205^A7,IF(A7='Données projet'!$A$88,'Données projet'!$B$88,BD6+BC7-BL6)))</f>
        <v>3.0439923858678468</v>
      </c>
      <c r="BE7" s="13">
        <f>BD7*VLOOKUP('Données projet'!$B$11,Paramètres!$A$1:$I$89,3,0)*VLOOKUP('Données projet'!$B$11,Paramètres!$A$1:$I$89,5,0)</f>
        <v>2.4218003421964593</v>
      </c>
      <c r="BF7" s="13">
        <f t="shared" si="37"/>
        <v>1.0068776453006392</v>
      </c>
      <c r="BG7" s="20">
        <f t="shared" si="7"/>
        <v>5.9716141615574472</v>
      </c>
      <c r="BH7" s="59">
        <f t="shared" si="8"/>
        <v>299.30494749489077</v>
      </c>
      <c r="BI7" s="59">
        <f ca="1">AVERAGE(OFFSET($BH$3,0,0,'Données projet'!$E$11+1,1))-AVERAGE(OFFSET($H$3,0,0,'Données projet'!$E$11+1,1))</f>
        <v>244.50301885429764</v>
      </c>
      <c r="BJ7" s="59">
        <f t="shared" si="38"/>
        <v>248.77995374147798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1">
        <f t="shared" si="32"/>
        <v>1.6955312417477204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67">
        <f t="shared" si="1"/>
        <v>303.89398357937728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2.9639349646914495</v>
      </c>
      <c r="P8" s="13">
        <f t="shared" si="33"/>
        <v>1.2036361467970902</v>
      </c>
      <c r="Q8" s="20">
        <f t="shared" si="2"/>
        <v>7.2585196858425398</v>
      </c>
      <c r="R8" s="59">
        <f t="shared" si="0"/>
        <v>300.59185301917586</v>
      </c>
      <c r="S8" s="59">
        <f ca="1">AVERAGE(OFFSET($R$3,0,0,'Données projet'!$E$9+1,1))-AVERAGE(OFFSET($H$3,0,0,'Données projet'!$E$9+1,1))</f>
        <v>342.91408684769942</v>
      </c>
      <c r="T8" s="59">
        <f t="shared" si="34"/>
        <v>209.92380505963234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5.0999999999999996</v>
      </c>
      <c r="AI8" s="13">
        <f>IF('Données projet'!$A$62&gt;35,AI7+AH8-AQ7,IF(A8&lt;'Données projet'!$A$62,$AF$205^A8,IF(A8='Données projet'!$A$62,'Données projet'!$B$62,AI7+AH8-AQ7)))</f>
        <v>7.1414284285428478</v>
      </c>
      <c r="AJ8" s="13">
        <f>AI8*VLOOKUP('Données projet'!$B$10,Paramètres!$A$1:$I$89,3,0)*VLOOKUP('Données projet'!$B$10,Paramètres!$A$1:$I$89,5,0)</f>
        <v>4.7904701898665429</v>
      </c>
      <c r="AK8" s="13">
        <f t="shared" si="35"/>
        <v>1.8396457061809799</v>
      </c>
      <c r="AL8" s="20">
        <f t="shared" si="4"/>
        <v>11.547451852282768</v>
      </c>
      <c r="AM8" s="59">
        <f t="shared" si="5"/>
        <v>304.88078518561611</v>
      </c>
      <c r="AN8" s="59">
        <f ca="1">AVERAGE(OFFSET($AM$3,0,0,'Données projet'!$E$10+1,1))-AVERAGE(OFFSET($H$3,0,0,'Données projet'!$E$10+1,1))</f>
        <v>296.25231821504275</v>
      </c>
      <c r="AO8" s="59">
        <f t="shared" si="36"/>
        <v>316.20936902390275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4.333333333333333</v>
      </c>
      <c r="BD8" s="12">
        <f>IF('Données projet'!$A$88&gt;35,BD7+BC8-BL7,IF(A8&lt;'Données projet'!$A$88,$BA$205^A8,IF(A8='Données projet'!$A$88,'Données projet'!$B$88,BD7+BC8-BL7)))</f>
        <v>4.0207257585890561</v>
      </c>
      <c r="BE8" s="13">
        <f>BD8*VLOOKUP('Données projet'!$B$11,Paramètres!$A$1:$I$89,3,0)*VLOOKUP('Données projet'!$B$11,Paramètres!$A$1:$I$89,5,0)</f>
        <v>3.1988894135334531</v>
      </c>
      <c r="BF8" s="13">
        <f t="shared" si="37"/>
        <v>1.2875656488183871</v>
      </c>
      <c r="BG8" s="20">
        <f t="shared" si="7"/>
        <v>7.8139092335961218</v>
      </c>
      <c r="BH8" s="59">
        <f t="shared" si="8"/>
        <v>301.14724256692944</v>
      </c>
      <c r="BI8" s="59">
        <f ca="1">AVERAGE(OFFSET($BH$3,0,0,'Données projet'!$E$11+1,1))-AVERAGE(OFFSET($H$3,0,0,'Données projet'!$E$11+1,1))</f>
        <v>244.50301885429764</v>
      </c>
      <c r="BJ8" s="59">
        <f t="shared" si="38"/>
        <v>248.77995374147798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1">
        <f t="shared" si="32"/>
        <v>1.9919129059043814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67">
        <f t="shared" si="1"/>
        <v>305.93170164445013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3.6731174301700205</v>
      </c>
      <c r="P9" s="13">
        <f t="shared" si="33"/>
        <v>1.4548453345092642</v>
      </c>
      <c r="Q9" s="20">
        <f t="shared" si="2"/>
        <v>8.9312018151497536</v>
      </c>
      <c r="R9" s="59">
        <f t="shared" si="0"/>
        <v>302.26453514848305</v>
      </c>
      <c r="S9" s="59">
        <f ca="1">AVERAGE(OFFSET($R$3,0,0,'Données projet'!$E$9+1,1))-AVERAGE(OFFSET($H$3,0,0,'Données projet'!$E$9+1,1))</f>
        <v>342.91408684769942</v>
      </c>
      <c r="T9" s="59">
        <f t="shared" si="34"/>
        <v>209.92380505963234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5.0999999999999996</v>
      </c>
      <c r="AI9" s="13">
        <f>IF('Données projet'!$A$62&gt;35,AI8+AH9-AQ8,IF(A9&lt;'Données projet'!$A$62,$AF$205^A9,IF(A9='Données projet'!$A$62,'Données projet'!$B$62,AI8+AH9-AQ8)))</f>
        <v>10.581374994243513</v>
      </c>
      <c r="AJ9" s="13">
        <f>AI9*VLOOKUP('Données projet'!$B$10,Paramètres!$A$1:$I$89,3,0)*VLOOKUP('Données projet'!$B$10,Paramètres!$A$1:$I$89,5,0)</f>
        <v>7.0979863461385486</v>
      </c>
      <c r="AK9" s="13">
        <f t="shared" si="35"/>
        <v>2.6038447818871342</v>
      </c>
      <c r="AL9" s="20">
        <f t="shared" si="4"/>
        <v>16.897355881311395</v>
      </c>
      <c r="AM9" s="59">
        <f t="shared" si="5"/>
        <v>310.23068921464471</v>
      </c>
      <c r="AN9" s="59">
        <f ca="1">AVERAGE(OFFSET($AM$3,0,0,'Données projet'!$E$10+1,1))-AVERAGE(OFFSET($H$3,0,0,'Données projet'!$E$10+1,1))</f>
        <v>296.25231821504275</v>
      </c>
      <c r="AO9" s="59">
        <f t="shared" si="36"/>
        <v>316.20936902390275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4.333333333333333</v>
      </c>
      <c r="BD9" s="12">
        <f>IF('Données projet'!$A$88&gt;35,BD8+BC9-BL8,IF(A9&lt;'Données projet'!$A$88,$BA$205^A9,IF(A9='Données projet'!$A$88,'Données projet'!$B$88,BD8+BC9-BL8)))</f>
        <v>5.310865986667876</v>
      </c>
      <c r="BE9" s="13">
        <f>BD9*VLOOKUP('Données projet'!$B$11,Paramètres!$A$1:$I$89,3,0)*VLOOKUP('Données projet'!$B$11,Paramètres!$A$1:$I$89,5,0)</f>
        <v>4.2253249789929628</v>
      </c>
      <c r="BF9" s="13">
        <f t="shared" si="37"/>
        <v>1.6465012484432624</v>
      </c>
      <c r="BG9" s="20">
        <f t="shared" si="7"/>
        <v>10.226764012784757</v>
      </c>
      <c r="BH9" s="59">
        <f t="shared" si="8"/>
        <v>303.56009734611808</v>
      </c>
      <c r="BI9" s="59">
        <f ca="1">AVERAGE(OFFSET($BH$3,0,0,'Données projet'!$E$11+1,1))-AVERAGE(OFFSET($H$3,0,0,'Données projet'!$E$11+1,1))</f>
        <v>244.50301885429764</v>
      </c>
      <c r="BJ9" s="59">
        <f t="shared" si="38"/>
        <v>248.77995374147798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1">
        <f t="shared" si="32"/>
        <v>2.2825722273844922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67">
        <f t="shared" si="1"/>
        <v>307.95945329602796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4.5519864020441929</v>
      </c>
      <c r="P10" s="13">
        <f t="shared" si="33"/>
        <v>1.7584840343783612</v>
      </c>
      <c r="Q10" s="20">
        <f t="shared" si="2"/>
        <v>10.990736010102614</v>
      </c>
      <c r="R10" s="59">
        <f t="shared" si="0"/>
        <v>304.32406934343595</v>
      </c>
      <c r="S10" s="59">
        <f ca="1">AVERAGE(OFFSET($R$3,0,0,'Données projet'!$E$9+1,1))-AVERAGE(OFFSET($H$3,0,0,'Données projet'!$E$9+1,1))</f>
        <v>342.91408684769942</v>
      </c>
      <c r="T10" s="59">
        <f t="shared" si="34"/>
        <v>209.92380505963234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5.0999999999999996</v>
      </c>
      <c r="AI10" s="13">
        <f>IF('Données projet'!$A$62&gt;35,AI9+AH10-AQ9,IF(A10&lt;'Données projet'!$A$62,$AF$205^A10,IF(A10='Données projet'!$A$62,'Données projet'!$B$62,AI9+AH10-AQ9)))</f>
        <v>15.678305522365584</v>
      </c>
      <c r="AJ10" s="13">
        <f>AI10*VLOOKUP('Données projet'!$B$10,Paramètres!$A$1:$I$89,3,0)*VLOOKUP('Données projet'!$B$10,Paramètres!$A$1:$I$89,5,0)</f>
        <v>10.517007344402833</v>
      </c>
      <c r="AK10" s="13">
        <f t="shared" si="35"/>
        <v>3.6854964112822794</v>
      </c>
      <c r="AL10" s="20">
        <f t="shared" si="4"/>
        <v>24.736027374484902</v>
      </c>
      <c r="AM10" s="59">
        <f t="shared" si="5"/>
        <v>318.06936070781819</v>
      </c>
      <c r="AN10" s="59">
        <f ca="1">AVERAGE(OFFSET($AM$3,0,0,'Données projet'!$E$10+1,1))-AVERAGE(OFFSET($H$3,0,0,'Données projet'!$E$10+1,1))</f>
        <v>296.25231821504275</v>
      </c>
      <c r="AO10" s="59">
        <f t="shared" si="36"/>
        <v>316.20936902390275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4.333333333333333</v>
      </c>
      <c r="BD10" s="12">
        <f>IF('Données projet'!$A$88&gt;35,BD9+BC10-BL9,IF(A10&lt;'Données projet'!$A$88,$BA$205^A10,IF(A10='Données projet'!$A$88,'Données projet'!$B$88,BD9+BC10-BL9)))</f>
        <v>7.0149767036694106</v>
      </c>
      <c r="BE10" s="13">
        <f>BD10*VLOOKUP('Données projet'!$B$11,Paramètres!$A$1:$I$89,3,0)*VLOOKUP('Données projet'!$B$11,Paramètres!$A$1:$I$89,5,0)</f>
        <v>5.5811154654393826</v>
      </c>
      <c r="BF10" s="13">
        <f t="shared" si="37"/>
        <v>2.1054975826771263</v>
      </c>
      <c r="BG10" s="20">
        <f t="shared" si="7"/>
        <v>13.387517725469587</v>
      </c>
      <c r="BH10" s="59">
        <f t="shared" si="8"/>
        <v>306.72085105880291</v>
      </c>
      <c r="BI10" s="59">
        <f ca="1">AVERAGE(OFFSET($BH$3,0,0,'Données projet'!$E$11+1,1))-AVERAGE(OFFSET($H$3,0,0,'Données projet'!$E$11+1,1))</f>
        <v>244.50301885429764</v>
      </c>
      <c r="BJ10" s="59">
        <f t="shared" si="38"/>
        <v>248.77995374147798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1">
        <f t="shared" si="32"/>
        <v>2.5684210058779833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67">
        <f t="shared" si="1"/>
        <v>309.97882658523747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5.6411428706857674</v>
      </c>
      <c r="P11" s="13">
        <f t="shared" si="33"/>
        <v>2.125494735292019</v>
      </c>
      <c r="Q11" s="20">
        <f t="shared" si="2"/>
        <v>13.526893830411311</v>
      </c>
      <c r="R11" s="59">
        <f t="shared" si="0"/>
        <v>306.86022716374464</v>
      </c>
      <c r="S11" s="59">
        <f ca="1">AVERAGE(OFFSET($R$3,0,0,'Données projet'!$E$9+1,1))-AVERAGE(OFFSET($H$3,0,0,'Données projet'!$E$9+1,1))</f>
        <v>342.91408684769942</v>
      </c>
      <c r="T11" s="59">
        <f t="shared" si="34"/>
        <v>209.92380505963234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5.0999999999999996</v>
      </c>
      <c r="AI11" s="13">
        <f>IF('Données projet'!$A$62&gt;35,AI10+AH11-AQ10,IF(A11&lt;'Données projet'!$A$62,$AF$205^A11,IF(A11='Données projet'!$A$62,'Données projet'!$B$62,AI10+AH11-AQ10)))</f>
        <v>23.230370739754001</v>
      </c>
      <c r="AJ11" s="13">
        <f>AI11*VLOOKUP('Données projet'!$B$10,Paramètres!$A$1:$I$89,3,0)*VLOOKUP('Données projet'!$B$10,Paramètres!$A$1:$I$89,5,0)</f>
        <v>15.582932692226983</v>
      </c>
      <c r="AK11" s="13">
        <f t="shared" si="35"/>
        <v>5.2164721538164738</v>
      </c>
      <c r="AL11" s="20">
        <f t="shared" si="4"/>
        <v>36.225630106859022</v>
      </c>
      <c r="AM11" s="59">
        <f t="shared" si="5"/>
        <v>329.55896344019231</v>
      </c>
      <c r="AN11" s="59">
        <f ca="1">AVERAGE(OFFSET($AM$3,0,0,'Données projet'!$E$10+1,1))-AVERAGE(OFFSET($H$3,0,0,'Données projet'!$E$10+1,1))</f>
        <v>296.25231821504275</v>
      </c>
      <c r="AO11" s="59">
        <f t="shared" si="36"/>
        <v>316.20936902390275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4.333333333333333</v>
      </c>
      <c r="BD11" s="12">
        <f>IF('Données projet'!$A$88&gt;35,BD10+BC11-BL10,IF(A11&lt;'Données projet'!$A$88,$BA$205^A11,IF(A11='Données projet'!$A$88,'Données projet'!$B$88,BD10+BC11-BL10)))</f>
        <v>9.2658896452214261</v>
      </c>
      <c r="BE11" s="13">
        <f>BD11*VLOOKUP('Données projet'!$B$11,Paramètres!$A$1:$I$89,3,0)*VLOOKUP('Données projet'!$B$11,Paramètres!$A$1:$I$89,5,0)</f>
        <v>7.3719418017381662</v>
      </c>
      <c r="BF11" s="13">
        <f t="shared" si="37"/>
        <v>2.6924486542908248</v>
      </c>
      <c r="BG11" s="20">
        <f t="shared" si="7"/>
        <v>17.528813377583827</v>
      </c>
      <c r="BH11" s="59">
        <f t="shared" si="8"/>
        <v>310.86214671091716</v>
      </c>
      <c r="BI11" s="59">
        <f ca="1">AVERAGE(OFFSET($BH$3,0,0,'Données projet'!$E$11+1,1))-AVERAGE(OFFSET($H$3,0,0,'Données projet'!$E$11+1,1))</f>
        <v>244.50301885429764</v>
      </c>
      <c r="BJ11" s="59">
        <f t="shared" si="38"/>
        <v>248.77995374147798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1">
        <f t="shared" si="32"/>
        <v>2.8501294257559762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67">
        <f t="shared" si="1"/>
        <v>311.99098874985827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6.9909024493566383</v>
      </c>
      <c r="P12" s="13">
        <f t="shared" si="33"/>
        <v>2.5691037174250742</v>
      </c>
      <c r="Q12" s="20">
        <f t="shared" si="2"/>
        <v>16.650344073811482</v>
      </c>
      <c r="R12" s="59">
        <f t="shared" si="0"/>
        <v>309.9836774071448</v>
      </c>
      <c r="S12" s="59">
        <f ca="1">AVERAGE(OFFSET($R$3,0,0,'Données projet'!$E$9+1,1))-AVERAGE(OFFSET($H$3,0,0,'Données projet'!$E$9+1,1))</f>
        <v>342.91408684769942</v>
      </c>
      <c r="T12" s="59">
        <f t="shared" si="34"/>
        <v>209.92380505963234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5.0999999999999996</v>
      </c>
      <c r="AI12" s="13">
        <f>IF('Données projet'!$A$62&gt;35,AI11+AH12-AQ11,IF(A12&lt;'Données projet'!$A$62,$AF$205^A12,IF(A12='Données projet'!$A$62,'Données projet'!$B$62,AI11+AH12-AQ11)))</f>
        <v>34.420181692249294</v>
      </c>
      <c r="AJ12" s="13">
        <f>AI12*VLOOKUP('Données projet'!$B$10,Paramètres!$A$1:$I$89,3,0)*VLOOKUP('Données projet'!$B$10,Paramètres!$A$1:$I$89,5,0)</f>
        <v>23.089057879160826</v>
      </c>
      <c r="AK12" s="13">
        <f t="shared" si="35"/>
        <v>7.3834237494414143</v>
      </c>
      <c r="AL12" s="20">
        <f t="shared" si="4"/>
        <v>53.072905503148895</v>
      </c>
      <c r="AM12" s="59">
        <f t="shared" si="5"/>
        <v>346.4062388364822</v>
      </c>
      <c r="AN12" s="59">
        <f ca="1">AVERAGE(OFFSET($AM$3,0,0,'Données projet'!$E$10+1,1))-AVERAGE(OFFSET($H$3,0,0,'Données projet'!$E$10+1,1))</f>
        <v>296.25231821504275</v>
      </c>
      <c r="AO12" s="59">
        <f t="shared" si="36"/>
        <v>316.20936902390275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4.333333333333333</v>
      </c>
      <c r="BD12" s="12">
        <f>IF('Données projet'!$A$88&gt;35,BD11+BC12-BL11,IF(A12&lt;'Données projet'!$A$88,$BA$205^A12,IF(A12='Données projet'!$A$88,'Données projet'!$B$88,BD11+BC12-BL11)))</f>
        <v>12.23905859480781</v>
      </c>
      <c r="BE12" s="13">
        <f>BD12*VLOOKUP('Données projet'!$B$11,Paramètres!$A$1:$I$89,3,0)*VLOOKUP('Données projet'!$B$11,Paramètres!$A$1:$I$89,5,0)</f>
        <v>9.737395018029094</v>
      </c>
      <c r="BF12" s="13">
        <f t="shared" si="37"/>
        <v>3.4430244972188757</v>
      </c>
      <c r="BG12" s="20">
        <f t="shared" si="7"/>
        <v>22.955897322390214</v>
      </c>
      <c r="BH12" s="59">
        <f t="shared" si="8"/>
        <v>316.28923065572354</v>
      </c>
      <c r="BI12" s="59">
        <f ca="1">AVERAGE(OFFSET($BH$3,0,0,'Données projet'!$E$11+1,1))-AVERAGE(OFFSET($H$3,0,0,'Données projet'!$E$11+1,1))</f>
        <v>244.50301885429764</v>
      </c>
      <c r="BJ12" s="59">
        <f t="shared" si="38"/>
        <v>248.77995374147798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1">
        <f t="shared" si="32"/>
        <v>3.1282100045396772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67">
        <f t="shared" si="1"/>
        <v>313.99683242457326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8.6636197977519771</v>
      </c>
      <c r="P13" s="13">
        <f t="shared" si="33"/>
        <v>3.1052976990698267</v>
      </c>
      <c r="Q13" s="20">
        <f t="shared" si="2"/>
        <v>20.497531306964643</v>
      </c>
      <c r="R13" s="59">
        <f t="shared" si="0"/>
        <v>313.83086464029793</v>
      </c>
      <c r="S13" s="59">
        <f ca="1">AVERAGE(OFFSET($R$3,0,0,'Données projet'!$E$9+1,1))-AVERAGE(OFFSET($H$3,0,0,'Données projet'!$E$9+1,1))</f>
        <v>342.91408684769942</v>
      </c>
      <c r="T13" s="59">
        <f t="shared" si="34"/>
        <v>209.92380505963234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51</v>
      </c>
      <c r="AG13" s="12">
        <f>VLOOKUP(A13,'Données projet'!$A$61:$I$81,9,0)</f>
        <v>5.0999999999999996</v>
      </c>
      <c r="AH13" s="12">
        <f t="array" ref="AH13">INDEX(AG:AG,MIN(IF(ISNUMBER(AG13:AG209),ROW(AG13:AG209),"")))</f>
        <v>5.0999999999999996</v>
      </c>
      <c r="AI13" s="13">
        <f>IF('Données projet'!$A$62&gt;35,AI12+AH13-AQ12,IF(A13&lt;'Données projet'!$A$62,$AF$205^A13,IF(A13='Données projet'!$A$62,'Données projet'!$B$62,AI12+AH13-AQ12)))</f>
        <v>51</v>
      </c>
      <c r="AJ13" s="13">
        <f>AI13*VLOOKUP('Données projet'!$B$10,Paramètres!$A$1:$I$89,3,0)*VLOOKUP('Données projet'!$B$10,Paramètres!$A$1:$I$89,5,0)</f>
        <v>34.210799999999999</v>
      </c>
      <c r="AK13" s="13">
        <f t="shared" si="35"/>
        <v>10.450539110791825</v>
      </c>
      <c r="AL13" s="20">
        <f t="shared" si="4"/>
        <v>77.78516561796242</v>
      </c>
      <c r="AM13" s="59">
        <f t="shared" si="5"/>
        <v>371.11849895129575</v>
      </c>
      <c r="AN13" s="59">
        <f ca="1">AVERAGE(OFFSET($AM$3,0,0,'Données projet'!$E$10+1,1))-AVERAGE(OFFSET($H$3,0,0,'Données projet'!$E$10+1,1))</f>
        <v>296.25231821504275</v>
      </c>
      <c r="AO13" s="59">
        <f t="shared" si="36"/>
        <v>316.20936902390275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12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4.333333333333333</v>
      </c>
      <c r="BD13" s="12">
        <f>IF('Données projet'!$A$88&gt;35,BD12+BC13-BL12,IF(A13&lt;'Données projet'!$A$88,$BA$205^A13,IF(A13='Données projet'!$A$88,'Données projet'!$B$88,BD12+BC13-BL12)))</f>
        <v>16.166235625781542</v>
      </c>
      <c r="BE13" s="13">
        <f>BD13*VLOOKUP('Données projet'!$B$11,Paramètres!$A$1:$I$89,3,0)*VLOOKUP('Données projet'!$B$11,Paramètres!$A$1:$I$89,5,0)</f>
        <v>12.861857063871796</v>
      </c>
      <c r="BF13" s="13">
        <f t="shared" si="37"/>
        <v>4.4028389063455258</v>
      </c>
      <c r="BG13" s="20">
        <f t="shared" si="7"/>
        <v>30.069345481461834</v>
      </c>
      <c r="BH13" s="59">
        <f t="shared" si="8"/>
        <v>323.40267881479514</v>
      </c>
      <c r="BI13" s="59">
        <f ca="1">AVERAGE(OFFSET($BH$3,0,0,'Données projet'!$E$11+1,1))-AVERAGE(OFFSET($H$3,0,0,'Données projet'!$E$11+1,1))</f>
        <v>244.50301885429764</v>
      </c>
      <c r="BJ13" s="59">
        <f t="shared" si="38"/>
        <v>248.77995374147798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1">
        <f t="shared" si="32"/>
        <v>3.4030668246422189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67">
        <f t="shared" si="1"/>
        <v>315.99706138625186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10.736569211734251</v>
      </c>
      <c r="P14" s="13">
        <f t="shared" si="33"/>
        <v>3.7533999637480915</v>
      </c>
      <c r="Q14" s="20">
        <f t="shared" si="2"/>
        <v>25.23669631396508</v>
      </c>
      <c r="R14" s="59">
        <f t="shared" si="0"/>
        <v>318.57002964729838</v>
      </c>
      <c r="S14" s="59">
        <f ca="1">AVERAGE(OFFSET($R$3,0,0,'Données projet'!$E$9+1,1))-AVERAGE(OFFSET($H$3,0,0,'Données projet'!$E$9+1,1))</f>
        <v>342.91408684769942</v>
      </c>
      <c r="T14" s="59">
        <f t="shared" si="34"/>
        <v>209.92380505963234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14.2</v>
      </c>
      <c r="AI14" s="13">
        <f>IF('Données projet'!$A$62&gt;35,AI13+AH14-AQ13,IF(A14&lt;'Données projet'!$A$62,$AF$205^A14,IF(A14='Données projet'!$A$62,'Données projet'!$B$62,AI13+AH14-AQ13)))</f>
        <v>53.2</v>
      </c>
      <c r="AJ14" s="13">
        <f>AI14*VLOOKUP('Données projet'!$B$10,Paramètres!$A$1:$I$89,3,0)*VLOOKUP('Données projet'!$B$10,Paramètres!$A$1:$I$89,5,0)</f>
        <v>35.68656</v>
      </c>
      <c r="AK14" s="13">
        <f t="shared" si="35"/>
        <v>10.847888324418458</v>
      </c>
      <c r="AL14" s="20">
        <f t="shared" si="4"/>
        <v>81.047497498362148</v>
      </c>
      <c r="AM14" s="59">
        <f t="shared" si="5"/>
        <v>374.38083083169545</v>
      </c>
      <c r="AN14" s="59">
        <f ca="1">AVERAGE(OFFSET($AM$3,0,0,'Données projet'!$E$10+1,1))-AVERAGE(OFFSET($H$3,0,0,'Données projet'!$E$10+1,1))</f>
        <v>296.25231821504275</v>
      </c>
      <c r="AO14" s="59">
        <f t="shared" si="36"/>
        <v>316.20936902390275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4.333333333333333</v>
      </c>
      <c r="BD14" s="12">
        <f>IF('Données projet'!$A$88&gt;35,BD13+BC14-BL13,IF(A14&lt;'Données projet'!$A$88,$BA$205^A14,IF(A14='Données projet'!$A$88,'Données projet'!$B$88,BD13+BC14-BL13)))</f>
        <v>21.353535673010011</v>
      </c>
      <c r="BE14" s="13">
        <f>BD14*VLOOKUP('Données projet'!$B$11,Paramètres!$A$1:$I$89,3,0)*VLOOKUP('Données projet'!$B$11,Paramètres!$A$1:$I$89,5,0)</f>
        <v>16.988872981446764</v>
      </c>
      <c r="BF14" s="13">
        <f t="shared" si="37"/>
        <v>5.6302214668783828</v>
      </c>
      <c r="BG14" s="20">
        <f t="shared" si="7"/>
        <v>39.394922830832961</v>
      </c>
      <c r="BH14" s="59">
        <f t="shared" si="8"/>
        <v>332.72825616416628</v>
      </c>
      <c r="BI14" s="59">
        <f ca="1">AVERAGE(OFFSET($BH$3,0,0,'Données projet'!$E$11+1,1))-AVERAGE(OFFSET($H$3,0,0,'Données projet'!$E$11+1,1))</f>
        <v>244.50301885429764</v>
      </c>
      <c r="BJ14" s="59">
        <f t="shared" si="38"/>
        <v>248.77995374147798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1">
        <f t="shared" si="32"/>
        <v>3.6750262849765409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67">
        <f t="shared" si="1"/>
        <v>317.99224411300077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13.305514453470233</v>
      </c>
      <c r="P15" s="13">
        <f t="shared" si="33"/>
        <v>4.5367667299931158</v>
      </c>
      <c r="Q15" s="20">
        <f t="shared" si="2"/>
        <v>31.075306394532003</v>
      </c>
      <c r="R15" s="59">
        <f t="shared" si="0"/>
        <v>324.40863972786531</v>
      </c>
      <c r="S15" s="59">
        <f ca="1">AVERAGE(OFFSET($R$3,0,0,'Données projet'!$E$9+1,1))-AVERAGE(OFFSET($H$3,0,0,'Données projet'!$E$9+1,1))</f>
        <v>342.91408684769942</v>
      </c>
      <c r="T15" s="59">
        <f t="shared" si="34"/>
        <v>209.92380505963234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14.2</v>
      </c>
      <c r="AI15" s="13">
        <f>IF('Données projet'!$A$62&gt;35,AI14+AH15-AQ14,IF(A15&lt;'Données projet'!$A$62,$AF$205^A15,IF(A15='Données projet'!$A$62,'Données projet'!$B$62,AI14+AH15-AQ14)))</f>
        <v>67.400000000000006</v>
      </c>
      <c r="AJ15" s="13">
        <f>AI15*VLOOKUP('Données projet'!$B$10,Paramètres!$A$1:$I$89,3,0)*VLOOKUP('Données projet'!$B$10,Paramètres!$A$1:$I$89,5,0)</f>
        <v>45.211920000000006</v>
      </c>
      <c r="AK15" s="13">
        <f t="shared" si="35"/>
        <v>13.370066639897313</v>
      </c>
      <c r="AL15" s="20">
        <f t="shared" si="4"/>
        <v>102.03029339782115</v>
      </c>
      <c r="AM15" s="59">
        <f t="shared" si="5"/>
        <v>395.36362673115445</v>
      </c>
      <c r="AN15" s="59">
        <f ca="1">AVERAGE(OFFSET($AM$3,0,0,'Données projet'!$E$10+1,1))-AVERAGE(OFFSET($H$3,0,0,'Données projet'!$E$10+1,1))</f>
        <v>296.25231821504275</v>
      </c>
      <c r="AO15" s="59">
        <f t="shared" si="36"/>
        <v>316.20936902390275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4.333333333333333</v>
      </c>
      <c r="BD15" s="12">
        <f>IF('Données projet'!$A$88&gt;35,BD14+BC15-BL14,IF(A15&lt;'Données projet'!$A$88,$BA$205^A15,IF(A15='Données projet'!$A$88,'Données projet'!$B$88,BD14+BC15-BL14)))</f>
        <v>28.205297528345746</v>
      </c>
      <c r="BE15" s="13">
        <f>BD15*VLOOKUP('Données projet'!$B$11,Paramètres!$A$1:$I$89,3,0)*VLOOKUP('Données projet'!$B$11,Paramètres!$A$1:$I$89,5,0)</f>
        <v>22.440134713551878</v>
      </c>
      <c r="BF15" s="13">
        <f t="shared" si="37"/>
        <v>7.1997623443392129</v>
      </c>
      <c r="BG15" s="20">
        <f t="shared" si="7"/>
        <v>51.622820709160315</v>
      </c>
      <c r="BH15" s="59">
        <f t="shared" si="8"/>
        <v>344.95615404249361</v>
      </c>
      <c r="BI15" s="59">
        <f ca="1">AVERAGE(OFFSET($BH$3,0,0,'Données projet'!$E$11+1,1))-AVERAGE(OFFSET($H$3,0,0,'Données projet'!$E$11+1,1))</f>
        <v>244.50301885429764</v>
      </c>
      <c r="BJ15" s="59">
        <f t="shared" si="38"/>
        <v>248.77995374147798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1">
        <f t="shared" si="32"/>
        <v>3.9443572825295607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67">
        <f t="shared" si="1"/>
        <v>319.98284893373898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16.489132736928447</v>
      </c>
      <c r="P16" s="13">
        <f t="shared" si="33"/>
        <v>5.4836288594779292</v>
      </c>
      <c r="Q16" s="20">
        <f t="shared" si="2"/>
        <v>38.269226447074438</v>
      </c>
      <c r="R16" s="59">
        <f t="shared" si="0"/>
        <v>331.60255978040777</v>
      </c>
      <c r="S16" s="59">
        <f ca="1">AVERAGE(OFFSET($R$3,0,0,'Données projet'!$E$9+1,1))-AVERAGE(OFFSET($H$3,0,0,'Données projet'!$E$9+1,1))</f>
        <v>342.91408684769942</v>
      </c>
      <c r="T16" s="59">
        <f t="shared" si="34"/>
        <v>209.92380505963234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14.2</v>
      </c>
      <c r="AI16" s="13">
        <f>IF('Données projet'!$A$62&gt;35,AI15+AH16-AQ15,IF(A16&lt;'Données projet'!$A$62,$AF$205^A16,IF(A16='Données projet'!$A$62,'Données projet'!$B$62,AI15+AH16-AQ15)))</f>
        <v>81.600000000000009</v>
      </c>
      <c r="AJ16" s="13">
        <f>AI16*VLOOKUP('Données projet'!$B$10,Paramètres!$A$1:$I$89,3,0)*VLOOKUP('Données projet'!$B$10,Paramètres!$A$1:$I$89,5,0)</f>
        <v>54.737280000000005</v>
      </c>
      <c r="AK16" s="13">
        <f t="shared" si="35"/>
        <v>15.830663283585141</v>
      </c>
      <c r="AL16" s="20">
        <f t="shared" si="4"/>
        <v>122.90583455224412</v>
      </c>
      <c r="AM16" s="59">
        <f t="shared" si="5"/>
        <v>416.23916788557744</v>
      </c>
      <c r="AN16" s="59">
        <f ca="1">AVERAGE(OFFSET($AM$3,0,0,'Données projet'!$E$10+1,1))-AVERAGE(OFFSET($H$3,0,0,'Données projet'!$E$10+1,1))</f>
        <v>296.25231821504275</v>
      </c>
      <c r="AO16" s="59">
        <f t="shared" si="36"/>
        <v>316.20936902390275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4.333333333333333</v>
      </c>
      <c r="BD16" s="12">
        <f>IF('Données projet'!$A$88&gt;35,BD15+BC16-BL15,IF(A16&lt;'Données projet'!$A$88,$BA$205^A16,IF(A16='Données projet'!$A$88,'Données projet'!$B$88,BD15+BC16-BL15)))</f>
        <v>37.255601172785397</v>
      </c>
      <c r="BE16" s="13">
        <f>BD16*VLOOKUP('Données projet'!$B$11,Paramètres!$A$1:$I$89,3,0)*VLOOKUP('Données projet'!$B$11,Paramètres!$A$1:$I$89,5,0)</f>
        <v>29.640556293068066</v>
      </c>
      <c r="BF16" s="13">
        <f t="shared" si="37"/>
        <v>9.2068452582035114</v>
      </c>
      <c r="BG16" s="20">
        <f t="shared" si="7"/>
        <v>67.659224368464649</v>
      </c>
      <c r="BH16" s="59">
        <f t="shared" si="8"/>
        <v>360.99255770179798</v>
      </c>
      <c r="BI16" s="59">
        <f ca="1">AVERAGE(OFFSET($BH$3,0,0,'Données projet'!$E$11+1,1))-AVERAGE(OFFSET($H$3,0,0,'Données projet'!$E$11+1,1))</f>
        <v>244.50301885429764</v>
      </c>
      <c r="BJ16" s="59">
        <f t="shared" si="38"/>
        <v>248.77995374147798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1">
        <f t="shared" si="32"/>
        <v>4.2112849955088034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67">
        <f t="shared" si="1"/>
        <v>321.96926803384446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20.434497242993334</v>
      </c>
      <c r="P17" s="13">
        <f t="shared" si="33"/>
        <v>6.6281092368495731</v>
      </c>
      <c r="Q17" s="20">
        <f t="shared" si="2"/>
        <v>47.134039619059727</v>
      </c>
      <c r="R17" s="59">
        <f t="shared" si="0"/>
        <v>340.46737295239302</v>
      </c>
      <c r="S17" s="59">
        <f ca="1">AVERAGE(OFFSET($R$3,0,0,'Données projet'!$E$9+1,1))-AVERAGE(OFFSET($H$3,0,0,'Données projet'!$E$9+1,1))</f>
        <v>342.91408684769942</v>
      </c>
      <c r="T17" s="59">
        <f t="shared" si="34"/>
        <v>209.92380505963234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14.2</v>
      </c>
      <c r="AI17" s="13">
        <f>IF('Données projet'!$A$62&gt;35,AI16+AH17-AQ16,IF(A17&lt;'Données projet'!$A$62,$AF$205^A17,IF(A17='Données projet'!$A$62,'Données projet'!$B$62,AI16+AH17-AQ16)))</f>
        <v>95.800000000000011</v>
      </c>
      <c r="AJ17" s="13">
        <f>AI17*VLOOKUP('Données projet'!$B$10,Paramètres!$A$1:$I$89,3,0)*VLOOKUP('Données projet'!$B$10,Paramètres!$A$1:$I$89,5,0)</f>
        <v>64.262640000000005</v>
      </c>
      <c r="AK17" s="13">
        <f t="shared" si="35"/>
        <v>18.24165556222081</v>
      </c>
      <c r="AL17" s="20">
        <f t="shared" si="4"/>
        <v>143.69498143753458</v>
      </c>
      <c r="AM17" s="59">
        <f t="shared" si="5"/>
        <v>437.02831477086789</v>
      </c>
      <c r="AN17" s="59">
        <f ca="1">AVERAGE(OFFSET($AM$3,0,0,'Données projet'!$E$10+1,1))-AVERAGE(OFFSET($H$3,0,0,'Données projet'!$E$10+1,1))</f>
        <v>296.25231821504275</v>
      </c>
      <c r="AO17" s="59">
        <f t="shared" si="36"/>
        <v>316.20936902390275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4.333333333333333</v>
      </c>
      <c r="BD17" s="12">
        <f>IF('Données projet'!$A$88&gt;35,BD16+BC17-BL16,IF(A17&lt;'Données projet'!$A$88,$BA$205^A17,IF(A17='Données projet'!$A$88,'Données projet'!$B$88,BD16+BC17-BL16)))</f>
        <v>49.209898153024547</v>
      </c>
      <c r="BE17" s="13">
        <f>BD17*VLOOKUP('Données projet'!$B$11,Paramètres!$A$1:$I$89,3,0)*VLOOKUP('Données projet'!$B$11,Paramètres!$A$1:$I$89,5,0)</f>
        <v>39.151394970546335</v>
      </c>
      <c r="BF17" s="13">
        <f t="shared" si="37"/>
        <v>11.773444115853561</v>
      </c>
      <c r="BG17" s="20">
        <f t="shared" si="7"/>
        <v>88.69409474214649</v>
      </c>
      <c r="BH17" s="59">
        <f t="shared" si="8"/>
        <v>382.0274280754798</v>
      </c>
      <c r="BI17" s="59">
        <f ca="1">AVERAGE(OFFSET($BH$3,0,0,'Données projet'!$E$11+1,1))-AVERAGE(OFFSET($H$3,0,0,'Données projet'!$E$11+1,1))</f>
        <v>244.50301885429764</v>
      </c>
      <c r="BJ17" s="59">
        <f t="shared" si="38"/>
        <v>248.77995374147798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1">
        <f t="shared" si="32"/>
        <v>4.4760006109979766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67">
        <f t="shared" si="1"/>
        <v>323.95183439748814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25.323871439201337</v>
      </c>
      <c r="P18" s="13">
        <f t="shared" si="33"/>
        <v>8.0114524854610902</v>
      </c>
      <c r="Q18" s="20">
        <f t="shared" si="2"/>
        <v>58.059022502120392</v>
      </c>
      <c r="R18" s="59">
        <f t="shared" si="0"/>
        <v>351.39235583545371</v>
      </c>
      <c r="S18" s="59">
        <f ca="1">AVERAGE(OFFSET($R$3,0,0,'Données projet'!$E$9+1,1))-AVERAGE(OFFSET($H$3,0,0,'Données projet'!$E$9+1,1))</f>
        <v>342.91408684769942</v>
      </c>
      <c r="T18" s="59">
        <f t="shared" si="34"/>
        <v>209.92380505963234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110</v>
      </c>
      <c r="AG18" s="12">
        <f>VLOOKUP(A18,'Données projet'!$A$61:$I$81,9,0)</f>
        <v>14.2</v>
      </c>
      <c r="AH18" s="12">
        <f t="array" ref="AH18">INDEX(AG:AG,MIN(IF(ISNUMBER(AG18:AG214),ROW(AG18:AG214),"")))</f>
        <v>14.2</v>
      </c>
      <c r="AI18" s="13">
        <f>IF('Données projet'!$A$62&gt;35,AI17+AH18-AQ17,IF(A18&lt;'Données projet'!$A$62,$AF$205^A18,IF(A18='Données projet'!$A$62,'Données projet'!$B$62,AI17+AH18-AQ17)))</f>
        <v>110.00000000000001</v>
      </c>
      <c r="AJ18" s="13">
        <f>AI18*VLOOKUP('Données projet'!$B$10,Paramètres!$A$1:$I$89,3,0)*VLOOKUP('Données projet'!$B$10,Paramètres!$A$1:$I$89,5,0)</f>
        <v>73.788000000000011</v>
      </c>
      <c r="AK18" s="13">
        <f t="shared" si="35"/>
        <v>20.611246816293939</v>
      </c>
      <c r="AL18" s="20">
        <f t="shared" si="4"/>
        <v>164.41202153837864</v>
      </c>
      <c r="AM18" s="59">
        <f t="shared" si="5"/>
        <v>457.74535487171192</v>
      </c>
      <c r="AN18" s="59">
        <f ca="1">AVERAGE(OFFSET($AM$3,0,0,'Données projet'!$E$10+1,1))-AVERAGE(OFFSET($H$3,0,0,'Données projet'!$E$10+1,1))</f>
        <v>296.25231821504275</v>
      </c>
      <c r="AO18" s="59">
        <f t="shared" si="36"/>
        <v>316.20936902390275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22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4.333333333333333</v>
      </c>
      <c r="BC18" s="12">
        <f t="array" ref="BC18">INDEX(BB:BB,MIN(IF(ISNUMBER(BB18:BB214),ROW(BB18:BB214),"")))</f>
        <v>4.333333333333333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51.713999999999999</v>
      </c>
      <c r="BF18" s="13">
        <f t="shared" si="37"/>
        <v>15.055535578337075</v>
      </c>
      <c r="BG18" s="20">
        <f t="shared" si="7"/>
        <v>116.29027446560372</v>
      </c>
      <c r="BH18" s="59">
        <f t="shared" si="8"/>
        <v>409.62360779893703</v>
      </c>
      <c r="BI18" s="59">
        <f ca="1">AVERAGE(OFFSET($BH$3,0,0,'Données projet'!$E$11+1,1))-AVERAGE(OFFSET($H$3,0,0,'Données projet'!$E$11+1,1))</f>
        <v>244.50301885429764</v>
      </c>
      <c r="BJ18" s="59">
        <f t="shared" si="38"/>
        <v>248.77995374147798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1">
        <f t="shared" si="32"/>
        <v>4.7386683822915021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67">
        <f t="shared" si="1"/>
        <v>325.93083409915766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31.383129080363769</v>
      </c>
      <c r="P19" s="13">
        <f t="shared" si="33"/>
        <v>9.6835113353243223</v>
      </c>
      <c r="Q19" s="20">
        <f t="shared" si="2"/>
        <v>71.524398723990075</v>
      </c>
      <c r="R19" s="59">
        <f t="shared" si="0"/>
        <v>364.8577320573234</v>
      </c>
      <c r="S19" s="59">
        <f ca="1">AVERAGE(OFFSET($R$3,0,0,'Données projet'!$E$9+1,1))-AVERAGE(OFFSET($H$3,0,0,'Données projet'!$E$9+1,1))</f>
        <v>342.91408684769942</v>
      </c>
      <c r="T19" s="59">
        <f t="shared" si="34"/>
        <v>209.92380505963234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15.6</v>
      </c>
      <c r="AI19" s="13">
        <f>IF('Données projet'!$A$62&gt;35,AI18+AH19-AQ18,IF(A19&lt;'Données projet'!$A$62,$AF$205^A19,IF(A19='Données projet'!$A$62,'Données projet'!$B$62,AI18+AH19-AQ18)))</f>
        <v>103.60000000000001</v>
      </c>
      <c r="AJ19" s="13">
        <f>AI19*VLOOKUP('Données projet'!$B$10,Paramètres!$A$1:$I$89,3,0)*VLOOKUP('Données projet'!$B$10,Paramètres!$A$1:$I$89,5,0)</f>
        <v>69.494880000000009</v>
      </c>
      <c r="AK19" s="13">
        <f t="shared" si="35"/>
        <v>19.547965649896895</v>
      </c>
      <c r="AL19" s="20">
        <f t="shared" si="4"/>
        <v>155.08295617357044</v>
      </c>
      <c r="AM19" s="59">
        <f t="shared" si="5"/>
        <v>448.41628950690375</v>
      </c>
      <c r="AN19" s="59">
        <f ca="1">AVERAGE(OFFSET($AM$3,0,0,'Données projet'!$E$10+1,1))-AVERAGE(OFFSET($H$3,0,0,'Données projet'!$E$10+1,1))</f>
        <v>296.25231821504275</v>
      </c>
      <c r="AO19" s="59">
        <f t="shared" si="36"/>
        <v>316.20936902390275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37.234079999999999</v>
      </c>
      <c r="BF19" s="13">
        <f t="shared" si="37"/>
        <v>11.262510356679771</v>
      </c>
      <c r="BG19" s="20">
        <f t="shared" si="7"/>
        <v>84.464894871217254</v>
      </c>
      <c r="BH19" s="59">
        <f t="shared" si="8"/>
        <v>377.79822820455058</v>
      </c>
      <c r="BI19" s="59">
        <f ca="1">AVERAGE(OFFSET($BH$3,0,0,'Données projet'!$E$11+1,1))-AVERAGE(OFFSET($H$3,0,0,'Données projet'!$E$11+1,1))</f>
        <v>244.50301885429764</v>
      </c>
      <c r="BJ19" s="59">
        <f t="shared" si="38"/>
        <v>248.77995374147798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1">
        <f t="shared" si="32"/>
        <v>4.9994308705687178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67">
        <f t="shared" si="1"/>
        <v>327.90651543290716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38.892188867700071</v>
      </c>
      <c r="P20" s="13">
        <f t="shared" si="33"/>
        <v>11.704543208803392</v>
      </c>
      <c r="Q20" s="20">
        <f t="shared" si="2"/>
        <v>88.122641699910204</v>
      </c>
      <c r="R20" s="59">
        <f t="shared" si="0"/>
        <v>381.45597503324353</v>
      </c>
      <c r="S20" s="59">
        <f ca="1">AVERAGE(OFFSET($R$3,0,0,'Données projet'!$E$9+1,1))-AVERAGE(OFFSET($H$3,0,0,'Données projet'!$E$9+1,1))</f>
        <v>342.91408684769942</v>
      </c>
      <c r="T20" s="59">
        <f t="shared" si="34"/>
        <v>209.92380505963234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15.6</v>
      </c>
      <c r="AI20" s="13">
        <f>IF('Données projet'!$A$62&gt;35,AI19+AH20-AQ19,IF(A20&lt;'Données projet'!$A$62,$AF$205^A20,IF(A20='Données projet'!$A$62,'Données projet'!$B$62,AI19+AH20-AQ19)))</f>
        <v>119.2</v>
      </c>
      <c r="AJ20" s="13">
        <f>AI20*VLOOKUP('Données projet'!$B$10,Paramètres!$A$1:$I$89,3,0)*VLOOKUP('Données projet'!$B$10,Paramètres!$A$1:$I$89,5,0)</f>
        <v>79.959360000000004</v>
      </c>
      <c r="AK20" s="13">
        <f t="shared" si="35"/>
        <v>22.127247143546331</v>
      </c>
      <c r="AL20" s="20">
        <f t="shared" si="4"/>
        <v>177.80084077500987</v>
      </c>
      <c r="AM20" s="59">
        <f t="shared" si="5"/>
        <v>471.13417410834319</v>
      </c>
      <c r="AN20" s="59">
        <f ca="1">AVERAGE(OFFSET($AM$3,0,0,'Données projet'!$E$10+1,1))-AVERAGE(OFFSET($H$3,0,0,'Données projet'!$E$10+1,1))</f>
        <v>296.25231821504275</v>
      </c>
      <c r="AO20" s="59">
        <f t="shared" si="36"/>
        <v>316.20936902390275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48.213360000000002</v>
      </c>
      <c r="BF20" s="13">
        <f t="shared" si="37"/>
        <v>14.151379520104694</v>
      </c>
      <c r="BG20" s="20">
        <f t="shared" si="7"/>
        <v>108.61858799751566</v>
      </c>
      <c r="BH20" s="59">
        <f t="shared" si="8"/>
        <v>401.95192133084896</v>
      </c>
      <c r="BI20" s="59">
        <f ca="1">AVERAGE(OFFSET($BH$3,0,0,'Données projet'!$E$11+1,1))-AVERAGE(OFFSET($H$3,0,0,'Données projet'!$E$11+1,1))</f>
        <v>244.50301885429764</v>
      </c>
      <c r="BJ20" s="59">
        <f t="shared" si="38"/>
        <v>248.77995374147798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1">
        <f t="shared" si="32"/>
        <v>5.2584129176484726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67">
        <f t="shared" si="1"/>
        <v>329.87909583157108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48.197945815010499</v>
      </c>
      <c r="P21" s="13">
        <f t="shared" si="33"/>
        <v>14.147381769152156</v>
      </c>
      <c r="Q21" s="20">
        <f t="shared" si="2"/>
        <v>108.58477887574996</v>
      </c>
      <c r="R21" s="59">
        <f t="shared" si="0"/>
        <v>401.91811220908329</v>
      </c>
      <c r="S21" s="59">
        <f ca="1">AVERAGE(OFFSET($R$3,0,0,'Données projet'!$E$9+1,1))-AVERAGE(OFFSET($H$3,0,0,'Données projet'!$E$9+1,1))</f>
        <v>342.91408684769942</v>
      </c>
      <c r="T21" s="59">
        <f t="shared" si="34"/>
        <v>209.92380505963234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15.6</v>
      </c>
      <c r="AI21" s="13">
        <f>IF('Données projet'!$A$62&gt;35,AI20+AH21-AQ20,IF(A21&lt;'Données projet'!$A$62,$AF$205^A21,IF(A21='Données projet'!$A$62,'Données projet'!$B$62,AI20+AH21-AQ20)))</f>
        <v>134.80000000000001</v>
      </c>
      <c r="AJ21" s="13">
        <f>AI21*VLOOKUP('Données projet'!$B$10,Paramètres!$A$1:$I$89,3,0)*VLOOKUP('Données projet'!$B$10,Paramètres!$A$1:$I$89,5,0)</f>
        <v>90.423840000000013</v>
      </c>
      <c r="AK21" s="13">
        <f t="shared" si="35"/>
        <v>24.667417028056185</v>
      </c>
      <c r="AL21" s="20">
        <f t="shared" si="4"/>
        <v>200.45060599053122</v>
      </c>
      <c r="AM21" s="59">
        <f t="shared" si="5"/>
        <v>493.7839393238645</v>
      </c>
      <c r="AN21" s="59">
        <f ca="1">AVERAGE(OFFSET($AM$3,0,0,'Données projet'!$E$10+1,1))-AVERAGE(OFFSET($H$3,0,0,'Données projet'!$E$10+1,1))</f>
        <v>296.25231821504275</v>
      </c>
      <c r="AO21" s="59">
        <f t="shared" si="36"/>
        <v>316.20936902390275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59.192639999999997</v>
      </c>
      <c r="BF21" s="13">
        <f t="shared" si="37"/>
        <v>16.963982408330725</v>
      </c>
      <c r="BG21" s="20">
        <f t="shared" si="7"/>
        <v>132.63945069450935</v>
      </c>
      <c r="BH21" s="59">
        <f t="shared" si="8"/>
        <v>425.97278402784264</v>
      </c>
      <c r="BI21" s="59">
        <f ca="1">AVERAGE(OFFSET($BH$3,0,0,'Données projet'!$E$11+1,1))-AVERAGE(OFFSET($H$3,0,0,'Données projet'!$E$11+1,1))</f>
        <v>244.50301885429764</v>
      </c>
      <c r="BJ21" s="59">
        <f t="shared" si="38"/>
        <v>248.77995374147798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1">
        <f t="shared" si="32"/>
        <v>5.5157247105992537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67">
        <f t="shared" si="1"/>
        <v>331.84876720429367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59.730296710452635</v>
      </c>
      <c r="P22" s="13">
        <f t="shared" si="33"/>
        <v>17.100061689857345</v>
      </c>
      <c r="Q22" s="20">
        <f t="shared" si="2"/>
        <v>133.81287421387319</v>
      </c>
      <c r="R22" s="59">
        <f t="shared" si="0"/>
        <v>427.14620754720647</v>
      </c>
      <c r="S22" s="59">
        <f ca="1">AVERAGE(OFFSET($R$3,0,0,'Données projet'!$E$9+1,1))-AVERAGE(OFFSET($H$3,0,0,'Données projet'!$E$9+1,1))</f>
        <v>342.91408684769942</v>
      </c>
      <c r="T22" s="59">
        <f t="shared" si="34"/>
        <v>209.92380505963234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15.6</v>
      </c>
      <c r="AI22" s="13">
        <f>IF('Données projet'!$A$62&gt;35,AI21+AH22-AQ21,IF(A22&lt;'Données projet'!$A$62,$AF$205^A22,IF(A22='Données projet'!$A$62,'Données projet'!$B$62,AI21+AH22-AQ21)))</f>
        <v>150.4</v>
      </c>
      <c r="AJ22" s="13">
        <f>AI22*VLOOKUP('Données projet'!$B$10,Paramètres!$A$1:$I$89,3,0)*VLOOKUP('Données projet'!$B$10,Paramètres!$A$1:$I$89,5,0)</f>
        <v>100.88831999999999</v>
      </c>
      <c r="AK22" s="13">
        <f t="shared" si="35"/>
        <v>27.173518485539002</v>
      </c>
      <c r="AL22" s="20">
        <f t="shared" si="4"/>
        <v>223.04103536231375</v>
      </c>
      <c r="AM22" s="59">
        <f t="shared" si="5"/>
        <v>516.37436869564704</v>
      </c>
      <c r="AN22" s="59">
        <f ca="1">AVERAGE(OFFSET($AM$3,0,0,'Données projet'!$E$10+1,1))-AVERAGE(OFFSET($H$3,0,0,'Données projet'!$E$10+1,1))</f>
        <v>296.25231821504275</v>
      </c>
      <c r="AO22" s="59">
        <f t="shared" si="36"/>
        <v>316.20936902390275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70.171919999999986</v>
      </c>
      <c r="BF22" s="13">
        <f t="shared" si="37"/>
        <v>19.716145269554726</v>
      </c>
      <c r="BG22" s="20">
        <f t="shared" si="7"/>
        <v>156.55504701114111</v>
      </c>
      <c r="BH22" s="59">
        <f t="shared" si="8"/>
        <v>449.8883803444744</v>
      </c>
      <c r="BI22" s="59">
        <f ca="1">AVERAGE(OFFSET($BH$3,0,0,'Données projet'!$E$11+1,1))-AVERAGE(OFFSET($H$3,0,0,'Données projet'!$E$11+1,1))</f>
        <v>244.50301885429764</v>
      </c>
      <c r="BJ22" s="59">
        <f t="shared" si="38"/>
        <v>248.77995374147798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1">
        <f t="shared" si="32"/>
        <v>5.7714641827626956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67">
        <f t="shared" si="1"/>
        <v>333.81570011831167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74.022000000000006</v>
      </c>
      <c r="P23" s="13">
        <f t="shared" si="33"/>
        <v>20.668991235856851</v>
      </c>
      <c r="Q23" s="20">
        <f t="shared" si="2"/>
        <v>164.92014306911736</v>
      </c>
      <c r="R23" s="59">
        <f t="shared" si="0"/>
        <v>458.2534764024507</v>
      </c>
      <c r="S23" s="59">
        <f ca="1">AVERAGE(OFFSET($R$3,0,0,'Données projet'!$E$9+1,1))-AVERAGE(OFFSET($H$3,0,0,'Données projet'!$E$9+1,1))</f>
        <v>342.91408684769942</v>
      </c>
      <c r="T23" s="59">
        <f t="shared" si="34"/>
        <v>209.92380505963234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166</v>
      </c>
      <c r="AG23" s="12">
        <f>VLOOKUP(A23,'Données projet'!$A$61:$I$81,9,0)</f>
        <v>15.6</v>
      </c>
      <c r="AH23" s="12">
        <f t="array" ref="AH23">INDEX(AG:AG,MIN(IF(ISNUMBER(AG23:AG219),ROW(AG23:AG219),"")))</f>
        <v>15.6</v>
      </c>
      <c r="AI23" s="13">
        <f>IF('Données projet'!$A$62&gt;35,AI22+AH23-AQ22,IF(A23&lt;'Données projet'!$A$62,$AF$205^A23,IF(A23='Données projet'!$A$62,'Données projet'!$B$62,AI22+AH23-AQ22)))</f>
        <v>166</v>
      </c>
      <c r="AJ23" s="13">
        <f>AI23*VLOOKUP('Données projet'!$B$10,Paramètres!$A$1:$I$89,3,0)*VLOOKUP('Données projet'!$B$10,Paramètres!$A$1:$I$89,5,0)</f>
        <v>111.3528</v>
      </c>
      <c r="AK23" s="13">
        <f t="shared" si="35"/>
        <v>29.649487708834101</v>
      </c>
      <c r="AL23" s="20">
        <f t="shared" si="4"/>
        <v>245.57898442621942</v>
      </c>
      <c r="AM23" s="59">
        <f t="shared" si="5"/>
        <v>538.91231775955271</v>
      </c>
      <c r="AN23" s="59">
        <f ca="1">AVERAGE(OFFSET($AM$3,0,0,'Données projet'!$E$10+1,1))-AVERAGE(OFFSET($H$3,0,0,'Données projet'!$E$10+1,1))</f>
        <v>296.25231821504275</v>
      </c>
      <c r="AO23" s="59">
        <f t="shared" si="36"/>
        <v>316.20936902390275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27</v>
      </c>
      <c r="AR23" s="16">
        <f>IF(ISNA(VLOOKUP(A23,'Données projet'!$A$61:$I$81,5,0)),0%,VLOOKUP(A23,'Données projet'!$A$61:$I$81,5,0)*VLOOKUP('Données projet'!$B$10,Paramètres!$A$1:$I$89,7,0))</f>
        <v>0.21200000000000002</v>
      </c>
      <c r="AS23" s="16">
        <f>IF(ISNA(VLOOKUP(A23,'Données projet'!$A$61:$I$81,6,0)),0%,VLOOKUP(A23,'Données projet'!$A$61:$I$81,6,0)*VLOOKUP('Données projet'!$B$10,Paramètres!$A$1:$I$89,7,0))</f>
        <v>4.24E-2</v>
      </c>
      <c r="AT23" s="16">
        <f>IF(ISNA(VLOOKUP(A23,'Données projet'!$A$61:$I$81,7,0)),0%,VLOOKUP(A23,'Données projet'!$A$61:$I$81,7,0))</f>
        <v>0.12</v>
      </c>
      <c r="AU23" s="21">
        <f>EXP(-LN(2)/35)*AU22+(1-EXP(-LN(2)/35))/(LN(2)/35)*AQ23*AR23*VLOOKUP('Données projet'!$B$10,Paramètres!$A$1:$I$89,3,0)*0.475*44/12</f>
        <v>4.2446295131011835</v>
      </c>
      <c r="AV23" s="21">
        <f>EXP(-LN(2)/25)*AV22+(1-EXP(-LN(2)/25))/(LN(2)/25)*Calculateur!AQ23*Calculateur!AS23*VLOOKUP('Données projet'!$B$10,Paramètres!$A$1:$I$89,3,0)*0.475*44/12</f>
        <v>0.84558335787549266</v>
      </c>
      <c r="AW23" s="21">
        <f>EXP(-LN(2)/2)*AW22+(1-EXP(-LN(2)/2))/(LN(2)/2)*AQ23*AT23*VLOOKUP('Données projet'!$B$10,Paramètres!$A$1:$I$89,3,0)*0.475*44/12</f>
        <v>2.0506538479880341</v>
      </c>
      <c r="AX23" s="21">
        <f t="shared" si="6"/>
        <v>7.1408667189647099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81.151200000000003</v>
      </c>
      <c r="BF23" s="13">
        <f t="shared" si="37"/>
        <v>22.418424032002342</v>
      </c>
      <c r="BG23" s="20">
        <f t="shared" si="7"/>
        <v>180.38376185573739</v>
      </c>
      <c r="BH23" s="59">
        <f t="shared" si="8"/>
        <v>473.71709518907073</v>
      </c>
      <c r="BI23" s="59">
        <f ca="1">AVERAGE(OFFSET($BH$3,0,0,'Données projet'!$E$11+1,1))-AVERAGE(OFFSET($H$3,0,0,'Données projet'!$E$11+1,1))</f>
        <v>244.50301885429764</v>
      </c>
      <c r="BJ23" s="59">
        <f t="shared" si="38"/>
        <v>248.77995374147798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1">
        <f t="shared" si="32"/>
        <v>6.0257189209257707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67">
        <f t="shared" si="1"/>
        <v>335.78004712061238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75.238800000000012</v>
      </c>
      <c r="P24" s="13">
        <f t="shared" si="33"/>
        <v>20.96892143970209</v>
      </c>
      <c r="Q24" s="20">
        <f t="shared" si="2"/>
        <v>167.56178150748116</v>
      </c>
      <c r="R24" s="59">
        <f t="shared" si="0"/>
        <v>460.89511484081447</v>
      </c>
      <c r="S24" s="59">
        <f ca="1">AVERAGE(OFFSET($R$3,0,0,'Données projet'!$E$9+1,1))-AVERAGE(OFFSET($H$3,0,0,'Données projet'!$E$9+1,1))</f>
        <v>342.91408684769942</v>
      </c>
      <c r="T24" s="59">
        <f t="shared" si="34"/>
        <v>209.92380505963234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15.2</v>
      </c>
      <c r="AI24" s="13">
        <f>IF('Données projet'!$A$62&gt;35,AI23+AH24-AQ23,IF(A24&lt;'Données projet'!$A$62,$AF$205^A24,IF(A24='Données projet'!$A$62,'Données projet'!$B$62,AI23+AH24-AQ23)))</f>
        <v>154.19999999999999</v>
      </c>
      <c r="AJ24" s="13">
        <f>AI24*VLOOKUP('Données projet'!$B$10,Paramètres!$A$1:$I$89,3,0)*VLOOKUP('Données projet'!$B$10,Paramètres!$A$1:$I$89,5,0)</f>
        <v>103.43736</v>
      </c>
      <c r="AK24" s="13">
        <f t="shared" si="35"/>
        <v>27.779283498644919</v>
      </c>
      <c r="AL24" s="20">
        <f t="shared" si="4"/>
        <v>228.5356540934732</v>
      </c>
      <c r="AM24" s="59">
        <f t="shared" si="5"/>
        <v>521.86898742680648</v>
      </c>
      <c r="AN24" s="59">
        <f ca="1">AVERAGE(OFFSET($AM$3,0,0,'Données projet'!$E$10+1,1))-AVERAGE(OFFSET($H$3,0,0,'Données projet'!$E$10+1,1))</f>
        <v>296.25231821504275</v>
      </c>
      <c r="AO24" s="59">
        <f t="shared" si="36"/>
        <v>316.20936902390275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4.161394917317633</v>
      </c>
      <c r="AV24" s="21">
        <f>EXP(-LN(2)/25)*AV23+(1-EXP(-LN(2)/25))/(LN(2)/25)*Calculateur!AQ24*Calculateur!AS24*VLOOKUP('Données projet'!$B$10,Paramètres!$A$1:$I$89,3,0)*0.475*44/12</f>
        <v>0.82246083648709112</v>
      </c>
      <c r="AW24" s="21">
        <f>EXP(-LN(2)/2)*AW23+(1-EXP(-LN(2)/2))/(LN(2)/2)*AQ24*AT24*VLOOKUP('Données projet'!$B$10,Paramètres!$A$1:$I$89,3,0)*0.475*44/12</f>
        <v>1.4500312417786265</v>
      </c>
      <c r="AX24" s="21">
        <f t="shared" si="6"/>
        <v>6.4338869955833502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65.080079999999981</v>
      </c>
      <c r="BF24" s="13">
        <f t="shared" si="37"/>
        <v>18.44653442602603</v>
      </c>
      <c r="BG24" s="20">
        <f t="shared" si="7"/>
        <v>145.47552012532864</v>
      </c>
      <c r="BH24" s="59">
        <f t="shared" si="8"/>
        <v>438.80885345866193</v>
      </c>
      <c r="BI24" s="59">
        <f ca="1">AVERAGE(OFFSET($BH$3,0,0,'Données projet'!$E$11+1,1))-AVERAGE(OFFSET($H$3,0,0,'Données projet'!$E$11+1,1))</f>
        <v>244.50301885429764</v>
      </c>
      <c r="BJ24" s="59">
        <f t="shared" si="38"/>
        <v>248.77995374147798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1">
        <f t="shared" si="32"/>
        <v>6.2785676989293835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67">
        <f t="shared" si="1"/>
        <v>337.74194540896866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82.539600000000007</v>
      </c>
      <c r="P25" s="13">
        <f t="shared" si="33"/>
        <v>22.756995627482848</v>
      </c>
      <c r="Q25" s="20">
        <f t="shared" si="2"/>
        <v>183.39157071786599</v>
      </c>
      <c r="R25" s="59">
        <f t="shared" si="0"/>
        <v>476.7249040511993</v>
      </c>
      <c r="S25" s="59">
        <f ca="1">AVERAGE(OFFSET($R$3,0,0,'Données projet'!$E$9+1,1))-AVERAGE(OFFSET($H$3,0,0,'Données projet'!$E$9+1,1))</f>
        <v>342.91408684769942</v>
      </c>
      <c r="T25" s="59">
        <f t="shared" si="34"/>
        <v>209.92380505963234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15.2</v>
      </c>
      <c r="AI25" s="13">
        <f>IF('Données projet'!$A$62&gt;35,AI24+AH25-AQ24,IF(A25&lt;'Données projet'!$A$62,$AF$205^A25,IF(A25='Données projet'!$A$62,'Données projet'!$B$62,AI24+AH25-AQ24)))</f>
        <v>169.39999999999998</v>
      </c>
      <c r="AJ25" s="13">
        <f>AI25*VLOOKUP('Données projet'!$B$10,Paramètres!$A$1:$I$89,3,0)*VLOOKUP('Données projet'!$B$10,Paramètres!$A$1:$I$89,5,0)</f>
        <v>113.63351999999998</v>
      </c>
      <c r="AK25" s="13">
        <f t="shared" si="35"/>
        <v>30.185444316622615</v>
      </c>
      <c r="AL25" s="20">
        <f t="shared" si="4"/>
        <v>250.48469618478433</v>
      </c>
      <c r="AM25" s="59">
        <f t="shared" si="5"/>
        <v>543.81802951811767</v>
      </c>
      <c r="AN25" s="59">
        <f ca="1">AVERAGE(OFFSET($AM$3,0,0,'Données projet'!$E$10+1,1))-AVERAGE(OFFSET($H$3,0,0,'Données projet'!$E$10+1,1))</f>
        <v>296.25231821504275</v>
      </c>
      <c r="AO25" s="59">
        <f t="shared" si="36"/>
        <v>316.20936902390275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4.0797925011893073</v>
      </c>
      <c r="AV25" s="21">
        <f>EXP(-LN(2)/25)*AV24+(1-EXP(-LN(2)/25))/(LN(2)/25)*Calculateur!AQ25*Calculateur!AS25*VLOOKUP('Données projet'!$B$10,Paramètres!$A$1:$I$89,3,0)*0.475*44/12</f>
        <v>0.79997060166201595</v>
      </c>
      <c r="AW25" s="21">
        <f>EXP(-LN(2)/2)*AW24+(1-EXP(-LN(2)/2))/(LN(2)/2)*AQ25*AT25*VLOOKUP('Données projet'!$B$10,Paramètres!$A$1:$I$89,3,0)*0.475*44/12</f>
        <v>1.025326923994017</v>
      </c>
      <c r="AX25" s="21">
        <f t="shared" si="6"/>
        <v>5.9050900268453406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76.854959999999991</v>
      </c>
      <c r="BF25" s="13">
        <f t="shared" si="37"/>
        <v>21.366419773799993</v>
      </c>
      <c r="BG25" s="20">
        <f t="shared" si="7"/>
        <v>171.06890310603498</v>
      </c>
      <c r="BH25" s="59">
        <f t="shared" si="8"/>
        <v>464.40223643936827</v>
      </c>
      <c r="BI25" s="59">
        <f ca="1">AVERAGE(OFFSET($BH$3,0,0,'Données projet'!$E$11+1,1))-AVERAGE(OFFSET($H$3,0,0,'Données projet'!$E$11+1,1))</f>
        <v>244.50301885429764</v>
      </c>
      <c r="BJ25" s="59">
        <f t="shared" si="38"/>
        <v>248.77995374147798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1">
        <f t="shared" si="32"/>
        <v>6.5300817245569407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67">
        <f t="shared" si="1"/>
        <v>339.70151900360332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89.840400000000017</v>
      </c>
      <c r="P26" s="13">
        <f t="shared" si="33"/>
        <v>24.526729341796202</v>
      </c>
      <c r="Q26" s="20">
        <f t="shared" si="2"/>
        <v>199.18941693696172</v>
      </c>
      <c r="R26" s="59">
        <f t="shared" si="0"/>
        <v>492.52275027029503</v>
      </c>
      <c r="S26" s="59">
        <f ca="1">AVERAGE(OFFSET($R$3,0,0,'Données projet'!$E$9+1,1))-AVERAGE(OFFSET($H$3,0,0,'Données projet'!$E$9+1,1))</f>
        <v>342.91408684769942</v>
      </c>
      <c r="T26" s="59">
        <f t="shared" si="34"/>
        <v>209.92380505963234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15.2</v>
      </c>
      <c r="AI26" s="13">
        <f>IF('Données projet'!$A$62&gt;35,AI25+AH26-AQ25,IF(A26&lt;'Données projet'!$A$62,$AF$205^A26,IF(A26='Données projet'!$A$62,'Données projet'!$B$62,AI25+AH26-AQ25)))</f>
        <v>184.59999999999997</v>
      </c>
      <c r="AJ26" s="13">
        <f>AI26*VLOOKUP('Données projet'!$B$10,Paramètres!$A$1:$I$89,3,0)*VLOOKUP('Données projet'!$B$10,Paramètres!$A$1:$I$89,5,0)</f>
        <v>123.82967999999998</v>
      </c>
      <c r="AK26" s="13">
        <f t="shared" si="35"/>
        <v>32.566569597096496</v>
      </c>
      <c r="AL26" s="20">
        <f t="shared" si="4"/>
        <v>272.39013471494303</v>
      </c>
      <c r="AM26" s="59">
        <f t="shared" si="5"/>
        <v>565.72346804827635</v>
      </c>
      <c r="AN26" s="59">
        <f ca="1">AVERAGE(OFFSET($AM$3,0,0,'Données projet'!$E$10+1,1))-AVERAGE(OFFSET($H$3,0,0,'Données projet'!$E$10+1,1))</f>
        <v>296.25231821504275</v>
      </c>
      <c r="AO26" s="59">
        <f t="shared" si="36"/>
        <v>316.20936902390275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3.9997902586686989</v>
      </c>
      <c r="AV26" s="21">
        <f>EXP(-LN(2)/25)*AV25+(1-EXP(-LN(2)/25))/(LN(2)/25)*Calculateur!AQ26*Calculateur!AS26*VLOOKUP('Données projet'!$B$10,Paramètres!$A$1:$I$89,3,0)*0.475*44/12</f>
        <v>0.77809536349094255</v>
      </c>
      <c r="AW26" s="21">
        <f>EXP(-LN(2)/2)*AW25+(1-EXP(-LN(2)/2))/(LN(2)/2)*AQ26*AT26*VLOOKUP('Données projet'!$B$10,Paramètres!$A$1:$I$89,3,0)*0.475*44/12</f>
        <v>0.72501562088931326</v>
      </c>
      <c r="AX26" s="21">
        <f t="shared" si="6"/>
        <v>5.5029012430489548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88.629839999999987</v>
      </c>
      <c r="BF26" s="13">
        <f t="shared" si="37"/>
        <v>24.23448093253452</v>
      </c>
      <c r="BG26" s="20">
        <f t="shared" si="7"/>
        <v>196.57202562416424</v>
      </c>
      <c r="BH26" s="59">
        <f t="shared" si="8"/>
        <v>489.90535895749758</v>
      </c>
      <c r="BI26" s="59">
        <f ca="1">AVERAGE(OFFSET($BH$3,0,0,'Données projet'!$E$11+1,1))-AVERAGE(OFFSET($H$3,0,0,'Données projet'!$E$11+1,1))</f>
        <v>244.50301885429764</v>
      </c>
      <c r="BJ26" s="59">
        <f t="shared" si="38"/>
        <v>248.77995374147798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1">
        <f t="shared" si="32"/>
        <v>6.7803256634538833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67">
        <f t="shared" si="1"/>
        <v>341.65888053051549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97.141200000000026</v>
      </c>
      <c r="P27" s="13">
        <f t="shared" si="33"/>
        <v>26.279782450761708</v>
      </c>
      <c r="Q27" s="20">
        <f t="shared" si="2"/>
        <v>214.95821110174333</v>
      </c>
      <c r="R27" s="59">
        <f t="shared" si="0"/>
        <v>508.29154443507662</v>
      </c>
      <c r="S27" s="59">
        <f ca="1">AVERAGE(OFFSET($R$3,0,0,'Données projet'!$E$9+1,1))-AVERAGE(OFFSET($H$3,0,0,'Données projet'!$E$9+1,1))</f>
        <v>342.91408684769942</v>
      </c>
      <c r="T27" s="59">
        <f t="shared" si="34"/>
        <v>209.92380505963234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15.2</v>
      </c>
      <c r="AI27" s="13">
        <f>IF('Données projet'!$A$62&gt;35,AI26+AH27-AQ26,IF(A27&lt;'Données projet'!$A$62,$AF$205^A27,IF(A27='Données projet'!$A$62,'Données projet'!$B$62,AI26+AH27-AQ26)))</f>
        <v>199.79999999999995</v>
      </c>
      <c r="AJ27" s="13">
        <f>AI27*VLOOKUP('Données projet'!$B$10,Paramètres!$A$1:$I$89,3,0)*VLOOKUP('Données projet'!$B$10,Paramètres!$A$1:$I$89,5,0)</f>
        <v>134.02583999999996</v>
      </c>
      <c r="AK27" s="13">
        <f t="shared" si="35"/>
        <v>34.924955135319095</v>
      </c>
      <c r="AL27" s="20">
        <f t="shared" si="4"/>
        <v>294.25596819401397</v>
      </c>
      <c r="AM27" s="59">
        <f t="shared" si="5"/>
        <v>587.58930152734729</v>
      </c>
      <c r="AN27" s="59">
        <f ca="1">AVERAGE(OFFSET($AM$3,0,0,'Données projet'!$E$10+1,1))-AVERAGE(OFFSET($H$3,0,0,'Données projet'!$E$10+1,1))</f>
        <v>296.25231821504275</v>
      </c>
      <c r="AO27" s="59">
        <f t="shared" si="36"/>
        <v>316.20936902390275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3.92135681132737</v>
      </c>
      <c r="AV27" s="21">
        <f>EXP(-LN(2)/25)*AV26+(1-EXP(-LN(2)/25))/(LN(2)/25)*Calculateur!AQ27*Calculateur!AS27*VLOOKUP('Données projet'!$B$10,Paramètres!$A$1:$I$89,3,0)*0.475*44/12</f>
        <v>0.75681830485802593</v>
      </c>
      <c r="AW27" s="21">
        <f>EXP(-LN(2)/2)*AW26+(1-EXP(-LN(2)/2))/(LN(2)/2)*AQ27*AT27*VLOOKUP('Données projet'!$B$10,Paramètres!$A$1:$I$89,3,0)*0.475*44/12</f>
        <v>0.51266346199700852</v>
      </c>
      <c r="AX27" s="21">
        <f t="shared" si="6"/>
        <v>5.1908385781824045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100.40472</v>
      </c>
      <c r="BF27" s="13">
        <f t="shared" si="37"/>
        <v>27.058393830330502</v>
      </c>
      <c r="BG27" s="20">
        <f t="shared" si="7"/>
        <v>221.99825658782561</v>
      </c>
      <c r="BH27" s="59">
        <f t="shared" si="8"/>
        <v>515.33158992115887</v>
      </c>
      <c r="BI27" s="59">
        <f ca="1">AVERAGE(OFFSET($BH$3,0,0,'Données projet'!$E$11+1,1))-AVERAGE(OFFSET($H$3,0,0,'Données projet'!$E$11+1,1))</f>
        <v>244.50301885429764</v>
      </c>
      <c r="BJ27" s="59">
        <f t="shared" si="38"/>
        <v>248.77995374147798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1">
        <f t="shared" si="32"/>
        <v>7.0293584875852613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67">
        <f t="shared" si="1"/>
        <v>343.61413269921098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104.44200000000004</v>
      </c>
      <c r="P28" s="13">
        <f t="shared" si="33"/>
        <v>28.01755116176631</v>
      </c>
      <c r="Q28" s="20">
        <f t="shared" si="2"/>
        <v>230.70038494007636</v>
      </c>
      <c r="R28" s="59">
        <f t="shared" si="0"/>
        <v>524.0337182734097</v>
      </c>
      <c r="S28" s="59">
        <f ca="1">AVERAGE(OFFSET($R$3,0,0,'Données projet'!$E$9+1,1))-AVERAGE(OFFSET($H$3,0,0,'Données projet'!$E$9+1,1))</f>
        <v>342.91408684769942</v>
      </c>
      <c r="T28" s="59">
        <f t="shared" si="34"/>
        <v>209.92380505963234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215</v>
      </c>
      <c r="AG28" s="12">
        <f>VLOOKUP(A28,'Données projet'!$A$61:$I$81,9,0)</f>
        <v>15.2</v>
      </c>
      <c r="AH28" s="12">
        <f t="array" ref="AH28">INDEX(AG:AG,MIN(IF(ISNUMBER(AG28:AG224),ROW(AG28:AG224),"")))</f>
        <v>15.2</v>
      </c>
      <c r="AI28" s="13">
        <f>IF('Données projet'!$A$62&gt;35,AI27+AH28-AQ27,IF(A28&lt;'Données projet'!$A$62,$AF$205^A28,IF(A28='Données projet'!$A$62,'Données projet'!$B$62,AI27+AH28-AQ27)))</f>
        <v>214.99999999999994</v>
      </c>
      <c r="AJ28" s="13">
        <f>AI28*VLOOKUP('Données projet'!$B$10,Paramètres!$A$1:$I$89,3,0)*VLOOKUP('Données projet'!$B$10,Paramètres!$A$1:$I$89,5,0)</f>
        <v>144.22199999999995</v>
      </c>
      <c r="AK28" s="13">
        <f t="shared" si="35"/>
        <v>37.262527581853554</v>
      </c>
      <c r="AL28" s="20">
        <f t="shared" si="4"/>
        <v>316.0855522050615</v>
      </c>
      <c r="AM28" s="59">
        <f t="shared" si="5"/>
        <v>609.41888553839476</v>
      </c>
      <c r="AN28" s="59">
        <f ca="1">AVERAGE(OFFSET($AM$3,0,0,'Données projet'!$E$10+1,1))-AVERAGE(OFFSET($H$3,0,0,'Données projet'!$E$10+1,1))</f>
        <v>296.25231821504275</v>
      </c>
      <c r="AO28" s="59">
        <f t="shared" si="36"/>
        <v>316.20936902390275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30</v>
      </c>
      <c r="AR28" s="16">
        <f>IF(ISNA(VLOOKUP(A28,'Données projet'!$A$61:$I$81,5,0)),0%,VLOOKUP(A28,'Données projet'!$A$61:$I$81,5,0)*VLOOKUP('Données projet'!$B$10,Paramètres!$A$1:$I$89,7,0))</f>
        <v>0.21200000000000002</v>
      </c>
      <c r="AS28" s="16">
        <f>IF(ISNA(VLOOKUP(A28,'Données projet'!$A$61:$I$81,6,0)),0%,VLOOKUP(A28,'Données projet'!$A$61:$I$81,6,0)*VLOOKUP('Données projet'!$B$10,Paramètres!$A$1:$I$89,7,0))</f>
        <v>4.24E-2</v>
      </c>
      <c r="AT28" s="16">
        <f>IF(ISNA(VLOOKUP(A28,'Données projet'!$A$61:$I$81,7,0)),0%,VLOOKUP(A28,'Données projet'!$A$61:$I$81,7,0))</f>
        <v>0.12</v>
      </c>
      <c r="AU28" s="21">
        <f>EXP(-LN(2)/35)*AU27+(1-EXP(-LN(2)/35))/(LN(2)/35)*AQ28*AR28*VLOOKUP('Données projet'!$B$10,Paramètres!$A$1:$I$89,3,0)*0.475*44/12</f>
        <v>8.5607164106055968</v>
      </c>
      <c r="AV28" s="21">
        <f>EXP(-LN(2)/25)*AV27+(1-EXP(-LN(2)/25))/(LN(2)/25)*Calculateur!AQ28*Calculateur!AS28*VLOOKUP('Données projet'!$B$10,Paramètres!$A$1:$I$89,3,0)*0.475*44/12</f>
        <v>1.6756601328184413</v>
      </c>
      <c r="AW28" s="21">
        <f>EXP(-LN(2)/2)*AW27+(1-EXP(-LN(2)/2))/(LN(2)/2)*AQ28*AT28*VLOOKUP('Données projet'!$B$10,Paramètres!$A$1:$I$89,3,0)*0.475*44/12</f>
        <v>2.6410120859869166</v>
      </c>
      <c r="AX28" s="21">
        <f t="shared" si="6"/>
        <v>12.877388629410955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112.17959999999998</v>
      </c>
      <c r="BF28" s="13">
        <f t="shared" si="37"/>
        <v>29.8439274472838</v>
      </c>
      <c r="BG28" s="20">
        <f t="shared" si="7"/>
        <v>247.35764363735257</v>
      </c>
      <c r="BH28" s="59">
        <f t="shared" si="8"/>
        <v>540.69097697068582</v>
      </c>
      <c r="BI28" s="59">
        <f ca="1">AVERAGE(OFFSET($BH$3,0,0,'Données projet'!$E$11+1,1))-AVERAGE(OFFSET($H$3,0,0,'Données projet'!$E$11+1,1))</f>
        <v>244.50301885429764</v>
      </c>
      <c r="BJ28" s="59">
        <f t="shared" si="38"/>
        <v>248.77995374147798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0.21200000000000002</v>
      </c>
      <c r="BN28" s="16">
        <f>IF(ISNA(VLOOKUP(A28,'Données projet'!$A$87:$I$107,6,0)),0%,VLOOKUP(A28,'Données projet'!$A$87:$I$107,6,0)*VLOOKUP('Données projet'!$B$11,Paramètres!$A$1:$I$89,7,0))</f>
        <v>4.24E-2</v>
      </c>
      <c r="BO28" s="16">
        <f>IF(ISNA(VLOOKUP(A28,'Données projet'!$A$87:$I$107,7,0)),0%,VLOOKUP(A28,'Données projet'!$A$87:$I$107,7,0))</f>
        <v>0.12</v>
      </c>
      <c r="BP28" s="21">
        <f>EXP(-LN(2)/35)*BP27+(1-EXP(-LN(2)/35))/(LN(2)/35)*BL28*BM28*VLOOKUP('Données projet'!$B$11,Paramètres!$A$1:$I$89,3,0)*0.475*44/12</f>
        <v>6.5259807759566018</v>
      </c>
      <c r="BQ28" s="21">
        <f>EXP(-LN(2)/25)*BQ27+(1-EXP(-LN(2)/25))/(LN(2)/25)*Calculateur!BL28*Calculateur!BN28*VLOOKUP('Données projet'!$B$11,Paramètres!$A$1:$I$89,3,0)*0.475*44/12</f>
        <v>1.3000571006096076</v>
      </c>
      <c r="BR28" s="21">
        <f>EXP(-LN(2)/2)*BR27+(1-EXP(-LN(2)/2))/(LN(2)/2)*BL28*BO28*VLOOKUP('Données projet'!$B$11,Paramètres!$A$1:$I$89,3,0)*0.475*44/12</f>
        <v>3.1528140556921969</v>
      </c>
      <c r="BS28" s="22">
        <f t="shared" si="9"/>
        <v>10.978851932258406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1">
        <f t="shared" si="32"/>
        <v>7.2772341841187966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67">
        <f t="shared" si="1"/>
        <v>345.5673695373402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85.378800000000027</v>
      </c>
      <c r="P29" s="13">
        <f t="shared" si="33"/>
        <v>23.447306793896516</v>
      </c>
      <c r="Q29" s="20">
        <f t="shared" si="2"/>
        <v>189.53880266603645</v>
      </c>
      <c r="R29" s="59">
        <f t="shared" si="0"/>
        <v>482.87213599936979</v>
      </c>
      <c r="S29" s="59">
        <f ca="1">AVERAGE(OFFSET($R$3,0,0,'Données projet'!$E$9+1,1))-AVERAGE(OFFSET($H$3,0,0,'Données projet'!$E$9+1,1))</f>
        <v>342.91408684769942</v>
      </c>
      <c r="T29" s="59">
        <f t="shared" si="34"/>
        <v>209.92380505963234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14.4</v>
      </c>
      <c r="AI29" s="13">
        <f>IF('Données projet'!$A$62&gt;35,AI28+AH29-AQ28,IF(A29&lt;'Données projet'!$A$62,$AF$205^A29,IF(A29='Données projet'!$A$62,'Données projet'!$B$62,AI28+AH29-AQ28)))</f>
        <v>199.39999999999995</v>
      </c>
      <c r="AJ29" s="13">
        <f>AI29*VLOOKUP('Données projet'!$B$10,Paramètres!$A$1:$I$89,3,0)*VLOOKUP('Données projet'!$B$10,Paramètres!$A$1:$I$89,5,0)</f>
        <v>133.75751999999997</v>
      </c>
      <c r="AK29" s="13">
        <f t="shared" si="35"/>
        <v>34.863166769547625</v>
      </c>
      <c r="AL29" s="20">
        <f t="shared" si="4"/>
        <v>293.68102945696205</v>
      </c>
      <c r="AM29" s="59">
        <f t="shared" si="5"/>
        <v>587.01436279029531</v>
      </c>
      <c r="AN29" s="59">
        <f ca="1">AVERAGE(OFFSET($AM$3,0,0,'Données projet'!$E$10+1,1))-AVERAGE(OFFSET($H$3,0,0,'Données projet'!$E$10+1,1))</f>
        <v>296.25231821504275</v>
      </c>
      <c r="AO29" s="59">
        <f t="shared" si="36"/>
        <v>316.20936902390275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8.3928459833150484</v>
      </c>
      <c r="AV29" s="21">
        <f>EXP(-LN(2)/25)*AV28+(1-EXP(-LN(2)/25))/(LN(2)/25)*Calculateur!AQ29*Calculateur!AS29*VLOOKUP('Données projet'!$B$10,Paramètres!$A$1:$I$89,3,0)*0.475*44/12</f>
        <v>1.6298391183673844</v>
      </c>
      <c r="AW29" s="21">
        <f>EXP(-LN(2)/2)*AW28+(1-EXP(-LN(2)/2))/(LN(2)/2)*AQ29*AT29*VLOOKUP('Données projet'!$B$10,Paramètres!$A$1:$I$89,3,0)*0.475*44/12</f>
        <v>1.8674775551969782</v>
      </c>
      <c r="AX29" s="21">
        <f t="shared" si="6"/>
        <v>11.890162656879411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95.631119999999967</v>
      </c>
      <c r="BF29" s="13">
        <f t="shared" si="37"/>
        <v>25.918481589892234</v>
      </c>
      <c r="BG29" s="20">
        <f t="shared" si="7"/>
        <v>211.69888943572892</v>
      </c>
      <c r="BH29" s="59">
        <f t="shared" si="8"/>
        <v>505.03222276906223</v>
      </c>
      <c r="BI29" s="59">
        <f ca="1">AVERAGE(OFFSET($BH$3,0,0,'Données projet'!$E$11+1,1))-AVERAGE(OFFSET($H$3,0,0,'Données projet'!$E$11+1,1))</f>
        <v>244.50301885429764</v>
      </c>
      <c r="BJ29" s="59">
        <f t="shared" si="38"/>
        <v>248.77995374147798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6.3980102733953288</v>
      </c>
      <c r="BQ29" s="21">
        <f>EXP(-LN(2)/25)*BQ28+(1-EXP(-LN(2)/25))/(LN(2)/25)*Calculateur!BL29*Calculateur!BN29*VLOOKUP('Données projet'!$B$11,Paramètres!$A$1:$I$89,3,0)*0.475*44/12</f>
        <v>1.2645069708264063</v>
      </c>
      <c r="BR29" s="21">
        <f>EXP(-LN(2)/2)*BR28+(1-EXP(-LN(2)/2))/(LN(2)/2)*BL29*BO29*VLOOKUP('Données projet'!$B$11,Paramètres!$A$1:$I$89,3,0)*0.475*44/12</f>
        <v>2.2293761986002139</v>
      </c>
      <c r="BS29" s="22">
        <f t="shared" si="9"/>
        <v>9.8918934428219494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1">
        <f t="shared" si="32"/>
        <v>7.5240023521814967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67">
        <f t="shared" si="1"/>
        <v>347.51867743004942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94.707600000000028</v>
      </c>
      <c r="P30" s="13">
        <f t="shared" si="33"/>
        <v>25.697193912523566</v>
      </c>
      <c r="Q30" s="20">
        <f t="shared" si="2"/>
        <v>209.70501606431188</v>
      </c>
      <c r="R30" s="59">
        <f t="shared" si="0"/>
        <v>503.03834939764522</v>
      </c>
      <c r="S30" s="59">
        <f ca="1">AVERAGE(OFFSET($R$3,0,0,'Données projet'!$E$9+1,1))-AVERAGE(OFFSET($H$3,0,0,'Données projet'!$E$9+1,1))</f>
        <v>342.91408684769942</v>
      </c>
      <c r="T30" s="59">
        <f t="shared" si="34"/>
        <v>209.92380505963234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14.4</v>
      </c>
      <c r="AI30" s="13">
        <f>IF('Données projet'!$A$62&gt;35,AI29+AH30-AQ29,IF(A30&lt;'Données projet'!$A$62,$AF$205^A30,IF(A30='Données projet'!$A$62,'Données projet'!$B$62,AI29+AH30-AQ29)))</f>
        <v>213.79999999999995</v>
      </c>
      <c r="AJ30" s="13">
        <f>AI30*VLOOKUP('Données projet'!$B$10,Paramètres!$A$1:$I$89,3,0)*VLOOKUP('Données projet'!$B$10,Paramètres!$A$1:$I$89,5,0)</f>
        <v>143.41703999999999</v>
      </c>
      <c r="AK30" s="13">
        <f t="shared" si="35"/>
        <v>37.078699375499809</v>
      </c>
      <c r="AL30" s="20">
        <f t="shared" si="4"/>
        <v>314.36341274566212</v>
      </c>
      <c r="AM30" s="59">
        <f t="shared" si="5"/>
        <v>607.69674607899537</v>
      </c>
      <c r="AN30" s="59">
        <f ca="1">AVERAGE(OFFSET($AM$3,0,0,'Données projet'!$E$10+1,1))-AVERAGE(OFFSET($H$3,0,0,'Données projet'!$E$10+1,1))</f>
        <v>296.25231821504275</v>
      </c>
      <c r="AO30" s="59">
        <f t="shared" si="36"/>
        <v>316.20936902390275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8.2282673927128176</v>
      </c>
      <c r="AV30" s="21">
        <f>EXP(-LN(2)/25)*AV29+(1-EXP(-LN(2)/25))/(LN(2)/25)*Calculateur!AQ30*Calculateur!AS30*VLOOKUP('Données projet'!$B$10,Paramètres!$A$1:$I$89,3,0)*0.475*44/12</f>
        <v>1.585271081966114</v>
      </c>
      <c r="AW30" s="21">
        <f>EXP(-LN(2)/2)*AW29+(1-EXP(-LN(2)/2))/(LN(2)/2)*AQ30*AT30*VLOOKUP('Données projet'!$B$10,Paramètres!$A$1:$I$89,3,0)*0.475*44/12</f>
        <v>1.3205060429934585</v>
      </c>
      <c r="AX30" s="21">
        <f t="shared" si="6"/>
        <v>11.13404451767239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106.92863999999996</v>
      </c>
      <c r="BF30" s="13">
        <f t="shared" si="37"/>
        <v>28.606159868782917</v>
      </c>
      <c r="BG30" s="20">
        <f t="shared" si="7"/>
        <v>236.05644310479681</v>
      </c>
      <c r="BH30" s="59">
        <f t="shared" si="8"/>
        <v>529.38977643813018</v>
      </c>
      <c r="BI30" s="59">
        <f ca="1">AVERAGE(OFFSET($BH$3,0,0,'Données projet'!$E$11+1,1))-AVERAGE(OFFSET($H$3,0,0,'Données projet'!$E$11+1,1))</f>
        <v>244.50301885429764</v>
      </c>
      <c r="BJ30" s="59">
        <f t="shared" si="38"/>
        <v>248.77995374147798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6.2725491943349834</v>
      </c>
      <c r="BQ30" s="21">
        <f>EXP(-LN(2)/25)*BQ29+(1-EXP(-LN(2)/25))/(LN(2)/25)*Calculateur!BL30*Calculateur!BN30*VLOOKUP('Données projet'!$B$11,Paramètres!$A$1:$I$89,3,0)*0.475*44/12</f>
        <v>1.2299289612116266</v>
      </c>
      <c r="BR30" s="21">
        <f>EXP(-LN(2)/2)*BR29+(1-EXP(-LN(2)/2))/(LN(2)/2)*BL30*BO30*VLOOKUP('Données projet'!$B$11,Paramètres!$A$1:$I$89,3,0)*0.475*44/12</f>
        <v>1.5764070278460987</v>
      </c>
      <c r="BS30" s="22">
        <f t="shared" si="9"/>
        <v>9.0788851833927087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1">
        <f t="shared" si="32"/>
        <v>7.7697087087225771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67">
        <f t="shared" si="1"/>
        <v>349.46813600102513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104.03640000000003</v>
      </c>
      <c r="P31" s="13">
        <f t="shared" si="33"/>
        <v>27.921388397820998</v>
      </c>
      <c r="Q31" s="20">
        <f t="shared" si="2"/>
        <v>229.82648145953826</v>
      </c>
      <c r="R31" s="59">
        <f t="shared" si="0"/>
        <v>523.15981479287154</v>
      </c>
      <c r="S31" s="59">
        <f ca="1">AVERAGE(OFFSET($R$3,0,0,'Données projet'!$E$9+1,1))-AVERAGE(OFFSET($H$3,0,0,'Données projet'!$E$9+1,1))</f>
        <v>342.91408684769942</v>
      </c>
      <c r="T31" s="59">
        <f t="shared" si="34"/>
        <v>209.92380505963234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14.4</v>
      </c>
      <c r="AI31" s="13">
        <f>IF('Données projet'!$A$62&gt;35,AI30+AH31-AQ30,IF(A31&lt;'Données projet'!$A$62,$AF$205^A31,IF(A31='Données projet'!$A$62,'Données projet'!$B$62,AI30+AH31-AQ30)))</f>
        <v>228.19999999999996</v>
      </c>
      <c r="AJ31" s="13">
        <f>AI31*VLOOKUP('Données projet'!$B$10,Paramètres!$A$1:$I$89,3,0)*VLOOKUP('Données projet'!$B$10,Paramètres!$A$1:$I$89,5,0)</f>
        <v>153.07655999999997</v>
      </c>
      <c r="AK31" s="13">
        <f t="shared" si="35"/>
        <v>39.276916632361349</v>
      </c>
      <c r="AL31" s="20">
        <f t="shared" si="4"/>
        <v>335.01563846802929</v>
      </c>
      <c r="AM31" s="59">
        <f t="shared" si="5"/>
        <v>628.34897180136261</v>
      </c>
      <c r="AN31" s="59">
        <f ca="1">AVERAGE(OFFSET($AM$3,0,0,'Données projet'!$E$10+1,1))-AVERAGE(OFFSET($H$3,0,0,'Données projet'!$E$10+1,1))</f>
        <v>296.25231821504275</v>
      </c>
      <c r="AO31" s="59">
        <f t="shared" si="36"/>
        <v>316.20936902390275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8.0669160878892683</v>
      </c>
      <c r="AV31" s="21">
        <f>EXP(-LN(2)/25)*AV30+(1-EXP(-LN(2)/25))/(LN(2)/25)*Calculateur!AQ31*Calculateur!AS31*VLOOKUP('Données projet'!$B$10,Paramètres!$A$1:$I$89,3,0)*0.475*44/12</f>
        <v>1.5419217608639675</v>
      </c>
      <c r="AW31" s="21">
        <f>EXP(-LN(2)/2)*AW30+(1-EXP(-LN(2)/2))/(LN(2)/2)*AQ31*AT31*VLOOKUP('Données projet'!$B$10,Paramètres!$A$1:$I$89,3,0)*0.475*44/12</f>
        <v>0.93373877759848922</v>
      </c>
      <c r="AX31" s="21">
        <f t="shared" si="6"/>
        <v>10.542576626351725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118.22615999999996</v>
      </c>
      <c r="BF31" s="13">
        <f t="shared" si="37"/>
        <v>31.260922342884676</v>
      </c>
      <c r="BG31" s="20">
        <f t="shared" si="7"/>
        <v>260.35666841385739</v>
      </c>
      <c r="BH31" s="59">
        <f t="shared" si="8"/>
        <v>553.69000174719076</v>
      </c>
      <c r="BI31" s="59">
        <f ca="1">AVERAGE(OFFSET($BH$3,0,0,'Données projet'!$E$11+1,1))-AVERAGE(OFFSET($H$3,0,0,'Données projet'!$E$11+1,1))</f>
        <v>244.50301885429764</v>
      </c>
      <c r="BJ31" s="59">
        <f t="shared" si="38"/>
        <v>248.77995374147798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6.1495483305113092</v>
      </c>
      <c r="BQ31" s="21">
        <f>EXP(-LN(2)/25)*BQ30+(1-EXP(-LN(2)/25))/(LN(2)/25)*Calculateur!BL31*Calculateur!BN31*VLOOKUP('Données projet'!$B$11,Paramètres!$A$1:$I$89,3,0)*0.475*44/12</f>
        <v>1.1962964890881418</v>
      </c>
      <c r="BR31" s="21">
        <f>EXP(-LN(2)/2)*BR30+(1-EXP(-LN(2)/2))/(LN(2)/2)*BL31*BO31*VLOOKUP('Données projet'!$B$11,Paramètres!$A$1:$I$89,3,0)*0.475*44/12</f>
        <v>1.1146880993001071</v>
      </c>
      <c r="BS31" s="22">
        <f t="shared" si="9"/>
        <v>8.4605329188995579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1">
        <f t="shared" si="32"/>
        <v>8.0143955200794537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67">
        <f t="shared" si="1"/>
        <v>351.41581886413837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113.36520000000003</v>
      </c>
      <c r="P32" s="13">
        <f t="shared" si="33"/>
        <v>30.122456058687614</v>
      </c>
      <c r="Q32" s="20">
        <f t="shared" si="2"/>
        <v>249.9076676355476</v>
      </c>
      <c r="R32" s="59">
        <f t="shared" si="0"/>
        <v>543.24100096888094</v>
      </c>
      <c r="S32" s="59">
        <f ca="1">AVERAGE(OFFSET($R$3,0,0,'Données projet'!$E$9+1,1))-AVERAGE(OFFSET($H$3,0,0,'Données projet'!$E$9+1,1))</f>
        <v>342.91408684769942</v>
      </c>
      <c r="T32" s="59">
        <f t="shared" si="34"/>
        <v>209.92380505963234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14.4</v>
      </c>
      <c r="AI32" s="13">
        <f>IF('Données projet'!$A$62&gt;35,AI31+AH32-AQ31,IF(A32&lt;'Données projet'!$A$62,$AF$205^A32,IF(A32='Données projet'!$A$62,'Données projet'!$B$62,AI31+AH32-AQ31)))</f>
        <v>242.59999999999997</v>
      </c>
      <c r="AJ32" s="13">
        <f>AI32*VLOOKUP('Données projet'!$B$10,Paramètres!$A$1:$I$89,3,0)*VLOOKUP('Données projet'!$B$10,Paramètres!$A$1:$I$89,5,0)</f>
        <v>162.73607999999999</v>
      </c>
      <c r="AK32" s="13">
        <f t="shared" si="35"/>
        <v>41.459035563014346</v>
      </c>
      <c r="AL32" s="20">
        <f t="shared" si="4"/>
        <v>355.63982627224988</v>
      </c>
      <c r="AM32" s="59">
        <f t="shared" si="5"/>
        <v>648.97315960558319</v>
      </c>
      <c r="AN32" s="59">
        <f ca="1">AVERAGE(OFFSET($AM$3,0,0,'Données projet'!$E$10+1,1))-AVERAGE(OFFSET($H$3,0,0,'Données projet'!$E$10+1,1))</f>
        <v>296.25231821504275</v>
      </c>
      <c r="AO32" s="59">
        <f t="shared" si="36"/>
        <v>316.20936902390275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7.9087287837387308</v>
      </c>
      <c r="AV32" s="21">
        <f>EXP(-LN(2)/25)*AV31+(1-EXP(-LN(2)/25))/(LN(2)/25)*Calculateur!AQ32*Calculateur!AS32*VLOOKUP('Données projet'!$B$10,Paramètres!$A$1:$I$89,3,0)*0.475*44/12</f>
        <v>1.4997578292270011</v>
      </c>
      <c r="AW32" s="21">
        <f>EXP(-LN(2)/2)*AW31+(1-EXP(-LN(2)/2))/(LN(2)/2)*AQ32*AT32*VLOOKUP('Données projet'!$B$10,Paramètres!$A$1:$I$89,3,0)*0.475*44/12</f>
        <v>0.66025302149672938</v>
      </c>
      <c r="AX32" s="21">
        <f t="shared" si="6"/>
        <v>10.06873963446246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129.52367999999996</v>
      </c>
      <c r="BF32" s="13">
        <f t="shared" si="37"/>
        <v>33.886272262901727</v>
      </c>
      <c r="BG32" s="20">
        <f t="shared" si="7"/>
        <v>284.60566685788712</v>
      </c>
      <c r="BH32" s="59">
        <f t="shared" si="8"/>
        <v>577.93900019122043</v>
      </c>
      <c r="BI32" s="59">
        <f ca="1">AVERAGE(OFFSET($BH$3,0,0,'Données projet'!$E$11+1,1))-AVERAGE(OFFSET($H$3,0,0,'Données projet'!$E$11+1,1))</f>
        <v>244.50301885429764</v>
      </c>
      <c r="BJ32" s="59">
        <f t="shared" si="38"/>
        <v>248.77995374147798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6.0289594386040983</v>
      </c>
      <c r="BQ32" s="21">
        <f>EXP(-LN(2)/25)*BQ31+(1-EXP(-LN(2)/25))/(LN(2)/25)*Calculateur!BL32*Calculateur!BN32*VLOOKUP('Données projet'!$B$11,Paramètres!$A$1:$I$89,3,0)*0.475*44/12</f>
        <v>1.1635836986835284</v>
      </c>
      <c r="BR32" s="21">
        <f>EXP(-LN(2)/2)*BR31+(1-EXP(-LN(2)/2))/(LN(2)/2)*BL32*BO32*VLOOKUP('Données projet'!$B$11,Paramètres!$A$1:$I$89,3,0)*0.475*44/12</f>
        <v>0.78820351392304944</v>
      </c>
      <c r="BS32" s="22">
        <f t="shared" si="9"/>
        <v>7.9807466512106764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1">
        <f t="shared" si="32"/>
        <v>8.258101972345095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67">
        <f t="shared" si="1"/>
        <v>353.361794268501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122.69400000000003</v>
      </c>
      <c r="P33" s="13">
        <f t="shared" si="33"/>
        <v>32.302516360650685</v>
      </c>
      <c r="Q33" s="20">
        <f t="shared" si="2"/>
        <v>269.95226599480003</v>
      </c>
      <c r="R33" s="59">
        <f t="shared" si="0"/>
        <v>563.28559932813334</v>
      </c>
      <c r="S33" s="59">
        <f ca="1">AVERAGE(OFFSET($R$3,0,0,'Données projet'!$E$9+1,1))-AVERAGE(OFFSET($H$3,0,0,'Données projet'!$E$9+1,1))</f>
        <v>342.91408684769942</v>
      </c>
      <c r="T33" s="59">
        <f t="shared" si="34"/>
        <v>209.92380505963234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0.17200000000000001</v>
      </c>
      <c r="X33" s="16">
        <f>IF(ISNA(VLOOKUP(A33,'Données projet'!$A$35:$I$55,6,0)),0%,VLOOKUP(A33,'Données projet'!$A$35:$I$55,6,0)*VLOOKUP('Données projet'!$B$9,Paramètres!$A$1:$I$89,7,0))</f>
        <v>3.44E-2</v>
      </c>
      <c r="Y33" s="16">
        <f>IF(ISNA(VLOOKUP(A33,'Données projet'!$A$35:$I$55,7,0)),0%,VLOOKUP(A33,'Données projet'!$A$35:$I$55,7,0))</f>
        <v>0.12</v>
      </c>
      <c r="Z33" s="21">
        <f>EXP(-LN(2)/35)*Z32+(1-EXP(-LN(2)/35))/(LN(2)/35)*V33*W33*VLOOKUP('Données projet'!$B$9,Paramètres!$A$1:$I$89,3,0)*0.475*44/12</f>
        <v>5.3984805827003184</v>
      </c>
      <c r="AA33" s="21">
        <f>EXP(-LN(2)/25)*AA32+(1-EXP(-LN(2)/25))/(LN(2)/25)*Calculateur!V33*Calculateur!X33*VLOOKUP('Données projet'!$B$9,Paramètres!$A$1:$I$89,3,0)*0.475*44/12</f>
        <v>1.075444941532772</v>
      </c>
      <c r="AB33" s="21">
        <f>EXP(-LN(2)/2)*AB32+(1-EXP(-LN(2)/2))/(LN(2)/2)*V33*Y33*VLOOKUP('Données projet'!$B$9,Paramètres!$A$1:$I$89,3,0)*0.475*44/12</f>
        <v>3.2146339391371419</v>
      </c>
      <c r="AC33" s="22">
        <f t="shared" si="3"/>
        <v>9.6885594633702325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257</v>
      </c>
      <c r="AG33" s="12">
        <f>VLOOKUP(A33,'Données projet'!$A$61:$I$81,9,0)</f>
        <v>14.4</v>
      </c>
      <c r="AH33" s="12">
        <f t="array" ref="AH33">INDEX(AG:AG,MIN(IF(ISNUMBER(AG33:AG229),ROW(AG33:AG229),"")))</f>
        <v>14.4</v>
      </c>
      <c r="AI33" s="13">
        <f>IF('Données projet'!$A$62&gt;35,AI32+AH33-AQ32,IF(A33&lt;'Données projet'!$A$62,$AF$205^A33,IF(A33='Données projet'!$A$62,'Données projet'!$B$62,AI32+AH33-AQ32)))</f>
        <v>256.99999999999994</v>
      </c>
      <c r="AJ33" s="13">
        <f>AI33*VLOOKUP('Données projet'!$B$10,Paramètres!$A$1:$I$89,3,0)*VLOOKUP('Données projet'!$B$10,Paramètres!$A$1:$I$89,5,0)</f>
        <v>172.39559999999997</v>
      </c>
      <c r="AK33" s="13">
        <f t="shared" si="35"/>
        <v>43.626120550662499</v>
      </c>
      <c r="AL33" s="20">
        <f t="shared" si="4"/>
        <v>376.2378299590705</v>
      </c>
      <c r="AM33" s="59">
        <f t="shared" si="5"/>
        <v>669.57116329240375</v>
      </c>
      <c r="AN33" s="59">
        <f ca="1">AVERAGE(OFFSET($AM$3,0,0,'Données projet'!$E$10+1,1))-AVERAGE(OFFSET($H$3,0,0,'Données projet'!$E$10+1,1))</f>
        <v>296.25231821504275</v>
      </c>
      <c r="AO33" s="59">
        <f t="shared" si="36"/>
        <v>316.20936902390275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31</v>
      </c>
      <c r="AR33" s="16">
        <f>IF(ISNA(VLOOKUP(A33,'Données projet'!$A$61:$I$81,5,0)),0%,VLOOKUP(A33,'Données projet'!$A$61:$I$81,5,0)*VLOOKUP('Données projet'!$B$10,Paramètres!$A$1:$I$89,7,0))</f>
        <v>0.21200000000000002</v>
      </c>
      <c r="AS33" s="16">
        <f>IF(ISNA(VLOOKUP(A33,'Données projet'!$A$61:$I$81,6,0)),0%,VLOOKUP(A33,'Données projet'!$A$61:$I$81,6,0)*VLOOKUP('Données projet'!$B$10,Paramètres!$A$1:$I$89,7,0))</f>
        <v>4.24E-2</v>
      </c>
      <c r="AT33" s="16">
        <f>IF(ISNA(VLOOKUP(A33,'Données projet'!$A$61:$I$81,7,0)),0%,VLOOKUP(A33,'Données projet'!$A$61:$I$81,7,0))</f>
        <v>0.12</v>
      </c>
      <c r="AU33" s="21">
        <f>EXP(-LN(2)/35)*AU32+(1-EXP(-LN(2)/35))/(LN(2)/35)*AQ33*AR33*VLOOKUP('Données projet'!$B$10,Paramètres!$A$1:$I$89,3,0)*0.475*44/12</f>
        <v>12.627106951179957</v>
      </c>
      <c r="AV33" s="21">
        <f>EXP(-LN(2)/25)*AV32+(1-EXP(-LN(2)/25))/(LN(2)/25)*Calculateur!AQ33*Calculateur!AS33*VLOOKUP('Données projet'!$B$10,Paramètres!$A$1:$I$89,3,0)*0.475*44/12</f>
        <v>2.4296018389675917</v>
      </c>
      <c r="AW33" s="21">
        <f>EXP(-LN(2)/2)*AW32+(1-EXP(-LN(2)/2))/(LN(2)/2)*AQ33*AT33*VLOOKUP('Données projet'!$B$10,Paramètres!$A$1:$I$89,3,0)*0.475*44/12</f>
        <v>2.8213238068595796</v>
      </c>
      <c r="AX33" s="21">
        <f t="shared" si="6"/>
        <v>17.878032597007127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140.82119999999992</v>
      </c>
      <c r="BF33" s="13">
        <f t="shared" si="37"/>
        <v>36.485066799987997</v>
      </c>
      <c r="BG33" s="20">
        <f t="shared" si="7"/>
        <v>308.80841467664561</v>
      </c>
      <c r="BH33" s="59">
        <f t="shared" si="8"/>
        <v>602.14174800997898</v>
      </c>
      <c r="BI33" s="59">
        <f ca="1">AVERAGE(OFFSET($BH$3,0,0,'Données projet'!$E$11+1,1))-AVERAGE(OFFSET($H$3,0,0,'Données projet'!$E$11+1,1))</f>
        <v>244.50301885429764</v>
      </c>
      <c r="BJ33" s="59">
        <f t="shared" si="38"/>
        <v>248.77995374147798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0.21200000000000002</v>
      </c>
      <c r="BN33" s="16">
        <f>IF(ISNA(VLOOKUP(A33,'Données projet'!$A$87:$I$107,6,0)),0%,VLOOKUP(A33,'Données projet'!$A$87:$I$107,6,0)*VLOOKUP('Données projet'!$B$11,Paramètres!$A$1:$I$89,7,0))</f>
        <v>4.24E-2</v>
      </c>
      <c r="BO33" s="16">
        <f>IF(ISNA(VLOOKUP(A33,'Données projet'!$A$87:$I$107,7,0)),0%,VLOOKUP(A33,'Données projet'!$A$87:$I$107,7,0))</f>
        <v>0.12</v>
      </c>
      <c r="BP33" s="21">
        <f>EXP(-LN(2)/35)*BP32+(1-EXP(-LN(2)/35))/(LN(2)/35)*BL33*BM33*VLOOKUP('Données projet'!$B$11,Paramètres!$A$1:$I$89,3,0)*0.475*44/12</f>
        <v>12.436715997271829</v>
      </c>
      <c r="BQ33" s="21">
        <f>EXP(-LN(2)/25)*BQ32+(1-EXP(-LN(2)/25))/(LN(2)/25)*Calculateur!BL33*Calculateur!BN33*VLOOKUP('Données projet'!$B$11,Paramètres!$A$1:$I$89,3,0)*0.475*44/12</f>
        <v>2.4318225418624273</v>
      </c>
      <c r="BR33" s="21">
        <f>EXP(-LN(2)/2)*BR32+(1-EXP(-LN(2)/2))/(LN(2)/2)*BL33*BO33*VLOOKUP('Données projet'!$B$11,Paramètres!$A$1:$I$89,3,0)*0.475*44/12</f>
        <v>3.7101581053422503</v>
      </c>
      <c r="BS33" s="22">
        <f t="shared" si="9"/>
        <v>18.578696644476508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1">
        <f t="shared" si="32"/>
        <v>8.5008644909657693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67">
        <f t="shared" si="1"/>
        <v>355.3061256550987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105.25320000000005</v>
      </c>
      <c r="P34" s="13">
        <f t="shared" si="33"/>
        <v>28.209746498519422</v>
      </c>
      <c r="Q34" s="20">
        <f t="shared" si="2"/>
        <v>232.44796515158808</v>
      </c>
      <c r="R34" s="59">
        <f t="shared" si="0"/>
        <v>525.78129848492142</v>
      </c>
      <c r="S34" s="59">
        <f ca="1">AVERAGE(OFFSET($R$3,0,0,'Données projet'!$E$9+1,1))-AVERAGE(OFFSET($H$3,0,0,'Données projet'!$E$9+1,1))</f>
        <v>342.91408684769942</v>
      </c>
      <c r="T34" s="59">
        <f t="shared" si="34"/>
        <v>209.92380505963234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5.2926196712215887</v>
      </c>
      <c r="AA34" s="21">
        <f>EXP(-LN(2)/25)*AA33+(1-EXP(-LN(2)/25))/(LN(2)/25)*Calculateur!V34*Calculateur!X34*VLOOKUP('Données projet'!$B$9,Paramètres!$A$1:$I$89,3,0)*0.475*44/12</f>
        <v>1.0460368430513669</v>
      </c>
      <c r="AB34" s="21">
        <f>EXP(-LN(2)/2)*AB33+(1-EXP(-LN(2)/2))/(LN(2)/2)*V34*Y34*VLOOKUP('Données projet'!$B$9,Paramètres!$A$1:$I$89,3,0)*0.475*44/12</f>
        <v>2.2730894573962965</v>
      </c>
      <c r="AC34" s="22">
        <f t="shared" si="3"/>
        <v>8.6117459716692508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13.6</v>
      </c>
      <c r="AI34" s="13">
        <f>IF('Données projet'!$A$62&gt;35,AI33+AH34-AQ33,IF(A34&lt;'Données projet'!$A$62,$AF$205^A34,IF(A34='Données projet'!$A$62,'Données projet'!$B$62,AI33+AH34-AQ33)))</f>
        <v>239.59999999999997</v>
      </c>
      <c r="AJ34" s="13">
        <f>AI34*VLOOKUP('Données projet'!$B$10,Paramètres!$A$1:$I$89,3,0)*VLOOKUP('Données projet'!$B$10,Paramètres!$A$1:$I$89,5,0)</f>
        <v>160.72367999999997</v>
      </c>
      <c r="AK34" s="13">
        <f t="shared" si="35"/>
        <v>41.005700554955503</v>
      </c>
      <c r="AL34" s="20">
        <f t="shared" si="4"/>
        <v>351.34533779988072</v>
      </c>
      <c r="AM34" s="59">
        <f t="shared" si="5"/>
        <v>644.67867113321404</v>
      </c>
      <c r="AN34" s="59">
        <f ca="1">AVERAGE(OFFSET($AM$3,0,0,'Données projet'!$E$10+1,1))-AVERAGE(OFFSET($H$3,0,0,'Données projet'!$E$10+1,1))</f>
        <v>296.25231821504275</v>
      </c>
      <c r="AO34" s="59">
        <f t="shared" si="36"/>
        <v>316.20936902390275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12.379497085642072</v>
      </c>
      <c r="AV34" s="21">
        <f>EXP(-LN(2)/25)*AV33+(1-EXP(-LN(2)/25))/(LN(2)/25)*Calculateur!AQ34*Calculateur!AS34*VLOOKUP('Données projet'!$B$10,Paramètres!$A$1:$I$89,3,0)*0.475*44/12</f>
        <v>2.3631642489138152</v>
      </c>
      <c r="AW34" s="21">
        <f>EXP(-LN(2)/2)*AW33+(1-EXP(-LN(2)/2))/(LN(2)/2)*AQ34*AT34*VLOOKUP('Données projet'!$B$10,Paramètres!$A$1:$I$89,3,0)*0.475*44/12</f>
        <v>1.9949771957534541</v>
      </c>
      <c r="AX34" s="21">
        <f t="shared" si="6"/>
        <v>16.73763853030934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123.15887999999995</v>
      </c>
      <c r="BF34" s="13">
        <f t="shared" si="37"/>
        <v>32.410638331814873</v>
      </c>
      <c r="BG34" s="20">
        <f t="shared" si="7"/>
        <v>270.95024442791083</v>
      </c>
      <c r="BH34" s="59">
        <f t="shared" si="8"/>
        <v>564.28357776124415</v>
      </c>
      <c r="BI34" s="59">
        <f ca="1">AVERAGE(OFFSET($BH$3,0,0,'Données projet'!$E$11+1,1))-AVERAGE(OFFSET($H$3,0,0,'Données projet'!$E$11+1,1))</f>
        <v>244.50301885429764</v>
      </c>
      <c r="BJ34" s="59">
        <f t="shared" si="38"/>
        <v>248.77995374147798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12.192839582213066</v>
      </c>
      <c r="BQ34" s="21">
        <f>EXP(-LN(2)/25)*BQ33+(1-EXP(-LN(2)/25))/(LN(2)/25)*Calculateur!BL34*Calculateur!BN34*VLOOKUP('Données projet'!$B$11,Paramètres!$A$1:$I$89,3,0)*0.475*44/12</f>
        <v>2.3653242265712096</v>
      </c>
      <c r="BR34" s="21">
        <f>EXP(-LN(2)/2)*BR33+(1-EXP(-LN(2)/2))/(LN(2)/2)*BL34*BO34*VLOOKUP('Données projet'!$B$11,Paramètres!$A$1:$I$89,3,0)*0.475*44/12</f>
        <v>2.6234779555617385</v>
      </c>
      <c r="BS34" s="22">
        <f t="shared" si="9"/>
        <v>17.181641764346015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1">
        <f t="shared" si="32"/>
        <v>8.7427170179419935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67">
        <f t="shared" si="1"/>
        <v>357.24887213958226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116.20440000000004</v>
      </c>
      <c r="P35" s="13">
        <f t="shared" si="33"/>
        <v>30.788088768016376</v>
      </c>
      <c r="Q35" s="20">
        <f t="shared" ref="Q35:Q66" si="53">(O35+P35)*0.475*44/12</f>
        <v>256.01191793762854</v>
      </c>
      <c r="R35" s="59">
        <f t="shared" si="0"/>
        <v>549.34525127096185</v>
      </c>
      <c r="S35" s="59">
        <f ca="1">AVERAGE(OFFSET($R$3,0,0,'Données projet'!$E$9+1,1))-AVERAGE(OFFSET($H$3,0,0,'Données projet'!$E$9+1,1))</f>
        <v>342.91408684769942</v>
      </c>
      <c r="T35" s="59">
        <f t="shared" si="34"/>
        <v>209.92380505963234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5.1888346276481769</v>
      </c>
      <c r="AA35" s="21">
        <f>EXP(-LN(2)/25)*AA34+(1-EXP(-LN(2)/25))/(LN(2)/25)*Calculateur!V35*Calculateur!X35*VLOOKUP('Données projet'!$B$9,Paramètres!$A$1:$I$89,3,0)*0.475*44/12</f>
        <v>1.0174329105694404</v>
      </c>
      <c r="AB35" s="21">
        <f>EXP(-LN(2)/2)*AB34+(1-EXP(-LN(2)/2))/(LN(2)/2)*V35*Y35*VLOOKUP('Données projet'!$B$9,Paramètres!$A$1:$I$89,3,0)*0.475*44/12</f>
        <v>1.6073169695685712</v>
      </c>
      <c r="AC35" s="22">
        <f t="shared" si="3"/>
        <v>7.8135845077861887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13.6</v>
      </c>
      <c r="AI35" s="13">
        <f>IF('Données projet'!$A$62&gt;35,AI34+AH35-AQ34,IF(A35&lt;'Données projet'!$A$62,$AF$205^A35,IF(A35='Données projet'!$A$62,'Données projet'!$B$62,AI34+AH35-AQ34)))</f>
        <v>253.19999999999996</v>
      </c>
      <c r="AJ35" s="13">
        <f>AI35*VLOOKUP('Données projet'!$B$10,Paramètres!$A$1:$I$89,3,0)*VLOOKUP('Données projet'!$B$10,Paramètres!$A$1:$I$89,5,0)</f>
        <v>169.84655999999998</v>
      </c>
      <c r="AK35" s="13">
        <f t="shared" si="35"/>
        <v>43.055656323747158</v>
      </c>
      <c r="AL35" s="20">
        <f t="shared" si="4"/>
        <v>370.80469343052636</v>
      </c>
      <c r="AM35" s="59">
        <f t="shared" si="5"/>
        <v>664.13802676385967</v>
      </c>
      <c r="AN35" s="59">
        <f ca="1">AVERAGE(OFFSET($AM$3,0,0,'Données projet'!$E$10+1,1))-AVERAGE(OFFSET($H$3,0,0,'Données projet'!$E$10+1,1))</f>
        <v>296.25231821504275</v>
      </c>
      <c r="AO35" s="59">
        <f t="shared" si="36"/>
        <v>316.20936902390275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12.136742698540278</v>
      </c>
      <c r="AV35" s="21">
        <f>EXP(-LN(2)/25)*AV34+(1-EXP(-LN(2)/25))/(LN(2)/25)*Calculateur!AQ35*Calculateur!AS35*VLOOKUP('Données projet'!$B$10,Paramètres!$A$1:$I$89,3,0)*0.475*44/12</f>
        <v>2.2985433982538601</v>
      </c>
      <c r="AW35" s="21">
        <f>EXP(-LN(2)/2)*AW34+(1-EXP(-LN(2)/2))/(LN(2)/2)*AQ35*AT35*VLOOKUP('Données projet'!$B$10,Paramètres!$A$1:$I$89,3,0)*0.475*44/12</f>
        <v>1.41066190342979</v>
      </c>
      <c r="AX35" s="21">
        <f t="shared" si="6"/>
        <v>15.845948000223929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133.34255999999996</v>
      </c>
      <c r="BF35" s="13">
        <f t="shared" si="37"/>
        <v>34.767581918978188</v>
      </c>
      <c r="BG35" s="20">
        <f t="shared" si="7"/>
        <v>292.7918305088869</v>
      </c>
      <c r="BH35" s="59">
        <f t="shared" si="8"/>
        <v>586.12516384222022</v>
      </c>
      <c r="BI35" s="59">
        <f ca="1">AVERAGE(OFFSET($BH$3,0,0,'Données projet'!$E$11+1,1))-AVERAGE(OFFSET($H$3,0,0,'Données projet'!$E$11+1,1))</f>
        <v>244.50301885429764</v>
      </c>
      <c r="BJ35" s="59">
        <f t="shared" si="38"/>
        <v>248.77995374147798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11.953745434903681</v>
      </c>
      <c r="BQ35" s="21">
        <f>EXP(-LN(2)/25)*BQ34+(1-EXP(-LN(2)/25))/(LN(2)/25)*Calculateur!BL35*Calculateur!BN35*VLOOKUP('Données projet'!$B$11,Paramètres!$A$1:$I$89,3,0)*0.475*44/12</f>
        <v>2.3006443112086248</v>
      </c>
      <c r="BR35" s="21">
        <f>EXP(-LN(2)/2)*BR34+(1-EXP(-LN(2)/2))/(LN(2)/2)*BL35*BO35*VLOOKUP('Données projet'!$B$11,Paramètres!$A$1:$I$89,3,0)*0.475*44/12</f>
        <v>1.8550790526711254</v>
      </c>
      <c r="BS35" s="22">
        <f t="shared" si="9"/>
        <v>16.109468798783432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1">
        <f t="shared" si="32"/>
        <v>8.9836912534059454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67">
        <f t="shared" si="1"/>
        <v>359.19008893301532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127.15560000000004</v>
      </c>
      <c r="P36" s="13">
        <f t="shared" si="33"/>
        <v>33.338258149231912</v>
      </c>
      <c r="Q36" s="20">
        <f t="shared" si="53"/>
        <v>279.52680294324563</v>
      </c>
      <c r="R36" s="59">
        <f t="shared" si="0"/>
        <v>572.86013627657894</v>
      </c>
      <c r="S36" s="59">
        <f ca="1">AVERAGE(OFFSET($R$3,0,0,'Données projet'!$E$9+1,1))-AVERAGE(OFFSET($H$3,0,0,'Données projet'!$E$9+1,1))</f>
        <v>342.91408684769942</v>
      </c>
      <c r="T36" s="59">
        <f t="shared" si="34"/>
        <v>209.92380505963234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5.0870847454766137</v>
      </c>
      <c r="AA36" s="21">
        <f>EXP(-LN(2)/25)*AA35+(1-EXP(-LN(2)/25))/(LN(2)/25)*Calculateur!V36*Calculateur!X36*VLOOKUP('Données projet'!$B$9,Paramètres!$A$1:$I$89,3,0)*0.475*44/12</f>
        <v>0.98961115412544765</v>
      </c>
      <c r="AB36" s="21">
        <f>EXP(-LN(2)/2)*AB35+(1-EXP(-LN(2)/2))/(LN(2)/2)*V36*Y36*VLOOKUP('Données projet'!$B$9,Paramètres!$A$1:$I$89,3,0)*0.475*44/12</f>
        <v>1.1365447286981485</v>
      </c>
      <c r="AC36" s="22">
        <f t="shared" si="3"/>
        <v>7.21324062830021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13.6</v>
      </c>
      <c r="AI36" s="13">
        <f>IF('Données projet'!$A$62&gt;35,AI35+AH36-AQ35,IF(A36&lt;'Données projet'!$A$62,$AF$205^A36,IF(A36='Données projet'!$A$62,'Données projet'!$B$62,AI35+AH36-AQ35)))</f>
        <v>266.79999999999995</v>
      </c>
      <c r="AJ36" s="13">
        <f>AI36*VLOOKUP('Données projet'!$B$10,Paramètres!$A$1:$I$89,3,0)*VLOOKUP('Données projet'!$B$10,Paramètres!$A$1:$I$89,5,0)</f>
        <v>178.96943999999996</v>
      </c>
      <c r="AK36" s="13">
        <f t="shared" si="35"/>
        <v>45.092828990632619</v>
      </c>
      <c r="AL36" s="20">
        <f t="shared" si="4"/>
        <v>390.2417851586851</v>
      </c>
      <c r="AM36" s="59">
        <f t="shared" si="5"/>
        <v>683.57511849201842</v>
      </c>
      <c r="AN36" s="59">
        <f ca="1">AVERAGE(OFFSET($AM$3,0,0,'Données projet'!$E$10+1,1))-AVERAGE(OFFSET($H$3,0,0,'Données projet'!$E$10+1,1))</f>
        <v>296.25231821504275</v>
      </c>
      <c r="AO36" s="59">
        <f t="shared" si="36"/>
        <v>316.20936902390275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11.898748576903994</v>
      </c>
      <c r="AV36" s="21">
        <f>EXP(-LN(2)/25)*AV35+(1-EXP(-LN(2)/25))/(LN(2)/25)*Calculateur!AQ36*Calculateur!AS36*VLOOKUP('Données projet'!$B$10,Paramètres!$A$1:$I$89,3,0)*0.475*44/12</f>
        <v>2.2356896081534643</v>
      </c>
      <c r="AW36" s="21">
        <f>EXP(-LN(2)/2)*AW35+(1-EXP(-LN(2)/2))/(LN(2)/2)*AQ36*AT36*VLOOKUP('Données projet'!$B$10,Paramètres!$A$1:$I$89,3,0)*0.475*44/12</f>
        <v>0.99748859787672728</v>
      </c>
      <c r="AX36" s="21">
        <f t="shared" si="6"/>
        <v>15.131926782934185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143.52623999999997</v>
      </c>
      <c r="BF36" s="13">
        <f t="shared" si="37"/>
        <v>37.103644337236275</v>
      </c>
      <c r="BG36" s="20">
        <f t="shared" si="7"/>
        <v>314.59704855401981</v>
      </c>
      <c r="BH36" s="59">
        <f t="shared" si="8"/>
        <v>607.93038188735318</v>
      </c>
      <c r="BI36" s="59">
        <f ca="1">AVERAGE(OFFSET($BH$3,0,0,'Données projet'!$E$11+1,1))-AVERAGE(OFFSET($H$3,0,0,'Données projet'!$E$11+1,1))</f>
        <v>244.50301885429764</v>
      </c>
      <c r="BJ36" s="59">
        <f t="shared" si="38"/>
        <v>248.77995374147798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11.719339777990003</v>
      </c>
      <c r="BQ36" s="21">
        <f>EXP(-LN(2)/25)*BQ35+(1-EXP(-LN(2)/25))/(LN(2)/25)*Calculateur!BL36*Calculateur!BN36*VLOOKUP('Données projet'!$B$11,Paramètres!$A$1:$I$89,3,0)*0.475*44/12</f>
        <v>2.2377330715329986</v>
      </c>
      <c r="BR36" s="21">
        <f>EXP(-LN(2)/2)*BR35+(1-EXP(-LN(2)/2))/(LN(2)/2)*BL36*BO36*VLOOKUP('Données projet'!$B$11,Paramètres!$A$1:$I$89,3,0)*0.475*44/12</f>
        <v>1.3117389777808695</v>
      </c>
      <c r="BS36" s="22">
        <f t="shared" si="9"/>
        <v>15.268811827303871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1">
        <f t="shared" si="32"/>
        <v>9.223816867094067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67">
        <f t="shared" si="1"/>
        <v>361.12982771018881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138.10680000000005</v>
      </c>
      <c r="P37" s="13">
        <f t="shared" si="33"/>
        <v>35.862956890686135</v>
      </c>
      <c r="Q37" s="20">
        <f t="shared" si="53"/>
        <v>302.99732658461176</v>
      </c>
      <c r="R37" s="59">
        <f t="shared" si="0"/>
        <v>596.33065991794501</v>
      </c>
      <c r="S37" s="59">
        <f ca="1">AVERAGE(OFFSET($R$3,0,0,'Données projet'!$E$9+1,1))-AVERAGE(OFFSET($H$3,0,0,'Données projet'!$E$9+1,1))</f>
        <v>342.91408684769942</v>
      </c>
      <c r="T37" s="59">
        <f t="shared" si="34"/>
        <v>209.92380505963234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4.9873301164331343</v>
      </c>
      <c r="AA37" s="21">
        <f>EXP(-LN(2)/25)*AA36+(1-EXP(-LN(2)/25))/(LN(2)/25)*Calculateur!V37*Calculateur!X37*VLOOKUP('Données projet'!$B$9,Paramètres!$A$1:$I$89,3,0)*0.475*44/12</f>
        <v>0.96255018507449852</v>
      </c>
      <c r="AB37" s="21">
        <f>EXP(-LN(2)/2)*AB36+(1-EXP(-LN(2)/2))/(LN(2)/2)*V37*Y37*VLOOKUP('Données projet'!$B$9,Paramètres!$A$1:$I$89,3,0)*0.475*44/12</f>
        <v>0.80365848478428581</v>
      </c>
      <c r="AC37" s="22">
        <f t="shared" si="3"/>
        <v>6.7535387862919185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13.6</v>
      </c>
      <c r="AI37" s="13">
        <f>IF('Données projet'!$A$62&gt;35,AI36+AH37-AQ36,IF(A37&lt;'Données projet'!$A$62,$AF$205^A37,IF(A37='Données projet'!$A$62,'Données projet'!$B$62,AI36+AH37-AQ36)))</f>
        <v>280.39999999999998</v>
      </c>
      <c r="AJ37" s="13">
        <f>AI37*VLOOKUP('Données projet'!$B$10,Paramètres!$A$1:$I$89,3,0)*VLOOKUP('Données projet'!$B$10,Paramètres!$A$1:$I$89,5,0)</f>
        <v>188.09232</v>
      </c>
      <c r="AK37" s="13">
        <f t="shared" si="35"/>
        <v>47.117944506023008</v>
      </c>
      <c r="AL37" s="20">
        <f t="shared" si="4"/>
        <v>409.65787734799005</v>
      </c>
      <c r="AM37" s="59">
        <f t="shared" si="5"/>
        <v>702.99121068132331</v>
      </c>
      <c r="AN37" s="59">
        <f ca="1">AVERAGE(OFFSET($AM$3,0,0,'Données projet'!$E$10+1,1))-AVERAGE(OFFSET($H$3,0,0,'Données projet'!$E$10+1,1))</f>
        <v>296.25231821504275</v>
      </c>
      <c r="AO37" s="59">
        <f t="shared" si="36"/>
        <v>316.20936902390275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11.665421374830919</v>
      </c>
      <c r="AV37" s="21">
        <f>EXP(-LN(2)/25)*AV36+(1-EXP(-LN(2)/25))/(LN(2)/25)*Calculateur!AQ37*Calculateur!AS37*VLOOKUP('Données projet'!$B$10,Paramètres!$A$1:$I$89,3,0)*0.475*44/12</f>
        <v>2.1745545582487011</v>
      </c>
      <c r="AW37" s="21">
        <f>EXP(-LN(2)/2)*AW36+(1-EXP(-LN(2)/2))/(LN(2)/2)*AQ37*AT37*VLOOKUP('Données projet'!$B$10,Paramètres!$A$1:$I$89,3,0)*0.475*44/12</f>
        <v>0.70533095171489513</v>
      </c>
      <c r="AX37" s="21">
        <f t="shared" si="6"/>
        <v>14.545306884794515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153.70991999999998</v>
      </c>
      <c r="BF37" s="13">
        <f t="shared" si="37"/>
        <v>39.420475690379831</v>
      </c>
      <c r="BG37" s="20">
        <f t="shared" si="7"/>
        <v>336.3687724940782</v>
      </c>
      <c r="BH37" s="59">
        <f t="shared" si="8"/>
        <v>629.70210582741151</v>
      </c>
      <c r="BI37" s="59">
        <f ca="1">AVERAGE(OFFSET($BH$3,0,0,'Données projet'!$E$11+1,1))-AVERAGE(OFFSET($H$3,0,0,'Données projet'!$E$11+1,1))</f>
        <v>244.50301885429764</v>
      </c>
      <c r="BJ37" s="59">
        <f t="shared" si="38"/>
        <v>248.77995374147798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11.489530673035068</v>
      </c>
      <c r="BQ37" s="21">
        <f>EXP(-LN(2)/25)*BQ36+(1-EXP(-LN(2)/25))/(LN(2)/25)*Calculateur!BL37*Calculateur!BN37*VLOOKUP('Données projet'!$B$11,Paramètres!$A$1:$I$89,3,0)*0.475*44/12</f>
        <v>2.176542143014661</v>
      </c>
      <c r="BR37" s="21">
        <f>EXP(-LN(2)/2)*BR36+(1-EXP(-LN(2)/2))/(LN(2)/2)*BL37*BO37*VLOOKUP('Données projet'!$B$11,Paramètres!$A$1:$I$89,3,0)*0.475*44/12</f>
        <v>0.9275395263355628</v>
      </c>
      <c r="BS37" s="22">
        <f t="shared" si="9"/>
        <v>14.593612342385292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1">
        <f t="shared" si="32"/>
        <v>9.4631216842413828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67">
        <f t="shared" si="1"/>
        <v>363.06813693338705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149.05800000000008</v>
      </c>
      <c r="P38" s="13">
        <f t="shared" si="33"/>
        <v>38.364434314370335</v>
      </c>
      <c r="Q38" s="20">
        <f t="shared" si="53"/>
        <v>326.42740643086182</v>
      </c>
      <c r="R38" s="59">
        <f t="shared" si="0"/>
        <v>619.76073976419514</v>
      </c>
      <c r="S38" s="59">
        <f ca="1">AVERAGE(OFFSET($R$3,0,0,'Données projet'!$E$9+1,1))-AVERAGE(OFFSET($H$3,0,0,'Données projet'!$E$9+1,1))</f>
        <v>342.91408684769942</v>
      </c>
      <c r="T38" s="59">
        <f t="shared" si="34"/>
        <v>209.92380505963234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0.17200000000000001</v>
      </c>
      <c r="X38" s="16">
        <f>IF(ISNA(VLOOKUP(A38,'Données projet'!$A$35:$I$55,6,0)),0%,VLOOKUP(A38,'Données projet'!$A$35:$I$55,6,0)*VLOOKUP('Données projet'!$B$9,Paramètres!$A$1:$I$89,7,0))</f>
        <v>3.44E-2</v>
      </c>
      <c r="Y38" s="16">
        <f>IF(ISNA(VLOOKUP(A38,'Données projet'!$A$35:$I$55,7,0)),0%,VLOOKUP(A38,'Données projet'!$A$35:$I$55,7,0))</f>
        <v>0.12</v>
      </c>
      <c r="Z38" s="21">
        <f>EXP(-LN(2)/35)*Z37+(1-EXP(-LN(2)/35))/(LN(2)/35)*V38*W38*VLOOKUP('Données projet'!$B$9,Paramètres!$A$1:$I$89,3,0)*0.475*44/12</f>
        <v>10.288012197521201</v>
      </c>
      <c r="AA38" s="21">
        <f>EXP(-LN(2)/25)*AA37+(1-EXP(-LN(2)/25))/(LN(2)/25)*Calculateur!V38*Calculateur!X38*VLOOKUP('Données projet'!$B$9,Paramètres!$A$1:$I$89,3,0)*0.475*44/12</f>
        <v>2.0116741411780943</v>
      </c>
      <c r="AB38" s="21">
        <f>EXP(-LN(2)/2)*AB37+(1-EXP(-LN(2)/2))/(LN(2)/2)*V38*Y38*VLOOKUP('Données projet'!$B$9,Paramètres!$A$1:$I$89,3,0)*0.475*44/12</f>
        <v>3.7829063034862163</v>
      </c>
      <c r="AC38" s="22">
        <f t="shared" si="3"/>
        <v>16.08259264218551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294</v>
      </c>
      <c r="AG38" s="12">
        <f>VLOOKUP(A38,'Données projet'!$A$61:$I$81,9,0)</f>
        <v>13.6</v>
      </c>
      <c r="AH38" s="12">
        <f t="array" ref="AH38">INDEX(AG:AG,MIN(IF(ISNUMBER(AG38:AG234),ROW(AG38:AG234),"")))</f>
        <v>13.6</v>
      </c>
      <c r="AI38" s="13">
        <f>IF('Données projet'!$A$62&gt;35,AI37+AH38-AQ37,IF(A38&lt;'Données projet'!$A$62,$AF$205^A38,IF(A38='Données projet'!$A$62,'Données projet'!$B$62,AI37+AH38-AQ37)))</f>
        <v>294</v>
      </c>
      <c r="AJ38" s="13">
        <f>AI38*VLOOKUP('Données projet'!$B$10,Paramètres!$A$1:$I$89,3,0)*VLOOKUP('Données projet'!$B$10,Paramètres!$A$1:$I$89,5,0)</f>
        <v>197.21520000000001</v>
      </c>
      <c r="AK38" s="13">
        <f t="shared" si="35"/>
        <v>49.131654421367656</v>
      </c>
      <c r="AL38" s="20">
        <f t="shared" si="4"/>
        <v>429.05410478388194</v>
      </c>
      <c r="AM38" s="59">
        <f t="shared" si="5"/>
        <v>722.3874381172152</v>
      </c>
      <c r="AN38" s="59">
        <f ca="1">AVERAGE(OFFSET($AM$3,0,0,'Données projet'!$E$10+1,1))-AVERAGE(OFFSET($H$3,0,0,'Données projet'!$E$10+1,1))</f>
        <v>296.25231821504275</v>
      </c>
      <c r="AO38" s="59">
        <f t="shared" si="36"/>
        <v>316.20936902390275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31</v>
      </c>
      <c r="AR38" s="16">
        <f>IF(ISNA(VLOOKUP(A38,'Données projet'!$A$61:$I$81,5,0)),0%,VLOOKUP(A38,'Données projet'!$A$61:$I$81,5,0)*VLOOKUP('Données projet'!$B$10,Paramètres!$A$1:$I$89,7,0))</f>
        <v>0.26500000000000001</v>
      </c>
      <c r="AS38" s="16">
        <f>IF(ISNA(VLOOKUP(A38,'Données projet'!$A$61:$I$81,6,0)),0%,VLOOKUP(A38,'Données projet'!$A$61:$I$81,6,0)*VLOOKUP('Données projet'!$B$10,Paramètres!$A$1:$I$89,7,0))</f>
        <v>3.1800000000000002E-2</v>
      </c>
      <c r="AT38" s="16">
        <f>IF(ISNA(VLOOKUP(A38,'Données projet'!$A$61:$I$81,7,0)),0%,VLOOKUP(A38,'Données projet'!$A$61:$I$81,7,0))</f>
        <v>0.14000000000000001</v>
      </c>
      <c r="AU38" s="21">
        <f>EXP(-LN(2)/35)*AU37+(1-EXP(-LN(2)/35))/(LN(2)/35)*AQ38*AR38*VLOOKUP('Données projet'!$B$10,Paramètres!$A$1:$I$89,3,0)*0.475*44/12</f>
        <v>17.528498970677582</v>
      </c>
      <c r="AV38" s="21">
        <f>EXP(-LN(2)/25)*AV37+(1-EXP(-LN(2)/25))/(LN(2)/25)*Calculateur!AQ38*Calculateur!AS38*VLOOKUP('Données projet'!$B$10,Paramètres!$A$1:$I$89,3,0)*0.475*44/12</f>
        <v>2.8432324743357658</v>
      </c>
      <c r="AW38" s="21">
        <f>EXP(-LN(2)/2)*AW37+(1-EXP(-LN(2)/2))/(LN(2)/2)*AQ38*AT38*VLOOKUP('Données projet'!$B$10,Paramètres!$A$1:$I$89,3,0)*0.475*44/12</f>
        <v>3.2456077866754214</v>
      </c>
      <c r="AX38" s="21">
        <f t="shared" si="6"/>
        <v>23.617339231688767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163.89359999999999</v>
      </c>
      <c r="BF38" s="13">
        <f t="shared" si="37"/>
        <v>41.71949506642347</v>
      </c>
      <c r="BG38" s="20">
        <f t="shared" si="7"/>
        <v>358.10947390735419</v>
      </c>
      <c r="BH38" s="59">
        <f t="shared" si="8"/>
        <v>651.44280724068744</v>
      </c>
      <c r="BI38" s="59">
        <f ca="1">AVERAGE(OFFSET($BH$3,0,0,'Données projet'!$E$11+1,1))-AVERAGE(OFFSET($H$3,0,0,'Données projet'!$E$11+1,1))</f>
        <v>244.50301885429764</v>
      </c>
      <c r="BJ38" s="59">
        <f t="shared" si="38"/>
        <v>248.77995374147798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0.21200000000000002</v>
      </c>
      <c r="BN38" s="16">
        <f>IF(ISNA(VLOOKUP(A38,'Données projet'!$A$87:$I$107,6,0)),0%,VLOOKUP(A38,'Données projet'!$A$87:$I$107,6,0)*VLOOKUP('Données projet'!$B$11,Paramètres!$A$1:$I$89,7,0))</f>
        <v>4.24E-2</v>
      </c>
      <c r="BO38" s="16">
        <f>IF(ISNA(VLOOKUP(A38,'Données projet'!$A$87:$I$107,7,0)),0%,VLOOKUP(A38,'Données projet'!$A$87:$I$107,7,0))</f>
        <v>0.12</v>
      </c>
      <c r="BP38" s="21">
        <f>EXP(-LN(2)/35)*BP37+(1-EXP(-LN(2)/35))/(LN(2)/35)*BL38*BM38*VLOOKUP('Données projet'!$B$11,Paramètres!$A$1:$I$89,3,0)*0.475*44/12</f>
        <v>17.790208760415187</v>
      </c>
      <c r="BQ38" s="21">
        <f>EXP(-LN(2)/25)*BQ37+(1-EXP(-LN(2)/25))/(LN(2)/25)*Calculateur!BL38*Calculateur!BN38*VLOOKUP('Données projet'!$B$11,Paramètres!$A$1:$I$89,3,0)*0.475*44/12</f>
        <v>3.4170815842641558</v>
      </c>
      <c r="BR38" s="21">
        <f>EXP(-LN(2)/2)*BR37+(1-EXP(-LN(2)/2))/(LN(2)/2)*BL38*BO38*VLOOKUP('Données projet'!$B$11,Paramètres!$A$1:$I$89,3,0)*0.475*44/12</f>
        <v>3.8086835445826317</v>
      </c>
      <c r="BS38" s="22">
        <f t="shared" si="9"/>
        <v>25.015973889261975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1">
        <f t="shared" si="32"/>
        <v>9.7016318496336797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67">
        <f t="shared" si="1"/>
        <v>365.00506213811195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132.02280000000007</v>
      </c>
      <c r="P39" s="13">
        <f t="shared" si="33"/>
        <v>34.463348169992798</v>
      </c>
      <c r="Q39" s="20">
        <f t="shared" si="53"/>
        <v>289.96337472940422</v>
      </c>
      <c r="R39" s="59">
        <f t="shared" si="0"/>
        <v>583.29670806273748</v>
      </c>
      <c r="S39" s="59">
        <f ca="1">AVERAGE(OFFSET($R$3,0,0,'Données projet'!$E$9+1,1))-AVERAGE(OFFSET($H$3,0,0,'Données projet'!$E$9+1,1))</f>
        <v>342.91408684769942</v>
      </c>
      <c r="T39" s="59">
        <f t="shared" si="34"/>
        <v>209.92380505963234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10.086270553395639</v>
      </c>
      <c r="AA39" s="21">
        <f>EXP(-LN(2)/25)*AA38+(1-EXP(-LN(2)/25))/(LN(2)/25)*Calculateur!V39*Calculateur!X39*VLOOKUP('Données projet'!$B$9,Paramètres!$A$1:$I$89,3,0)*0.475*44/12</f>
        <v>1.9566648059982339</v>
      </c>
      <c r="AB39" s="21">
        <f>EXP(-LN(2)/2)*AB38+(1-EXP(-LN(2)/2))/(LN(2)/2)*V39*Y39*VLOOKUP('Données projet'!$B$9,Paramètres!$A$1:$I$89,3,0)*0.475*44/12</f>
        <v>2.6749186997884395</v>
      </c>
      <c r="AC39" s="22">
        <f t="shared" si="3"/>
        <v>14.717854059182311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12.4</v>
      </c>
      <c r="AI39" s="13">
        <f>IF('Données projet'!$A$62&gt;35,AI38+AH39-AQ38,IF(A39&lt;'Données projet'!$A$62,$AF$205^A39,IF(A39='Données projet'!$A$62,'Données projet'!$B$62,AI38+AH39-AQ38)))</f>
        <v>275.39999999999998</v>
      </c>
      <c r="AJ39" s="13">
        <f>AI39*VLOOKUP('Données projet'!$B$10,Paramètres!$A$1:$I$89,3,0)*VLOOKUP('Données projet'!$B$10,Paramètres!$A$1:$I$89,5,0)</f>
        <v>184.73831999999999</v>
      </c>
      <c r="AK39" s="13">
        <f t="shared" si="35"/>
        <v>46.374775595471988</v>
      </c>
      <c r="AL39" s="20">
        <f t="shared" si="4"/>
        <v>402.52197482878029</v>
      </c>
      <c r="AM39" s="59">
        <f t="shared" si="5"/>
        <v>695.8553081621136</v>
      </c>
      <c r="AN39" s="59">
        <f ca="1">AVERAGE(OFFSET($AM$3,0,0,'Données projet'!$E$10+1,1))-AVERAGE(OFFSET($H$3,0,0,'Données projet'!$E$10+1,1))</f>
        <v>296.25231821504275</v>
      </c>
      <c r="AO39" s="59">
        <f t="shared" si="36"/>
        <v>316.20936902390275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17.184775797191286</v>
      </c>
      <c r="AV39" s="21">
        <f>EXP(-LN(2)/25)*AV38+(1-EXP(-LN(2)/25))/(LN(2)/25)*Calculateur!AQ39*Calculateur!AS39*VLOOKUP('Données projet'!$B$10,Paramètres!$A$1:$I$89,3,0)*0.475*44/12</f>
        <v>2.7654841328059567</v>
      </c>
      <c r="AW39" s="21">
        <f>EXP(-LN(2)/2)*AW38+(1-EXP(-LN(2)/2))/(LN(2)/2)*AQ39*AT39*VLOOKUP('Données projet'!$B$10,Paramètres!$A$1:$I$89,3,0)*0.475*44/12</f>
        <v>2.2949912750300521</v>
      </c>
      <c r="AX39" s="21">
        <f t="shared" si="6"/>
        <v>22.245251205027294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145.11743999999999</v>
      </c>
      <c r="BF39" s="13">
        <f t="shared" si="37"/>
        <v>37.466878406916173</v>
      </c>
      <c r="BG39" s="20">
        <f t="shared" si="7"/>
        <v>318.00102122537896</v>
      </c>
      <c r="BH39" s="59">
        <f t="shared" si="8"/>
        <v>611.33435455871222</v>
      </c>
      <c r="BI39" s="59">
        <f ca="1">AVERAGE(OFFSET($BH$3,0,0,'Données projet'!$E$11+1,1))-AVERAGE(OFFSET($H$3,0,0,'Données projet'!$E$11+1,1))</f>
        <v>244.50301885429764</v>
      </c>
      <c r="BJ39" s="59">
        <f t="shared" si="38"/>
        <v>248.77995374147798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17.441353617579345</v>
      </c>
      <c r="BQ39" s="21">
        <f>EXP(-LN(2)/25)*BQ38+(1-EXP(-LN(2)/25))/(LN(2)/25)*Calculateur!BL39*Calculateur!BN39*VLOOKUP('Données projet'!$B$11,Paramètres!$A$1:$I$89,3,0)*0.475*44/12</f>
        <v>3.3236413086459415</v>
      </c>
      <c r="BR39" s="21">
        <f>EXP(-LN(2)/2)*BR38+(1-EXP(-LN(2)/2))/(LN(2)/2)*BL39*BO39*VLOOKUP('Données projet'!$B$11,Paramètres!$A$1:$I$89,3,0)*0.475*44/12</f>
        <v>2.6931459617679954</v>
      </c>
      <c r="BS39" s="22">
        <f t="shared" si="9"/>
        <v>23.458140887993284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1">
        <f t="shared" si="32"/>
        <v>9.9393719729191492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67">
        <f t="shared" si="1"/>
        <v>366.9406461861675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143.37960000000004</v>
      </c>
      <c r="P40" s="13">
        <f t="shared" si="33"/>
        <v>37.070146308317469</v>
      </c>
      <c r="Q40" s="20">
        <f t="shared" si="53"/>
        <v>314.28330815365302</v>
      </c>
      <c r="R40" s="59">
        <f t="shared" si="0"/>
        <v>607.61664148698628</v>
      </c>
      <c r="S40" s="59">
        <f ca="1">AVERAGE(OFFSET($R$3,0,0,'Données projet'!$E$9+1,1))-AVERAGE(OFFSET($H$3,0,0,'Données projet'!$E$9+1,1))</f>
        <v>342.91408684769942</v>
      </c>
      <c r="T40" s="59">
        <f t="shared" si="34"/>
        <v>209.92380505963234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9.8884849398611276</v>
      </c>
      <c r="AA40" s="21">
        <f>EXP(-LN(2)/25)*AA39+(1-EXP(-LN(2)/25))/(LN(2)/25)*Calculateur!V40*Calculateur!X40*VLOOKUP('Données projet'!$B$9,Paramètres!$A$1:$I$89,3,0)*0.475*44/12</f>
        <v>1.9031597039816821</v>
      </c>
      <c r="AB40" s="21">
        <f>EXP(-LN(2)/2)*AB39+(1-EXP(-LN(2)/2))/(LN(2)/2)*V40*Y40*VLOOKUP('Données projet'!$B$9,Paramètres!$A$1:$I$89,3,0)*0.475*44/12</f>
        <v>1.8914531517431084</v>
      </c>
      <c r="AC40" s="22">
        <f t="shared" si="3"/>
        <v>13.683097795585919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12.4</v>
      </c>
      <c r="AI40" s="13">
        <f>IF('Données projet'!$A$62&gt;35,AI39+AH40-AQ39,IF(A40&lt;'Données projet'!$A$62,$AF$205^A40,IF(A40='Données projet'!$A$62,'Données projet'!$B$62,AI39+AH40-AQ39)))</f>
        <v>287.79999999999995</v>
      </c>
      <c r="AJ40" s="13">
        <f>AI40*VLOOKUP('Données projet'!$B$10,Paramètres!$A$1:$I$89,3,0)*VLOOKUP('Données projet'!$B$10,Paramètres!$A$1:$I$89,5,0)</f>
        <v>193.05623999999997</v>
      </c>
      <c r="AK40" s="13">
        <f t="shared" si="35"/>
        <v>48.215015311684695</v>
      </c>
      <c r="AL40" s="20">
        <f t="shared" si="4"/>
        <v>420.21410300118418</v>
      </c>
      <c r="AM40" s="59">
        <f t="shared" si="5"/>
        <v>713.54743633451744</v>
      </c>
      <c r="AN40" s="59">
        <f ca="1">AVERAGE(OFFSET($AM$3,0,0,'Données projet'!$E$10+1,1))-AVERAGE(OFFSET($H$3,0,0,'Données projet'!$E$10+1,1))</f>
        <v>296.25231821504275</v>
      </c>
      <c r="AO40" s="59">
        <f t="shared" si="36"/>
        <v>316.20936902390275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16.847792825486621</v>
      </c>
      <c r="AV40" s="21">
        <f>EXP(-LN(2)/25)*AV39+(1-EXP(-LN(2)/25))/(LN(2)/25)*Calculateur!AQ40*Calculateur!AS40*VLOOKUP('Données projet'!$B$10,Paramètres!$A$1:$I$89,3,0)*0.475*44/12</f>
        <v>2.6898618237638878</v>
      </c>
      <c r="AW40" s="21">
        <f>EXP(-LN(2)/2)*AW39+(1-EXP(-LN(2)/2))/(LN(2)/2)*AQ40*AT40*VLOOKUP('Données projet'!$B$10,Paramètres!$A$1:$I$89,3,0)*0.475*44/12</f>
        <v>1.6228038933377109</v>
      </c>
      <c r="AX40" s="21">
        <f t="shared" si="6"/>
        <v>21.16045854258822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154.18727999999999</v>
      </c>
      <c r="BF40" s="13">
        <f t="shared" si="37"/>
        <v>39.528629863903078</v>
      </c>
      <c r="BG40" s="20">
        <f t="shared" si="7"/>
        <v>337.38854301296448</v>
      </c>
      <c r="BH40" s="59">
        <f t="shared" si="8"/>
        <v>630.72187634629779</v>
      </c>
      <c r="BI40" s="59">
        <f ca="1">AVERAGE(OFFSET($BH$3,0,0,'Données projet'!$E$11+1,1))-AVERAGE(OFFSET($H$3,0,0,'Données projet'!$E$11+1,1))</f>
        <v>244.50301885429764</v>
      </c>
      <c r="BJ40" s="59">
        <f t="shared" si="38"/>
        <v>248.77995374147798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17.099339311313887</v>
      </c>
      <c r="BQ40" s="21">
        <f>EXP(-LN(2)/25)*BQ39+(1-EXP(-LN(2)/25))/(LN(2)/25)*Calculateur!BL40*Calculateur!BN40*VLOOKUP('Données projet'!$B$11,Paramètres!$A$1:$I$89,3,0)*0.475*44/12</f>
        <v>3.2327561622783181</v>
      </c>
      <c r="BR40" s="21">
        <f>EXP(-LN(2)/2)*BR39+(1-EXP(-LN(2)/2))/(LN(2)/2)*BL40*BO40*VLOOKUP('Données projet'!$B$11,Paramètres!$A$1:$I$89,3,0)*0.475*44/12</f>
        <v>1.9043417722913161</v>
      </c>
      <c r="BS40" s="22">
        <f t="shared" si="9"/>
        <v>22.236437245883522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1">
        <f t="shared" si="32"/>
        <v>10.176365257768927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67">
        <f t="shared" si="1"/>
        <v>368.87492949061419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154.73640000000003</v>
      </c>
      <c r="P41" s="13">
        <f t="shared" si="33"/>
        <v>39.652994320183701</v>
      </c>
      <c r="Q41" s="20">
        <f t="shared" si="53"/>
        <v>338.56152844098665</v>
      </c>
      <c r="R41" s="59">
        <f t="shared" si="0"/>
        <v>631.89486177431991</v>
      </c>
      <c r="S41" s="59">
        <f ca="1">AVERAGE(OFFSET($R$3,0,0,'Données projet'!$E$9+1,1))-AVERAGE(OFFSET($H$3,0,0,'Données projet'!$E$9+1,1))</f>
        <v>342.91408684769942</v>
      </c>
      <c r="T41" s="59">
        <f t="shared" si="34"/>
        <v>209.92380505963234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9.6945777815707146</v>
      </c>
      <c r="AA41" s="21">
        <f>EXP(-LN(2)/25)*AA40+(1-EXP(-LN(2)/25))/(LN(2)/25)*Calculateur!V41*Calculateur!X41*VLOOKUP('Données projet'!$B$9,Paramètres!$A$1:$I$89,3,0)*0.475*44/12</f>
        <v>1.8511177017934839</v>
      </c>
      <c r="AB41" s="21">
        <f>EXP(-LN(2)/2)*AB40+(1-EXP(-LN(2)/2))/(LN(2)/2)*V41*Y41*VLOOKUP('Données projet'!$B$9,Paramètres!$A$1:$I$89,3,0)*0.475*44/12</f>
        <v>1.3374593498942198</v>
      </c>
      <c r="AC41" s="22">
        <f t="shared" si="3"/>
        <v>12.883154833258418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12.4</v>
      </c>
      <c r="AI41" s="13">
        <f>IF('Données projet'!$A$62&gt;35,AI40+AH41-AQ40,IF(A41&lt;'Données projet'!$A$62,$AF$205^A41,IF(A41='Données projet'!$A$62,'Données projet'!$B$62,AI40+AH41-AQ40)))</f>
        <v>300.19999999999993</v>
      </c>
      <c r="AJ41" s="13">
        <f>AI41*VLOOKUP('Données projet'!$B$10,Paramètres!$A$1:$I$89,3,0)*VLOOKUP('Données projet'!$B$10,Paramètres!$A$1:$I$89,5,0)</f>
        <v>201.37415999999993</v>
      </c>
      <c r="AK41" s="13">
        <f t="shared" si="35"/>
        <v>50.046046045914117</v>
      </c>
      <c r="AL41" s="20">
        <f t="shared" si="4"/>
        <v>437.89019219663368</v>
      </c>
      <c r="AM41" s="59">
        <f t="shared" si="5"/>
        <v>731.22352552996699</v>
      </c>
      <c r="AN41" s="59">
        <f ca="1">AVERAGE(OFFSET($AM$3,0,0,'Données projet'!$E$10+1,1))-AVERAGE(OFFSET($H$3,0,0,'Données projet'!$E$10+1,1))</f>
        <v>296.25231821504275</v>
      </c>
      <c r="AO41" s="59">
        <f t="shared" si="36"/>
        <v>316.20936902390275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16.517417884317769</v>
      </c>
      <c r="AV41" s="21">
        <f>EXP(-LN(2)/25)*AV40+(1-EXP(-LN(2)/25))/(LN(2)/25)*Calculateur!AQ41*Calculateur!AS41*VLOOKUP('Données projet'!$B$10,Paramètres!$A$1:$I$89,3,0)*0.475*44/12</f>
        <v>2.6163074107393789</v>
      </c>
      <c r="AW41" s="21">
        <f>EXP(-LN(2)/2)*AW40+(1-EXP(-LN(2)/2))/(LN(2)/2)*AQ41*AT41*VLOOKUP('Données projet'!$B$10,Paramètres!$A$1:$I$89,3,0)*0.475*44/12</f>
        <v>1.1474956375150263</v>
      </c>
      <c r="AX41" s="21">
        <f t="shared" si="6"/>
        <v>20.281220932572172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163.25712000000001</v>
      </c>
      <c r="BF41" s="13">
        <f t="shared" si="37"/>
        <v>41.576304038313076</v>
      </c>
      <c r="BG41" s="20">
        <f t="shared" si="7"/>
        <v>356.75154686672863</v>
      </c>
      <c r="BH41" s="59">
        <f t="shared" si="8"/>
        <v>650.08488020006189</v>
      </c>
      <c r="BI41" s="59">
        <f ca="1">AVERAGE(OFFSET($BH$3,0,0,'Données projet'!$E$11+1,1))-AVERAGE(OFFSET($H$3,0,0,'Données projet'!$E$11+1,1))</f>
        <v>244.50301885429764</v>
      </c>
      <c r="BJ41" s="59">
        <f t="shared" si="38"/>
        <v>248.77995374147798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16.764031696986166</v>
      </c>
      <c r="BQ41" s="21">
        <f>EXP(-LN(2)/25)*BQ40+(1-EXP(-LN(2)/25))/(LN(2)/25)*Calculateur!BL41*Calculateur!BN41*VLOOKUP('Données projet'!$B$11,Paramètres!$A$1:$I$89,3,0)*0.475*44/12</f>
        <v>3.1443562750175595</v>
      </c>
      <c r="BR41" s="21">
        <f>EXP(-LN(2)/2)*BR40+(1-EXP(-LN(2)/2))/(LN(2)/2)*BL41*BO41*VLOOKUP('Données projet'!$B$11,Paramètres!$A$1:$I$89,3,0)*0.475*44/12</f>
        <v>1.3465729808839979</v>
      </c>
      <c r="BS41" s="22">
        <f t="shared" si="9"/>
        <v>21.254960952887725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1">
        <f t="shared" si="32"/>
        <v>10.412633617059315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67">
        <f t="shared" si="1"/>
        <v>370.80795021637829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166.09320000000002</v>
      </c>
      <c r="P42" s="13">
        <f t="shared" si="33"/>
        <v>42.213849908165905</v>
      </c>
      <c r="Q42" s="20">
        <f t="shared" si="53"/>
        <v>362.80144525672227</v>
      </c>
      <c r="R42" s="59">
        <f t="shared" si="0"/>
        <v>656.13477859005559</v>
      </c>
      <c r="S42" s="59">
        <f ca="1">AVERAGE(OFFSET($R$3,0,0,'Données projet'!$E$9+1,1))-AVERAGE(OFFSET($H$3,0,0,'Données projet'!$E$9+1,1))</f>
        <v>342.91408684769942</v>
      </c>
      <c r="T42" s="59">
        <f t="shared" si="34"/>
        <v>209.92380505963234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9.5044730243826887</v>
      </c>
      <c r="AA42" s="21">
        <f>EXP(-LN(2)/25)*AA41+(1-EXP(-LN(2)/25))/(LN(2)/25)*Calculateur!V42*Calculateur!X42*VLOOKUP('Données projet'!$B$9,Paramètres!$A$1:$I$89,3,0)*0.475*44/12</f>
        <v>1.8004987908918919</v>
      </c>
      <c r="AB42" s="21">
        <f>EXP(-LN(2)/2)*AB41+(1-EXP(-LN(2)/2))/(LN(2)/2)*V42*Y42*VLOOKUP('Données projet'!$B$9,Paramètres!$A$1:$I$89,3,0)*0.475*44/12</f>
        <v>0.94572657587155418</v>
      </c>
      <c r="AC42" s="22">
        <f t="shared" si="3"/>
        <v>12.250698391146134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12.4</v>
      </c>
      <c r="AI42" s="13">
        <f>IF('Données projet'!$A$62&gt;35,AI41+AH42-AQ41,IF(A42&lt;'Données projet'!$A$62,$AF$205^A42,IF(A42='Données projet'!$A$62,'Données projet'!$B$62,AI41+AH42-AQ41)))</f>
        <v>312.59999999999991</v>
      </c>
      <c r="AJ42" s="13">
        <f>AI42*VLOOKUP('Données projet'!$B$10,Paramètres!$A$1:$I$89,3,0)*VLOOKUP('Données projet'!$B$10,Paramètres!$A$1:$I$89,5,0)</f>
        <v>209.69207999999992</v>
      </c>
      <c r="AK42" s="13">
        <f t="shared" si="35"/>
        <v>51.868291685776278</v>
      </c>
      <c r="AL42" s="20">
        <f t="shared" si="4"/>
        <v>455.5509806860602</v>
      </c>
      <c r="AM42" s="59">
        <f t="shared" si="5"/>
        <v>748.88431401939351</v>
      </c>
      <c r="AN42" s="59">
        <f ca="1">AVERAGE(OFFSET($AM$3,0,0,'Données projet'!$E$10+1,1))-AVERAGE(OFFSET($H$3,0,0,'Données projet'!$E$10+1,1))</f>
        <v>296.25231821504275</v>
      </c>
      <c r="AO42" s="59">
        <f t="shared" si="36"/>
        <v>316.20936902390275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16.19352139423642</v>
      </c>
      <c r="AV42" s="21">
        <f>EXP(-LN(2)/25)*AV41+(1-EXP(-LN(2)/25))/(LN(2)/25)*Calculateur!AQ42*Calculateur!AS42*VLOOKUP('Données projet'!$B$10,Paramètres!$A$1:$I$89,3,0)*0.475*44/12</f>
        <v>2.5447643470070833</v>
      </c>
      <c r="AW42" s="21">
        <f>EXP(-LN(2)/2)*AW41+(1-EXP(-LN(2)/2))/(LN(2)/2)*AQ42*AT42*VLOOKUP('Données projet'!$B$10,Paramètres!$A$1:$I$89,3,0)*0.475*44/12</f>
        <v>0.81140194666885557</v>
      </c>
      <c r="AX42" s="21">
        <f t="shared" si="6"/>
        <v>19.549687687912357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172.32695999999999</v>
      </c>
      <c r="BF42" s="13">
        <f t="shared" si="37"/>
        <v>43.61077213808133</v>
      </c>
      <c r="BG42" s="20">
        <f t="shared" si="7"/>
        <v>376.09155014049156</v>
      </c>
      <c r="BH42" s="59">
        <f t="shared" si="8"/>
        <v>669.42488347382482</v>
      </c>
      <c r="BI42" s="59">
        <f ca="1">AVERAGE(OFFSET($BH$3,0,0,'Données projet'!$E$11+1,1))-AVERAGE(OFFSET($H$3,0,0,'Données projet'!$E$11+1,1))</f>
        <v>244.50301885429764</v>
      </c>
      <c r="BJ42" s="59">
        <f t="shared" si="38"/>
        <v>248.77995374147798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16.435299260457963</v>
      </c>
      <c r="BQ42" s="21">
        <f>EXP(-LN(2)/25)*BQ41+(1-EXP(-LN(2)/25))/(LN(2)/25)*Calculateur!BL42*Calculateur!BN42*VLOOKUP('Données projet'!$B$11,Paramètres!$A$1:$I$89,3,0)*0.475*44/12</f>
        <v>3.0583736873226943</v>
      </c>
      <c r="BR42" s="21">
        <f>EXP(-LN(2)/2)*BR41+(1-EXP(-LN(2)/2))/(LN(2)/2)*BL42*BO42*VLOOKUP('Données projet'!$B$11,Paramètres!$A$1:$I$89,3,0)*0.475*44/12</f>
        <v>0.95217088614565826</v>
      </c>
      <c r="BS42" s="22">
        <f t="shared" si="9"/>
        <v>20.445843833926318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1">
        <f t="shared" si="32"/>
        <v>10.648197775908045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67">
        <f t="shared" si="1"/>
        <v>372.73974445970651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177.45000000000002</v>
      </c>
      <c r="P43" s="13">
        <f t="shared" si="33"/>
        <v>44.754387900936791</v>
      </c>
      <c r="Q43" s="20">
        <f t="shared" si="53"/>
        <v>387.0059755941316</v>
      </c>
      <c r="R43" s="59">
        <f t="shared" si="0"/>
        <v>680.33930892746491</v>
      </c>
      <c r="S43" s="59">
        <f ca="1">AVERAGE(OFFSET($R$3,0,0,'Données projet'!$E$9+1,1))-AVERAGE(OFFSET($H$3,0,0,'Données projet'!$E$9+1,1))</f>
        <v>342.91408684769942</v>
      </c>
      <c r="T43" s="59">
        <f t="shared" si="34"/>
        <v>209.92380505963234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0.17200000000000001</v>
      </c>
      <c r="X43" s="16">
        <f>IF(ISNA(VLOOKUP(A43,'Données projet'!$A$35:$I$55,6,0)),0%,VLOOKUP(A43,'Données projet'!$A$35:$I$55,6,0)*VLOOKUP('Données projet'!$B$9,Paramètres!$A$1:$I$89,7,0))</f>
        <v>3.44E-2</v>
      </c>
      <c r="Y43" s="16">
        <f>IF(ISNA(VLOOKUP(A43,'Données projet'!$A$35:$I$55,7,0)),0%,VLOOKUP(A43,'Données projet'!$A$35:$I$55,7,0))</f>
        <v>0.12</v>
      </c>
      <c r="Z43" s="21">
        <f>EXP(-LN(2)/35)*Z42+(1-EXP(-LN(2)/35))/(LN(2)/35)*V43*W43*VLOOKUP('Données projet'!$B$9,Paramètres!$A$1:$I$89,3,0)*0.475*44/12</f>
        <v>14.716576688230987</v>
      </c>
      <c r="AA43" s="21">
        <f>EXP(-LN(2)/25)*AA42+(1-EXP(-LN(2)/25))/(LN(2)/25)*Calculateur!V43*Calculateur!X43*VLOOKUP('Données projet'!$B$9,Paramètres!$A$1:$I$89,3,0)*0.475*44/12</f>
        <v>2.8267089983036087</v>
      </c>
      <c r="AB43" s="21">
        <f>EXP(-LN(2)/2)*AB42+(1-EXP(-LN(2)/2))/(LN(2)/2)*V43*Y43*VLOOKUP('Données projet'!$B$9,Paramètres!$A$1:$I$89,3,0)*0.475*44/12</f>
        <v>3.883363614084252</v>
      </c>
      <c r="AC43" s="22">
        <f t="shared" si="3"/>
        <v>21.426649300618848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325</v>
      </c>
      <c r="AG43" s="12">
        <f>VLOOKUP(A43,'Données projet'!$A$61:$I$81,9,0)</f>
        <v>12.4</v>
      </c>
      <c r="AH43" s="12">
        <f t="array" ref="AH43">INDEX(AG:AG,MIN(IF(ISNUMBER(AG43:AG239),ROW(AG43:AG239),"")))</f>
        <v>12.4</v>
      </c>
      <c r="AI43" s="13">
        <f>IF('Données projet'!$A$62&gt;35,AI42+AH43-AQ42,IF(A43&lt;'Données projet'!$A$62,$AF$205^A43,IF(A43='Données projet'!$A$62,'Données projet'!$B$62,AI42+AH43-AQ42)))</f>
        <v>324.99999999999989</v>
      </c>
      <c r="AJ43" s="13">
        <f>AI43*VLOOKUP('Données projet'!$B$10,Paramètres!$A$1:$I$89,3,0)*VLOOKUP('Données projet'!$B$10,Paramètres!$A$1:$I$89,5,0)</f>
        <v>218.00999999999991</v>
      </c>
      <c r="AK43" s="13">
        <f t="shared" si="35"/>
        <v>53.682140586224357</v>
      </c>
      <c r="AL43" s="20">
        <f t="shared" si="4"/>
        <v>473.19714485434059</v>
      </c>
      <c r="AM43" s="59">
        <f t="shared" si="5"/>
        <v>766.53047818767391</v>
      </c>
      <c r="AN43" s="59">
        <f ca="1">AVERAGE(OFFSET($AM$3,0,0,'Données projet'!$E$10+1,1))-AVERAGE(OFFSET($H$3,0,0,'Données projet'!$E$10+1,1))</f>
        <v>296.25231821504275</v>
      </c>
      <c r="AO43" s="59">
        <f t="shared" si="36"/>
        <v>316.20936902390275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31</v>
      </c>
      <c r="AR43" s="16">
        <f>IF(ISNA(VLOOKUP(A43,'Données projet'!$A$61:$I$81,5,0)),0%,VLOOKUP(A43,'Données projet'!$A$61:$I$81,5,0)*VLOOKUP('Données projet'!$B$10,Paramètres!$A$1:$I$89,7,0))</f>
        <v>0.26500000000000001</v>
      </c>
      <c r="AS43" s="16">
        <f>IF(ISNA(VLOOKUP(A43,'Données projet'!$A$61:$I$81,6,0)),0%,VLOOKUP(A43,'Données projet'!$A$61:$I$81,6,0)*VLOOKUP('Données projet'!$B$10,Paramètres!$A$1:$I$89,7,0))</f>
        <v>3.1800000000000002E-2</v>
      </c>
      <c r="AT43" s="16">
        <f>IF(ISNA(VLOOKUP(A43,'Données projet'!$A$61:$I$81,7,0)),0%,VLOOKUP(A43,'Données projet'!$A$61:$I$81,7,0))</f>
        <v>0.14000000000000001</v>
      </c>
      <c r="AU43" s="21">
        <f>EXP(-LN(2)/35)*AU42+(1-EXP(-LN(2)/35))/(LN(2)/35)*AQ43*AR43*VLOOKUP('Données projet'!$B$10,Paramètres!$A$1:$I$89,3,0)*0.475*44/12</f>
        <v>21.96780571057084</v>
      </c>
      <c r="AV43" s="21">
        <f>EXP(-LN(2)/25)*AV42+(1-EXP(-LN(2)/25))/(LN(2)/25)*Calculateur!AQ43*Calculateur!AS43*VLOOKUP('Données projet'!$B$10,Paramètres!$A$1:$I$89,3,0)*0.475*44/12</f>
        <v>3.2033188569520634</v>
      </c>
      <c r="AW43" s="21">
        <f>EXP(-LN(2)/2)*AW42+(1-EXP(-LN(2)/2))/(LN(2)/2)*AQ43*AT43*VLOOKUP('Données projet'!$B$10,Paramètres!$A$1:$I$89,3,0)*0.475*44/12</f>
        <v>3.320611306494571</v>
      </c>
      <c r="AX43" s="21">
        <f t="shared" si="6"/>
        <v>28.491735874017472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181.39680000000001</v>
      </c>
      <c r="BF43" s="13">
        <f t="shared" si="37"/>
        <v>45.63280848550832</v>
      </c>
      <c r="BG43" s="20">
        <f t="shared" si="7"/>
        <v>395.40990144559368</v>
      </c>
      <c r="BH43" s="59">
        <f t="shared" si="8"/>
        <v>688.74323477892699</v>
      </c>
      <c r="BI43" s="59">
        <f ca="1">AVERAGE(OFFSET($BH$3,0,0,'Données projet'!$E$11+1,1))-AVERAGE(OFFSET($H$3,0,0,'Données projet'!$E$11+1,1))</f>
        <v>244.50301885429764</v>
      </c>
      <c r="BJ43" s="59">
        <f t="shared" si="38"/>
        <v>248.77995374147798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0.26500000000000001</v>
      </c>
      <c r="BN43" s="16">
        <f>IF(ISNA(VLOOKUP(A43,'Données projet'!$A$87:$I$107,6,0)),0%,VLOOKUP(A43,'Données projet'!$A$87:$I$107,6,0)*VLOOKUP('Données projet'!$B$11,Paramètres!$A$1:$I$89,7,0))</f>
        <v>3.1800000000000002E-2</v>
      </c>
      <c r="BO43" s="16">
        <f>IF(ISNA(VLOOKUP(A43,'Données projet'!$A$87:$I$107,7,0)),0%,VLOOKUP(A43,'Données projet'!$A$87:$I$107,7,0))</f>
        <v>0.14000000000000001</v>
      </c>
      <c r="BP43" s="21">
        <f>EXP(-LN(2)/35)*BP42+(1-EXP(-LN(2)/35))/(LN(2)/35)*BL43*BM43*VLOOKUP('Données projet'!$B$11,Paramètres!$A$1:$I$89,3,0)*0.475*44/12</f>
        <v>24.270489036448843</v>
      </c>
      <c r="BQ43" s="21">
        <f>EXP(-LN(2)/25)*BQ42+(1-EXP(-LN(2)/25))/(LN(2)/25)*Calculateur!BL43*Calculateur!BN43*VLOOKUP('Données projet'!$B$11,Paramètres!$A$1:$I$89,3,0)*0.475*44/12</f>
        <v>3.9497851234671786</v>
      </c>
      <c r="BR43" s="21">
        <f>EXP(-LN(2)/2)*BR42+(1-EXP(-LN(2)/2))/(LN(2)/2)*BL43*BO43*VLOOKUP('Données projet'!$B$11,Paramètres!$A$1:$I$89,3,0)*0.475*44/12</f>
        <v>4.3515695554162299</v>
      </c>
      <c r="BS43" s="22">
        <f t="shared" si="9"/>
        <v>32.57184371533225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1">
        <f t="shared" si="32"/>
        <v>10.883077364116859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67">
        <f t="shared" si="1"/>
        <v>374.67034640917018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160.61760000000001</v>
      </c>
      <c r="P44" s="13">
        <f t="shared" si="33"/>
        <v>40.981785561145074</v>
      </c>
      <c r="Q44" s="20">
        <f t="shared" si="53"/>
        <v>351.11892985232771</v>
      </c>
      <c r="R44" s="59">
        <f t="shared" si="0"/>
        <v>644.45226318566097</v>
      </c>
      <c r="S44" s="59">
        <f ca="1">AVERAGE(OFFSET($R$3,0,0,'Données projet'!$E$9+1,1))-AVERAGE(OFFSET($H$3,0,0,'Données projet'!$E$9+1,1))</f>
        <v>342.91408684769942</v>
      </c>
      <c r="T44" s="59">
        <f t="shared" si="34"/>
        <v>209.92380505963234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14.427993595600228</v>
      </c>
      <c r="AA44" s="21">
        <f>EXP(-LN(2)/25)*AA43+(1-EXP(-LN(2)/25))/(LN(2)/25)*Calculateur!V44*Calculateur!X44*VLOOKUP('Données projet'!$B$9,Paramètres!$A$1:$I$89,3,0)*0.475*44/12</f>
        <v>2.7494124920948306</v>
      </c>
      <c r="AB44" s="21">
        <f>EXP(-LN(2)/2)*AB43+(1-EXP(-LN(2)/2))/(LN(2)/2)*V44*Y44*VLOOKUP('Données projet'!$B$9,Paramètres!$A$1:$I$89,3,0)*0.475*44/12</f>
        <v>2.7459527453320738</v>
      </c>
      <c r="AC44" s="22">
        <f t="shared" si="3"/>
        <v>19.92335883302713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11.8</v>
      </c>
      <c r="AI44" s="13">
        <f>IF('Données projet'!$A$62&gt;35,AI43+AH44-AQ43,IF(A44&lt;'Données projet'!$A$62,$AF$205^A44,IF(A44='Données projet'!$A$62,'Données projet'!$B$62,AI43+AH44-AQ43)))</f>
        <v>305.7999999999999</v>
      </c>
      <c r="AJ44" s="13">
        <f>AI44*VLOOKUP('Données projet'!$B$10,Paramètres!$A$1:$I$89,3,0)*VLOOKUP('Données projet'!$B$10,Paramètres!$A$1:$I$89,5,0)</f>
        <v>205.13063999999991</v>
      </c>
      <c r="AK44" s="13">
        <f t="shared" si="35"/>
        <v>50.870059500223988</v>
      </c>
      <c r="AL44" s="20">
        <f t="shared" si="4"/>
        <v>445.86788496288995</v>
      </c>
      <c r="AM44" s="59">
        <f t="shared" si="5"/>
        <v>739.20121829622326</v>
      </c>
      <c r="AN44" s="59">
        <f ca="1">AVERAGE(OFFSET($AM$3,0,0,'Données projet'!$E$10+1,1))-AVERAGE(OFFSET($H$3,0,0,'Données projet'!$E$10+1,1))</f>
        <v>296.25231821504275</v>
      </c>
      <c r="AO44" s="59">
        <f t="shared" si="36"/>
        <v>316.20936902390275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21.537030439624985</v>
      </c>
      <c r="AV44" s="21">
        <f>EXP(-LN(2)/25)*AV43+(1-EXP(-LN(2)/25))/(LN(2)/25)*Calculateur!AQ44*Calculateur!AS44*VLOOKUP('Données projet'!$B$10,Paramètres!$A$1:$I$89,3,0)*0.475*44/12</f>
        <v>3.1157239343534919</v>
      </c>
      <c r="AW44" s="21">
        <f>EXP(-LN(2)/2)*AW43+(1-EXP(-LN(2)/2))/(LN(2)/2)*AQ44*AT44*VLOOKUP('Données projet'!$B$10,Paramètres!$A$1:$I$89,3,0)*0.475*44/12</f>
        <v>2.3480267725070325</v>
      </c>
      <c r="AX44" s="21">
        <f t="shared" si="6"/>
        <v>27.000781146485512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9.4</v>
      </c>
      <c r="BD44" s="12">
        <f>IF('Données projet'!$A$88&gt;35,BD43+BC44-BL43,IF(A44&lt;'Données projet'!$A$88,$BA$205^A44,IF(A44='Données projet'!$A$88,'Données projet'!$B$88,BD43+BC44-BL43)))</f>
        <v>202.4</v>
      </c>
      <c r="BE44" s="13">
        <f>BD44*VLOOKUP('Données projet'!$B$11,Paramètres!$A$1:$I$89,3,0)*VLOOKUP('Données projet'!$B$11,Paramètres!$A$1:$I$89,5,0)</f>
        <v>161.02944000000002</v>
      </c>
      <c r="BF44" s="13">
        <f t="shared" si="37"/>
        <v>41.074621732940685</v>
      </c>
      <c r="BG44" s="20">
        <f t="shared" si="7"/>
        <v>351.99790751820501</v>
      </c>
      <c r="BH44" s="59">
        <f t="shared" si="8"/>
        <v>645.33124085153827</v>
      </c>
      <c r="BI44" s="59">
        <f ca="1">AVERAGE(OFFSET($BH$3,0,0,'Données projet'!$E$11+1,1))-AVERAGE(OFFSET($H$3,0,0,'Données projet'!$E$11+1,1))</f>
        <v>244.50301885429764</v>
      </c>
      <c r="BJ44" s="59">
        <f t="shared" si="38"/>
        <v>248.77995374147798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23.794559549980665</v>
      </c>
      <c r="BQ44" s="21">
        <f>EXP(-LN(2)/25)*BQ43+(1-EXP(-LN(2)/25))/(LN(2)/25)*Calculateur!BL44*Calculateur!BN44*VLOOKUP('Données projet'!$B$11,Paramètres!$A$1:$I$89,3,0)*0.475*44/12</f>
        <v>3.8417780415557963</v>
      </c>
      <c r="BR44" s="21">
        <f>EXP(-LN(2)/2)*BR43+(1-EXP(-LN(2)/2))/(LN(2)/2)*BL44*BO44*VLOOKUP('Données projet'!$B$11,Paramètres!$A$1:$I$89,3,0)*0.475*44/12</f>
        <v>3.077024341439746</v>
      </c>
      <c r="BS44" s="22">
        <f t="shared" si="9"/>
        <v>30.713361932976206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1">
        <f t="shared" si="32"/>
        <v>11.117290999341371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67">
        <f t="shared" si="1"/>
        <v>376.59978849051953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172.1772</v>
      </c>
      <c r="P45" s="13">
        <f t="shared" si="33"/>
        <v>43.577282221917017</v>
      </c>
      <c r="Q45" s="20">
        <f t="shared" si="53"/>
        <v>375.77238986983883</v>
      </c>
      <c r="R45" s="59">
        <f t="shared" si="0"/>
        <v>669.10572320317215</v>
      </c>
      <c r="S45" s="59">
        <f ca="1">AVERAGE(OFFSET($R$3,0,0,'Données projet'!$E$9+1,1))-AVERAGE(OFFSET($H$3,0,0,'Données projet'!$E$9+1,1))</f>
        <v>342.91408684769942</v>
      </c>
      <c r="T45" s="59">
        <f t="shared" si="34"/>
        <v>209.92380505963234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14.145069441397652</v>
      </c>
      <c r="AA45" s="21">
        <f>EXP(-LN(2)/25)*AA44+(1-EXP(-LN(2)/25))/(LN(2)/25)*Calculateur!V45*Calculateur!X45*VLOOKUP('Données projet'!$B$9,Paramètres!$A$1:$I$89,3,0)*0.475*44/12</f>
        <v>2.6742296629131785</v>
      </c>
      <c r="AB45" s="21">
        <f>EXP(-LN(2)/2)*AB44+(1-EXP(-LN(2)/2))/(LN(2)/2)*V45*Y45*VLOOKUP('Données projet'!$B$9,Paramètres!$A$1:$I$89,3,0)*0.475*44/12</f>
        <v>1.9416818070421262</v>
      </c>
      <c r="AC45" s="22">
        <f t="shared" si="3"/>
        <v>18.760980911352956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11.8</v>
      </c>
      <c r="AI45" s="13">
        <f>IF('Données projet'!$A$62&gt;35,AI44+AH45-AQ44,IF(A45&lt;'Données projet'!$A$62,$AF$205^A45,IF(A45='Données projet'!$A$62,'Données projet'!$B$62,AI44+AH45-AQ44)))</f>
        <v>317.59999999999991</v>
      </c>
      <c r="AJ45" s="13">
        <f>AI45*VLOOKUP('Données projet'!$B$10,Paramètres!$A$1:$I$89,3,0)*VLOOKUP('Données projet'!$B$10,Paramètres!$A$1:$I$89,5,0)</f>
        <v>213.04607999999993</v>
      </c>
      <c r="AK45" s="13">
        <f t="shared" si="35"/>
        <v>52.600671889584774</v>
      </c>
      <c r="AL45" s="20">
        <f t="shared" si="4"/>
        <v>462.66809287436007</v>
      </c>
      <c r="AM45" s="59">
        <f t="shared" si="5"/>
        <v>756.00142620769338</v>
      </c>
      <c r="AN45" s="59">
        <f ca="1">AVERAGE(OFFSET($AM$3,0,0,'Données projet'!$E$10+1,1))-AVERAGE(OFFSET($H$3,0,0,'Données projet'!$E$10+1,1))</f>
        <v>296.25231821504275</v>
      </c>
      <c r="AO45" s="59">
        <f t="shared" si="36"/>
        <v>316.20936902390275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21.114702408995406</v>
      </c>
      <c r="AV45" s="21">
        <f>EXP(-LN(2)/25)*AV44+(1-EXP(-LN(2)/25))/(LN(2)/25)*Calculateur!AQ45*Calculateur!AS45*VLOOKUP('Données projet'!$B$10,Paramètres!$A$1:$I$89,3,0)*0.475*44/12</f>
        <v>3.030524299519795</v>
      </c>
      <c r="AW45" s="21">
        <f>EXP(-LN(2)/2)*AW44+(1-EXP(-LN(2)/2))/(LN(2)/2)*AQ45*AT45*VLOOKUP('Données projet'!$B$10,Paramètres!$A$1:$I$89,3,0)*0.475*44/12</f>
        <v>1.6603056532472857</v>
      </c>
      <c r="AX45" s="21">
        <f t="shared" si="6"/>
        <v>25.805532361762484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9.4</v>
      </c>
      <c r="BD45" s="12">
        <f>IF('Données projet'!$A$88&gt;35,BD44+BC45-BL44,IF(A45&lt;'Données projet'!$A$88,$BA$205^A45,IF(A45='Données projet'!$A$88,'Données projet'!$B$88,BD44+BC45-BL44)))</f>
        <v>211.8</v>
      </c>
      <c r="BE45" s="13">
        <f>BD45*VLOOKUP('Données projet'!$B$11,Paramètres!$A$1:$I$89,3,0)*VLOOKUP('Données projet'!$B$11,Paramètres!$A$1:$I$89,5,0)</f>
        <v>168.50808000000001</v>
      </c>
      <c r="BF45" s="13">
        <f t="shared" si="37"/>
        <v>42.755711908378153</v>
      </c>
      <c r="BG45" s="20">
        <f t="shared" si="7"/>
        <v>367.95110424042531</v>
      </c>
      <c r="BH45" s="59">
        <f t="shared" si="8"/>
        <v>661.28443757375862</v>
      </c>
      <c r="BI45" s="59">
        <f ca="1">AVERAGE(OFFSET($BH$3,0,0,'Données projet'!$E$11+1,1))-AVERAGE(OFFSET($H$3,0,0,'Données projet'!$E$11+1,1))</f>
        <v>244.50301885429764</v>
      </c>
      <c r="BJ45" s="59">
        <f t="shared" si="38"/>
        <v>248.77995374147798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23.327962750453807</v>
      </c>
      <c r="BQ45" s="21">
        <f>EXP(-LN(2)/25)*BQ44+(1-EXP(-LN(2)/25))/(LN(2)/25)*Calculateur!BL45*Calculateur!BN45*VLOOKUP('Données projet'!$B$11,Paramètres!$A$1:$I$89,3,0)*0.475*44/12</f>
        <v>3.7367244189791262</v>
      </c>
      <c r="BR45" s="21">
        <f>EXP(-LN(2)/2)*BR44+(1-EXP(-LN(2)/2))/(LN(2)/2)*BL45*BO45*VLOOKUP('Données projet'!$B$11,Paramètres!$A$1:$I$89,3,0)*0.475*44/12</f>
        <v>2.175784777708115</v>
      </c>
      <c r="BS45" s="22">
        <f t="shared" si="9"/>
        <v>29.240471947141046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1">
        <f t="shared" si="32"/>
        <v>11.350856362116874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67">
        <f t="shared" si="1"/>
        <v>378.52810149735353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183.73680000000002</v>
      </c>
      <c r="P46" s="13">
        <f t="shared" si="33"/>
        <v>46.152558509293854</v>
      </c>
      <c r="Q46" s="20">
        <f t="shared" si="53"/>
        <v>400.3906327370201</v>
      </c>
      <c r="R46" s="59">
        <f t="shared" si="0"/>
        <v>693.72396607035341</v>
      </c>
      <c r="S46" s="59">
        <f ca="1">AVERAGE(OFFSET($R$3,0,0,'Données projet'!$E$9+1,1))-AVERAGE(OFFSET($H$3,0,0,'Données projet'!$E$9+1,1))</f>
        <v>342.91408684769942</v>
      </c>
      <c r="T46" s="59">
        <f t="shared" si="34"/>
        <v>209.92380505963234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13.867693257292295</v>
      </c>
      <c r="AA46" s="21">
        <f>EXP(-LN(2)/25)*AA45+(1-EXP(-LN(2)/25))/(LN(2)/25)*Calculateur!V46*Calculateur!X46*VLOOKUP('Données projet'!$B$9,Paramètres!$A$1:$I$89,3,0)*0.475*44/12</f>
        <v>2.6011027121491916</v>
      </c>
      <c r="AB46" s="21">
        <f>EXP(-LN(2)/2)*AB45+(1-EXP(-LN(2)/2))/(LN(2)/2)*V46*Y46*VLOOKUP('Données projet'!$B$9,Paramètres!$A$1:$I$89,3,0)*0.475*44/12</f>
        <v>1.3729763726660371</v>
      </c>
      <c r="AC46" s="22">
        <f t="shared" si="3"/>
        <v>17.841772342107525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11.8</v>
      </c>
      <c r="AI46" s="13">
        <f>IF('Données projet'!$A$62&gt;35,AI45+AH46-AQ45,IF(A46&lt;'Données projet'!$A$62,$AF$205^A46,IF(A46='Données projet'!$A$62,'Données projet'!$B$62,AI45+AH46-AQ45)))</f>
        <v>329.39999999999992</v>
      </c>
      <c r="AJ46" s="13">
        <f>AI46*VLOOKUP('Données projet'!$B$10,Paramètres!$A$1:$I$89,3,0)*VLOOKUP('Données projet'!$B$10,Paramètres!$A$1:$I$89,5,0)</f>
        <v>220.96151999999995</v>
      </c>
      <c r="AK46" s="13">
        <f t="shared" si="35"/>
        <v>54.323814270404227</v>
      </c>
      <c r="AL46" s="20">
        <f t="shared" si="4"/>
        <v>479.45529052095389</v>
      </c>
      <c r="AM46" s="59">
        <f t="shared" si="5"/>
        <v>772.78862385428715</v>
      </c>
      <c r="AN46" s="59">
        <f ca="1">AVERAGE(OFFSET($AM$3,0,0,'Données projet'!$E$10+1,1))-AVERAGE(OFFSET($H$3,0,0,'Données projet'!$E$10+1,1))</f>
        <v>296.25231821504275</v>
      </c>
      <c r="AO46" s="59">
        <f t="shared" si="36"/>
        <v>316.20936902390275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20.700655973451809</v>
      </c>
      <c r="AV46" s="21">
        <f>EXP(-LN(2)/25)*AV45+(1-EXP(-LN(2)/25))/(LN(2)/25)*Calculateur!AQ46*Calculateur!AS46*VLOOKUP('Données projet'!$B$10,Paramètres!$A$1:$I$89,3,0)*0.475*44/12</f>
        <v>2.9476544531810798</v>
      </c>
      <c r="AW46" s="21">
        <f>EXP(-LN(2)/2)*AW45+(1-EXP(-LN(2)/2))/(LN(2)/2)*AQ46*AT46*VLOOKUP('Données projet'!$B$10,Paramètres!$A$1:$I$89,3,0)*0.475*44/12</f>
        <v>1.1740133862535165</v>
      </c>
      <c r="AX46" s="21">
        <f t="shared" si="6"/>
        <v>24.822323812886406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9.4</v>
      </c>
      <c r="BD46" s="12">
        <f>IF('Données projet'!$A$88&gt;35,BD45+BC46-BL45,IF(A46&lt;'Données projet'!$A$88,$BA$205^A46,IF(A46='Données projet'!$A$88,'Données projet'!$B$88,BD45+BC46-BL45)))</f>
        <v>221.20000000000002</v>
      </c>
      <c r="BE46" s="13">
        <f>BD46*VLOOKUP('Données projet'!$B$11,Paramètres!$A$1:$I$89,3,0)*VLOOKUP('Données projet'!$B$11,Paramètres!$A$1:$I$89,5,0)</f>
        <v>175.98672000000002</v>
      </c>
      <c r="BF46" s="13">
        <f t="shared" si="37"/>
        <v>44.42813695214268</v>
      </c>
      <c r="BG46" s="20">
        <f t="shared" si="7"/>
        <v>383.88920919164849</v>
      </c>
      <c r="BH46" s="59">
        <f t="shared" si="8"/>
        <v>677.2225425249818</v>
      </c>
      <c r="BI46" s="59">
        <f ca="1">AVERAGE(OFFSET($BH$3,0,0,'Données projet'!$E$11+1,1))-AVERAGE(OFFSET($H$3,0,0,'Données projet'!$E$11+1,1))</f>
        <v>244.50301885429764</v>
      </c>
      <c r="BJ46" s="59">
        <f t="shared" si="38"/>
        <v>248.77995374147798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22.870515629569724</v>
      </c>
      <c r="BQ46" s="21">
        <f>EXP(-LN(2)/25)*BQ45+(1-EXP(-LN(2)/25))/(LN(2)/25)*Calculateur!BL46*Calculateur!BN46*VLOOKUP('Données projet'!$B$11,Paramètres!$A$1:$I$89,3,0)*0.475*44/12</f>
        <v>3.6345434932363454</v>
      </c>
      <c r="BR46" s="21">
        <f>EXP(-LN(2)/2)*BR45+(1-EXP(-LN(2)/2))/(LN(2)/2)*BL46*BO46*VLOOKUP('Données projet'!$B$11,Paramètres!$A$1:$I$89,3,0)*0.475*44/12</f>
        <v>1.538512170719873</v>
      </c>
      <c r="BS46" s="22">
        <f t="shared" si="9"/>
        <v>28.043571293525943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1">
        <f t="shared" si="32"/>
        <v>11.583790263708345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67">
        <f t="shared" si="1"/>
        <v>380.45531470929205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195.29640000000003</v>
      </c>
      <c r="P47" s="13">
        <f t="shared" si="33"/>
        <v>48.709031383366153</v>
      </c>
      <c r="Q47" s="20">
        <f t="shared" si="53"/>
        <v>424.97612632602949</v>
      </c>
      <c r="R47" s="59">
        <f t="shared" si="0"/>
        <v>718.3094596593628</v>
      </c>
      <c r="S47" s="59">
        <f ca="1">AVERAGE(OFFSET($R$3,0,0,'Données projet'!$E$9+1,1))-AVERAGE(OFFSET($H$3,0,0,'Données projet'!$E$9+1,1))</f>
        <v>342.91408684769942</v>
      </c>
      <c r="T47" s="59">
        <f t="shared" si="34"/>
        <v>209.92380505963234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13.595756250974476</v>
      </c>
      <c r="AA47" s="21">
        <f>EXP(-LN(2)/25)*AA46+(1-EXP(-LN(2)/25))/(LN(2)/25)*Calculateur!V47*Calculateur!X47*VLOOKUP('Données projet'!$B$9,Paramètres!$A$1:$I$89,3,0)*0.475*44/12</f>
        <v>2.5299754216994255</v>
      </c>
      <c r="AB47" s="21">
        <f>EXP(-LN(2)/2)*AB46+(1-EXP(-LN(2)/2))/(LN(2)/2)*V47*Y47*VLOOKUP('Données projet'!$B$9,Paramètres!$A$1:$I$89,3,0)*0.475*44/12</f>
        <v>0.97084090352106334</v>
      </c>
      <c r="AC47" s="22">
        <f t="shared" si="3"/>
        <v>17.096572576194966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11.8</v>
      </c>
      <c r="AI47" s="13">
        <f>IF('Données projet'!$A$62&gt;35,AI46+AH47-AQ46,IF(A47&lt;'Données projet'!$A$62,$AF$205^A47,IF(A47='Données projet'!$A$62,'Données projet'!$B$62,AI46+AH47-AQ46)))</f>
        <v>341.19999999999993</v>
      </c>
      <c r="AJ47" s="13">
        <f>AI47*VLOOKUP('Données projet'!$B$10,Paramètres!$A$1:$I$89,3,0)*VLOOKUP('Données projet'!$B$10,Paramètres!$A$1:$I$89,5,0)</f>
        <v>228.87695999999997</v>
      </c>
      <c r="AK47" s="13">
        <f t="shared" si="35"/>
        <v>56.039784894526939</v>
      </c>
      <c r="AL47" s="20">
        <f t="shared" si="4"/>
        <v>496.22999735796765</v>
      </c>
      <c r="AM47" s="59">
        <f t="shared" si="5"/>
        <v>789.56333069130096</v>
      </c>
      <c r="AN47" s="59">
        <f ca="1">AVERAGE(OFFSET($AM$3,0,0,'Données projet'!$E$10+1,1))-AVERAGE(OFFSET($H$3,0,0,'Données projet'!$E$10+1,1))</f>
        <v>296.25231821504275</v>
      </c>
      <c r="AO47" s="59">
        <f t="shared" si="36"/>
        <v>316.20936902390275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20.294728735965833</v>
      </c>
      <c r="AV47" s="21">
        <f>EXP(-LN(2)/25)*AV46+(1-EXP(-LN(2)/25))/(LN(2)/25)*Calculateur!AQ47*Calculateur!AS47*VLOOKUP('Données projet'!$B$10,Paramètres!$A$1:$I$89,3,0)*0.475*44/12</f>
        <v>2.8670506871484323</v>
      </c>
      <c r="AW47" s="21">
        <f>EXP(-LN(2)/2)*AW46+(1-EXP(-LN(2)/2))/(LN(2)/2)*AQ47*AT47*VLOOKUP('Données projet'!$B$10,Paramètres!$A$1:$I$89,3,0)*0.475*44/12</f>
        <v>0.83015282662364298</v>
      </c>
      <c r="AX47" s="21">
        <f t="shared" si="6"/>
        <v>23.991932249737907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9.4</v>
      </c>
      <c r="BD47" s="12">
        <f>IF('Données projet'!$A$88&gt;35,BD46+BC47-BL46,IF(A47&lt;'Données projet'!$A$88,$BA$205^A47,IF(A47='Données projet'!$A$88,'Données projet'!$B$88,BD46+BC47-BL46)))</f>
        <v>230.60000000000002</v>
      </c>
      <c r="BE47" s="13">
        <f>BD47*VLOOKUP('Données projet'!$B$11,Paramètres!$A$1:$I$89,3,0)*VLOOKUP('Données projet'!$B$11,Paramètres!$A$1:$I$89,5,0)</f>
        <v>183.46536000000003</v>
      </c>
      <c r="BF47" s="13">
        <f t="shared" si="37"/>
        <v>46.092307191940968</v>
      </c>
      <c r="BG47" s="20">
        <f t="shared" si="7"/>
        <v>399.81293702596389</v>
      </c>
      <c r="BH47" s="59">
        <f t="shared" si="8"/>
        <v>693.1462703592972</v>
      </c>
      <c r="BI47" s="59">
        <f ca="1">AVERAGE(OFFSET($BH$3,0,0,'Données projet'!$E$11+1,1))-AVERAGE(OFFSET($H$3,0,0,'Données projet'!$E$11+1,1))</f>
        <v>244.50301885429764</v>
      </c>
      <c r="BJ47" s="59">
        <f t="shared" si="38"/>
        <v>248.77995374147798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22.422038767710983</v>
      </c>
      <c r="BQ47" s="21">
        <f>EXP(-LN(2)/25)*BQ46+(1-EXP(-LN(2)/25))/(LN(2)/25)*Calculateur!BL47*Calculateur!BN47*VLOOKUP('Données projet'!$B$11,Paramètres!$A$1:$I$89,3,0)*0.475*44/12</f>
        <v>3.5351567102814623</v>
      </c>
      <c r="BR47" s="21">
        <f>EXP(-LN(2)/2)*BR46+(1-EXP(-LN(2)/2))/(LN(2)/2)*BL47*BO47*VLOOKUP('Données projet'!$B$11,Paramètres!$A$1:$I$89,3,0)*0.475*44/12</f>
        <v>1.0878923888540575</v>
      </c>
      <c r="BS47" s="22">
        <f t="shared" si="9"/>
        <v>27.045087866846504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1">
        <f t="shared" si="32"/>
        <v>11.816108707618405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67">
        <f t="shared" si="1"/>
        <v>382.38145599910206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206.85600000000005</v>
      </c>
      <c r="P48" s="13">
        <f t="shared" si="33"/>
        <v>51.247940588293027</v>
      </c>
      <c r="Q48" s="20">
        <f t="shared" si="53"/>
        <v>449.53102985794379</v>
      </c>
      <c r="R48" s="59">
        <f t="shared" si="0"/>
        <v>742.86436319127711</v>
      </c>
      <c r="S48" s="59">
        <f ca="1">AVERAGE(OFFSET($R$3,0,0,'Données projet'!$E$9+1,1))-AVERAGE(OFFSET($H$3,0,0,'Données projet'!$E$9+1,1))</f>
        <v>342.91408684769942</v>
      </c>
      <c r="T48" s="59">
        <f t="shared" si="34"/>
        <v>209.92380505963234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0.215</v>
      </c>
      <c r="X48" s="16">
        <f>IF(ISNA(VLOOKUP(A48,'Données projet'!$A$35:$I$55,6,0)),0%,VLOOKUP(A48,'Données projet'!$A$35:$I$55,6,0)*VLOOKUP('Données projet'!$B$9,Paramètres!$A$1:$I$89,7,0))</f>
        <v>2.58E-2</v>
      </c>
      <c r="Y48" s="16">
        <f>IF(ISNA(VLOOKUP(A48,'Données projet'!$A$35:$I$55,7,0)),0%,VLOOKUP(A48,'Données projet'!$A$35:$I$55,7,0))</f>
        <v>0.14000000000000001</v>
      </c>
      <c r="Z48" s="21">
        <f>EXP(-LN(2)/35)*Z47+(1-EXP(-LN(2)/35))/(LN(2)/35)*V48*W48*VLOOKUP('Données projet'!$B$9,Paramètres!$A$1:$I$89,3,0)*0.475*44/12</f>
        <v>20.077252491860751</v>
      </c>
      <c r="AA48" s="21">
        <f>EXP(-LN(2)/25)*AA47+(1-EXP(-LN(2)/25))/(LN(2)/25)*Calculateur!V48*Calculateur!X48*VLOOKUP('Données projet'!$B$9,Paramètres!$A$1:$I$89,3,0)*0.475*44/12</f>
        <v>3.2673768168970088</v>
      </c>
      <c r="AB48" s="21">
        <f>EXP(-LN(2)/2)*AB47+(1-EXP(-LN(2)/2))/(LN(2)/2)*V48*Y48*VLOOKUP('Données projet'!$B$9,Paramètres!$A$1:$I$89,3,0)*0.475*44/12</f>
        <v>4.4368944486596851</v>
      </c>
      <c r="AC48" s="22">
        <f t="shared" si="3"/>
        <v>27.781523757417446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353</v>
      </c>
      <c r="AG48" s="12">
        <f>VLOOKUP(A48,'Données projet'!$A$61:$I$81,9,0)</f>
        <v>11.8</v>
      </c>
      <c r="AH48" s="12">
        <f t="array" ref="AH48">INDEX(AG:AG,MIN(IF(ISNUMBER(AG48:AG244),ROW(AG48:AG244),"")))</f>
        <v>11.8</v>
      </c>
      <c r="AI48" s="13">
        <f>IF('Données projet'!$A$62&gt;35,AI47+AH48-AQ47,IF(A48&lt;'Données projet'!$A$62,$AF$205^A48,IF(A48='Données projet'!$A$62,'Données projet'!$B$62,AI47+AH48-AQ47)))</f>
        <v>352.99999999999994</v>
      </c>
      <c r="AJ48" s="13">
        <f>AI48*VLOOKUP('Données projet'!$B$10,Paramètres!$A$1:$I$89,3,0)*VLOOKUP('Données projet'!$B$10,Paramètres!$A$1:$I$89,5,0)</f>
        <v>236.79239999999996</v>
      </c>
      <c r="AK48" s="13">
        <f t="shared" si="35"/>
        <v>57.748860214439304</v>
      </c>
      <c r="AL48" s="20">
        <f t="shared" si="4"/>
        <v>512.9926948734817</v>
      </c>
      <c r="AM48" s="59">
        <f t="shared" si="5"/>
        <v>806.32602820681495</v>
      </c>
      <c r="AN48" s="59">
        <f ca="1">AVERAGE(OFFSET($AM$3,0,0,'Données projet'!$E$10+1,1))-AVERAGE(OFFSET($H$3,0,0,'Données projet'!$E$10+1,1))</f>
        <v>296.25231821504275</v>
      </c>
      <c r="AO48" s="59">
        <f t="shared" si="36"/>
        <v>316.20936902390275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30</v>
      </c>
      <c r="AR48" s="16">
        <f>IF(ISNA(VLOOKUP(A48,'Données projet'!$A$61:$I$81,5,0)),0%,VLOOKUP(A48,'Données projet'!$A$61:$I$81,5,0)*VLOOKUP('Données projet'!$B$10,Paramètres!$A$1:$I$89,7,0))</f>
        <v>0.318</v>
      </c>
      <c r="AS48" s="16">
        <f>IF(ISNA(VLOOKUP(A48,'Données projet'!$A$61:$I$81,6,0)),0%,VLOOKUP(A48,'Données projet'!$A$61:$I$81,6,0)*VLOOKUP('Données projet'!$B$10,Paramètres!$A$1:$I$89,7,0))</f>
        <v>4.24E-2</v>
      </c>
      <c r="AT48" s="16">
        <f>IF(ISNA(VLOOKUP(A48,'Données projet'!$A$61:$I$81,7,0)),0%,VLOOKUP(A48,'Données projet'!$A$61:$I$81,7,0))</f>
        <v>0.12</v>
      </c>
      <c r="AU48" s="21">
        <f>EXP(-LN(2)/35)*AU47+(1-EXP(-LN(2)/35))/(LN(2)/35)*AQ48*AR48*VLOOKUP('Données projet'!$B$10,Paramètres!$A$1:$I$89,3,0)*0.475*44/12</f>
        <v>26.971144005851098</v>
      </c>
      <c r="AV48" s="21">
        <f>EXP(-LN(2)/25)*AV47+(1-EXP(-LN(2)/25))/(LN(2)/25)*Calculateur!AQ48*Calculateur!AS48*VLOOKUP('Données projet'!$B$10,Paramètres!$A$1:$I$89,3,0)*0.475*44/12</f>
        <v>3.7281880996428183</v>
      </c>
      <c r="AW48" s="21">
        <f>EXP(-LN(2)/2)*AW47+(1-EXP(-LN(2)/2))/(LN(2)/2)*AQ48*AT48*VLOOKUP('Données projet'!$B$10,Paramètres!$A$1:$I$89,3,0)*0.475*44/12</f>
        <v>2.8655109686690183</v>
      </c>
      <c r="AX48" s="21">
        <f t="shared" si="6"/>
        <v>33.564843074162937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240</v>
      </c>
      <c r="BB48" s="12">
        <f>VLOOKUP(A48,'Données projet'!$A$87:$I$107,9,0)</f>
        <v>9.4</v>
      </c>
      <c r="BC48" s="12">
        <f t="array" ref="BC48">INDEX(BB:BB,MIN(IF(ISNUMBER(BB48:BB244),ROW(BB48:BB244),"")))</f>
        <v>9.4</v>
      </c>
      <c r="BD48" s="12">
        <f>IF('Données projet'!$A$88&gt;35,BD47+BC48-BL47,IF(A48&lt;'Données projet'!$A$88,$BA$205^A48,IF(A48='Données projet'!$A$88,'Données projet'!$B$88,BD47+BC48-BL47)))</f>
        <v>240.00000000000003</v>
      </c>
      <c r="BE48" s="13">
        <f>BD48*VLOOKUP('Données projet'!$B$11,Paramètres!$A$1:$I$89,3,0)*VLOOKUP('Données projet'!$B$11,Paramètres!$A$1:$I$89,5,0)</f>
        <v>190.94400000000005</v>
      </c>
      <c r="BF48" s="13">
        <f t="shared" si="37"/>
        <v>47.748597609826597</v>
      </c>
      <c r="BG48" s="20">
        <f t="shared" si="7"/>
        <v>415.72294083711472</v>
      </c>
      <c r="BH48" s="59">
        <f t="shared" si="8"/>
        <v>709.05627417044798</v>
      </c>
      <c r="BI48" s="59">
        <f ca="1">AVERAGE(OFFSET($BH$3,0,0,'Données projet'!$E$11+1,1))-AVERAGE(OFFSET($H$3,0,0,'Données projet'!$E$11+1,1))</f>
        <v>244.50301885429764</v>
      </c>
      <c r="BJ48" s="59">
        <f t="shared" si="38"/>
        <v>248.77995374147798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0.26500000000000001</v>
      </c>
      <c r="BN48" s="16">
        <f>IF(ISNA(VLOOKUP(A48,'Données projet'!$A$87:$I$107,6,0)),0%,VLOOKUP(A48,'Données projet'!$A$87:$I$107,6,0)*VLOOKUP('Données projet'!$B$11,Paramètres!$A$1:$I$89,7,0))</f>
        <v>3.1800000000000002E-2</v>
      </c>
      <c r="BO48" s="16">
        <f>IF(ISNA(VLOOKUP(A48,'Données projet'!$A$87:$I$107,7,0)),0%,VLOOKUP(A48,'Données projet'!$A$87:$I$107,7,0))</f>
        <v>0.14000000000000001</v>
      </c>
      <c r="BP48" s="21">
        <f>EXP(-LN(2)/35)*BP47+(1-EXP(-LN(2)/35))/(LN(2)/35)*BL48*BM48*VLOOKUP('Données projet'!$B$11,Paramètres!$A$1:$I$89,3,0)*0.475*44/12</f>
        <v>27.576054071532219</v>
      </c>
      <c r="BQ48" s="21">
        <f>EXP(-LN(2)/25)*BQ47+(1-EXP(-LN(2)/25))/(LN(2)/25)*Calculateur!BL48*Calculateur!BN48*VLOOKUP('Données projet'!$B$11,Paramètres!$A$1:$I$89,3,0)*0.475*44/12</f>
        <v>4.1070884587322309</v>
      </c>
      <c r="BR48" s="21">
        <f>EXP(-LN(2)/2)*BR47+(1-EXP(-LN(2)/2))/(LN(2)/2)*BL48*BO48*VLOOKUP('Données projet'!$B$11,Paramètres!$A$1:$I$89,3,0)*0.475*44/12</f>
        <v>3.2915073299136943</v>
      </c>
      <c r="BS48" s="22">
        <f t="shared" si="9"/>
        <v>34.974649860178147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1">
        <f t="shared" si="32"/>
        <v>12.047826945473741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67">
        <f t="shared" si="1"/>
        <v>384.30655193003344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189.61800000000005</v>
      </c>
      <c r="P49" s="13">
        <f t="shared" si="33"/>
        <v>47.4554881852685</v>
      </c>
      <c r="Q49" s="20">
        <f t="shared" si="53"/>
        <v>412.90299192267599</v>
      </c>
      <c r="R49" s="59">
        <f t="shared" si="0"/>
        <v>706.23632525600931</v>
      </c>
      <c r="S49" s="59">
        <f ca="1">AVERAGE(OFFSET($R$3,0,0,'Données projet'!$E$9+1,1))-AVERAGE(OFFSET($H$3,0,0,'Données projet'!$E$9+1,1))</f>
        <v>342.91408684769942</v>
      </c>
      <c r="T49" s="59">
        <f t="shared" si="34"/>
        <v>209.92380505963234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19.683549816410199</v>
      </c>
      <c r="AA49" s="21">
        <f>EXP(-LN(2)/25)*AA48+(1-EXP(-LN(2)/25))/(LN(2)/25)*Calculateur!V49*Calculateur!X49*VLOOKUP('Données projet'!$B$9,Paramètres!$A$1:$I$89,3,0)*0.475*44/12</f>
        <v>3.178030226015081</v>
      </c>
      <c r="AB49" s="21">
        <f>EXP(-LN(2)/2)*AB48+(1-EXP(-LN(2)/2))/(LN(2)/2)*V49*Y49*VLOOKUP('Données projet'!$B$9,Paramètres!$A$1:$I$89,3,0)*0.475*44/12</f>
        <v>3.1373581520562115</v>
      </c>
      <c r="AC49" s="22">
        <f t="shared" si="3"/>
        <v>25.998938194481493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333.99999999999994</v>
      </c>
      <c r="AJ49" s="13">
        <f>AI49*VLOOKUP('Données projet'!$B$10,Paramètres!$A$1:$I$89,3,0)*VLOOKUP('Données projet'!$B$10,Paramètres!$A$1:$I$89,5,0)</f>
        <v>224.04719999999998</v>
      </c>
      <c r="AK49" s="13">
        <f t="shared" si="35"/>
        <v>54.993589228033194</v>
      </c>
      <c r="AL49" s="20">
        <f t="shared" si="4"/>
        <v>485.99604123882438</v>
      </c>
      <c r="AM49" s="59">
        <f t="shared" si="5"/>
        <v>779.32937457215769</v>
      </c>
      <c r="AN49" s="59">
        <f ca="1">AVERAGE(OFFSET($AM$3,0,0,'Données projet'!$E$10+1,1))-AVERAGE(OFFSET($H$3,0,0,'Données projet'!$E$10+1,1))</f>
        <v>296.25231821504275</v>
      </c>
      <c r="AO49" s="59">
        <f t="shared" si="36"/>
        <v>316.20936902390275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26.442256322669824</v>
      </c>
      <c r="AV49" s="21">
        <f>EXP(-LN(2)/25)*AV48+(1-EXP(-LN(2)/25))/(LN(2)/25)*Calculateur!AQ49*Calculateur!AS49*VLOOKUP('Données projet'!$B$10,Paramètres!$A$1:$I$89,3,0)*0.475*44/12</f>
        <v>3.6262406000011942</v>
      </c>
      <c r="AW49" s="21">
        <f>EXP(-LN(2)/2)*AW48+(1-EXP(-LN(2)/2))/(LN(2)/2)*AQ49*AT49*VLOOKUP('Données projet'!$B$10,Paramètres!$A$1:$I$89,3,0)*0.475*44/12</f>
        <v>2.0262222375102956</v>
      </c>
      <c r="AX49" s="21">
        <f t="shared" si="6"/>
        <v>32.094719160181313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</v>
      </c>
      <c r="BD49" s="12">
        <f>IF('Données projet'!$A$88&gt;35,BD48+BC49-BL48,IF(A49&lt;'Données projet'!$A$88,$BA$205^A49,IF(A49='Données projet'!$A$88,'Données projet'!$B$88,BD48+BC49-BL48)))</f>
        <v>225.00000000000003</v>
      </c>
      <c r="BE49" s="13">
        <f>BD49*VLOOKUP('Données projet'!$B$11,Paramètres!$A$1:$I$89,3,0)*VLOOKUP('Données projet'!$B$11,Paramètres!$A$1:$I$89,5,0)</f>
        <v>179.01000000000002</v>
      </c>
      <c r="BF49" s="13">
        <f t="shared" si="37"/>
        <v>45.101858757318141</v>
      </c>
      <c r="BG49" s="20">
        <f t="shared" si="7"/>
        <v>390.32815400232903</v>
      </c>
      <c r="BH49" s="59">
        <f t="shared" si="8"/>
        <v>683.66148733566229</v>
      </c>
      <c r="BI49" s="59">
        <f ca="1">AVERAGE(OFFSET($BH$3,0,0,'Données projet'!$E$11+1,1))-AVERAGE(OFFSET($H$3,0,0,'Données projet'!$E$11+1,1))</f>
        <v>244.50301885429764</v>
      </c>
      <c r="BJ49" s="59">
        <f t="shared" si="38"/>
        <v>248.77995374147798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27.035304470921645</v>
      </c>
      <c r="BQ49" s="21">
        <f>EXP(-LN(2)/25)*BQ48+(1-EXP(-LN(2)/25))/(LN(2)/25)*Calculateur!BL49*Calculateur!BN49*VLOOKUP('Données projet'!$B$11,Paramètres!$A$1:$I$89,3,0)*0.475*44/12</f>
        <v>3.9947799088458029</v>
      </c>
      <c r="BR49" s="21">
        <f>EXP(-LN(2)/2)*BR48+(1-EXP(-LN(2)/2))/(LN(2)/2)*BL49*BO49*VLOOKUP('Données projet'!$B$11,Paramètres!$A$1:$I$89,3,0)*0.475*44/12</f>
        <v>2.3274471533072001</v>
      </c>
      <c r="BS49" s="22">
        <f t="shared" si="9"/>
        <v>33.357531533074649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1">
        <f t="shared" si="32"/>
        <v>12.278959527914754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67">
        <f t="shared" si="1"/>
        <v>386.23062784445153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200.77200000000002</v>
      </c>
      <c r="P50" s="13">
        <f t="shared" si="33"/>
        <v>49.913791898945412</v>
      </c>
      <c r="Q50" s="20">
        <f t="shared" si="53"/>
        <v>436.61108755732994</v>
      </c>
      <c r="R50" s="59">
        <f t="shared" si="0"/>
        <v>729.9444208906632</v>
      </c>
      <c r="S50" s="59">
        <f ca="1">AVERAGE(OFFSET($R$3,0,0,'Données projet'!$E$9+1,1))-AVERAGE(OFFSET($H$3,0,0,'Données projet'!$E$9+1,1))</f>
        <v>342.91408684769942</v>
      </c>
      <c r="T50" s="59">
        <f t="shared" si="34"/>
        <v>209.92380505963234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19.297567410290309</v>
      </c>
      <c r="AA50" s="21">
        <f>EXP(-LN(2)/25)*AA49+(1-EXP(-LN(2)/25))/(LN(2)/25)*Calculateur!V50*Calculateur!X50*VLOOKUP('Données projet'!$B$9,Paramètres!$A$1:$I$89,3,0)*0.475*44/12</f>
        <v>3.0911268223593527</v>
      </c>
      <c r="AB50" s="21">
        <f>EXP(-LN(2)/2)*AB49+(1-EXP(-LN(2)/2))/(LN(2)/2)*V50*Y50*VLOOKUP('Données projet'!$B$9,Paramètres!$A$1:$I$89,3,0)*0.475*44/12</f>
        <v>2.218447224329843</v>
      </c>
      <c r="AC50" s="22">
        <f t="shared" si="3"/>
        <v>24.607141456979505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344.99999999999994</v>
      </c>
      <c r="AJ50" s="13">
        <f>AI50*VLOOKUP('Données projet'!$B$10,Paramètres!$A$1:$I$89,3,0)*VLOOKUP('Données projet'!$B$10,Paramètres!$A$1:$I$89,5,0)</f>
        <v>231.42599999999996</v>
      </c>
      <c r="AK50" s="13">
        <f t="shared" si="35"/>
        <v>56.590905067453221</v>
      </c>
      <c r="AL50" s="20">
        <f t="shared" si="4"/>
        <v>501.62944299248096</v>
      </c>
      <c r="AM50" s="59">
        <f t="shared" si="5"/>
        <v>794.96277632581427</v>
      </c>
      <c r="AN50" s="59">
        <f ca="1">AVERAGE(OFFSET($AM$3,0,0,'Données projet'!$E$10+1,1))-AVERAGE(OFFSET($H$3,0,0,'Données projet'!$E$10+1,1))</f>
        <v>296.25231821504275</v>
      </c>
      <c r="AO50" s="59">
        <f t="shared" si="36"/>
        <v>316.20936902390275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25.9237398043661</v>
      </c>
      <c r="AV50" s="21">
        <f>EXP(-LN(2)/25)*AV49+(1-EXP(-LN(2)/25))/(LN(2)/25)*Calculateur!AQ50*Calculateur!AS50*VLOOKUP('Données projet'!$B$10,Paramètres!$A$1:$I$89,3,0)*0.475*44/12</f>
        <v>3.5270808600984562</v>
      </c>
      <c r="AW50" s="21">
        <f>EXP(-LN(2)/2)*AW49+(1-EXP(-LN(2)/2))/(LN(2)/2)*AQ50*AT50*VLOOKUP('Données projet'!$B$10,Paramètres!$A$1:$I$89,3,0)*0.475*44/12</f>
        <v>1.4327554843345094</v>
      </c>
      <c r="AX50" s="21">
        <f t="shared" si="6"/>
        <v>30.883576148799069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</v>
      </c>
      <c r="BD50" s="12">
        <f>IF('Données projet'!$A$88&gt;35,BD49+BC50-BL49,IF(A50&lt;'Données projet'!$A$88,$BA$205^A50,IF(A50='Données projet'!$A$88,'Données projet'!$B$88,BD49+BC50-BL49)))</f>
        <v>234.00000000000003</v>
      </c>
      <c r="BE50" s="13">
        <f>BD50*VLOOKUP('Données projet'!$B$11,Paramètres!$A$1:$I$89,3,0)*VLOOKUP('Données projet'!$B$11,Paramètres!$A$1:$I$89,5,0)</f>
        <v>186.17040000000003</v>
      </c>
      <c r="BF50" s="13">
        <f t="shared" si="37"/>
        <v>46.692281933796018</v>
      </c>
      <c r="BG50" s="20">
        <f t="shared" si="7"/>
        <v>405.56917103469476</v>
      </c>
      <c r="BH50" s="59">
        <f t="shared" si="8"/>
        <v>698.90250436802808</v>
      </c>
      <c r="BI50" s="59">
        <f ca="1">AVERAGE(OFFSET($BH$3,0,0,'Données projet'!$E$11+1,1))-AVERAGE(OFFSET($H$3,0,0,'Données projet'!$E$11+1,1))</f>
        <v>244.50301885429764</v>
      </c>
      <c r="BJ50" s="59">
        <f t="shared" si="38"/>
        <v>248.77995374147798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26.505158640154356</v>
      </c>
      <c r="BQ50" s="21">
        <f>EXP(-LN(2)/25)*BQ49+(1-EXP(-LN(2)/25))/(LN(2)/25)*Calculateur!BL50*Calculateur!BN50*VLOOKUP('Données projet'!$B$11,Paramètres!$A$1:$I$89,3,0)*0.475*44/12</f>
        <v>3.8855424421620692</v>
      </c>
      <c r="BR50" s="21">
        <f>EXP(-LN(2)/2)*BR49+(1-EXP(-LN(2)/2))/(LN(2)/2)*BL50*BO50*VLOOKUP('Données projet'!$B$11,Paramètres!$A$1:$I$89,3,0)*0.475*44/12</f>
        <v>1.6457536649568474</v>
      </c>
      <c r="BS50" s="22">
        <f t="shared" si="9"/>
        <v>32.036454747273275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1">
        <f t="shared" si="32"/>
        <v>12.50952035103195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67">
        <f t="shared" si="1"/>
        <v>388.15370794471403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211.92600000000004</v>
      </c>
      <c r="P51" s="13">
        <f t="shared" si="33"/>
        <v>52.356241262970165</v>
      </c>
      <c r="Q51" s="20">
        <f t="shared" si="53"/>
        <v>460.29157019967312</v>
      </c>
      <c r="R51" s="59">
        <f t="shared" si="0"/>
        <v>753.62490353300643</v>
      </c>
      <c r="S51" s="59">
        <f ca="1">AVERAGE(OFFSET($R$3,0,0,'Données projet'!$E$9+1,1))-AVERAGE(OFFSET($H$3,0,0,'Données projet'!$E$9+1,1))</f>
        <v>342.91408684769942</v>
      </c>
      <c r="T51" s="59">
        <f t="shared" si="34"/>
        <v>209.92380505963234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18.919153883728409</v>
      </c>
      <c r="AA51" s="21">
        <f>EXP(-LN(2)/25)*AA50+(1-EXP(-LN(2)/25))/(LN(2)/25)*Calculateur!V51*Calculateur!X51*VLOOKUP('Données projet'!$B$9,Paramètres!$A$1:$I$89,3,0)*0.475*44/12</f>
        <v>3.0065997968466416</v>
      </c>
      <c r="AB51" s="21">
        <f>EXP(-LN(2)/2)*AB50+(1-EXP(-LN(2)/2))/(LN(2)/2)*V51*Y51*VLOOKUP('Données projet'!$B$9,Paramètres!$A$1:$I$89,3,0)*0.475*44/12</f>
        <v>1.5686790760281062</v>
      </c>
      <c r="AC51" s="22">
        <f t="shared" si="3"/>
        <v>23.494432756603157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355.99999999999994</v>
      </c>
      <c r="AJ51" s="13">
        <f>AI51*VLOOKUP('Données projet'!$B$10,Paramètres!$A$1:$I$89,3,0)*VLOOKUP('Données projet'!$B$10,Paramètres!$A$1:$I$89,5,0)</f>
        <v>238.80479999999997</v>
      </c>
      <c r="AK51" s="13">
        <f t="shared" si="35"/>
        <v>58.182302709210205</v>
      </c>
      <c r="AL51" s="20">
        <f t="shared" si="4"/>
        <v>517.25253721854097</v>
      </c>
      <c r="AM51" s="59">
        <f t="shared" si="5"/>
        <v>810.58587055187422</v>
      </c>
      <c r="AN51" s="59">
        <f ca="1">AVERAGE(OFFSET($AM$3,0,0,'Données projet'!$E$10+1,1))-AVERAGE(OFFSET($H$3,0,0,'Données projet'!$E$10+1,1))</f>
        <v>296.25231821504275</v>
      </c>
      <c r="AO51" s="59">
        <f t="shared" si="36"/>
        <v>316.20936902390275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25.415391078722465</v>
      </c>
      <c r="AV51" s="21">
        <f>EXP(-LN(2)/25)*AV50+(1-EXP(-LN(2)/25))/(LN(2)/25)*Calculateur!AQ51*Calculateur!AS51*VLOOKUP('Données projet'!$B$10,Paramètres!$A$1:$I$89,3,0)*0.475*44/12</f>
        <v>3.4306326484979426</v>
      </c>
      <c r="AW51" s="21">
        <f>EXP(-LN(2)/2)*AW50+(1-EXP(-LN(2)/2))/(LN(2)/2)*AQ51*AT51*VLOOKUP('Données projet'!$B$10,Paramètres!$A$1:$I$89,3,0)*0.475*44/12</f>
        <v>1.0131111187551478</v>
      </c>
      <c r="AX51" s="21">
        <f t="shared" si="6"/>
        <v>29.859134845975554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</v>
      </c>
      <c r="BD51" s="12">
        <f>IF('Données projet'!$A$88&gt;35,BD50+BC51-BL50,IF(A51&lt;'Données projet'!$A$88,$BA$205^A51,IF(A51='Données projet'!$A$88,'Données projet'!$B$88,BD50+BC51-BL50)))</f>
        <v>243.00000000000003</v>
      </c>
      <c r="BE51" s="13">
        <f>BD51*VLOOKUP('Données projet'!$B$11,Paramètres!$A$1:$I$89,3,0)*VLOOKUP('Données projet'!$B$11,Paramètres!$A$1:$I$89,5,0)</f>
        <v>193.33080000000004</v>
      </c>
      <c r="BF51" s="13">
        <f t="shared" si="37"/>
        <v>48.275598972103694</v>
      </c>
      <c r="BG51" s="20">
        <f t="shared" si="7"/>
        <v>420.79781154308063</v>
      </c>
      <c r="BH51" s="59">
        <f t="shared" si="8"/>
        <v>714.13114487641394</v>
      </c>
      <c r="BI51" s="59">
        <f ca="1">AVERAGE(OFFSET($BH$3,0,0,'Données projet'!$E$11+1,1))-AVERAGE(OFFSET($H$3,0,0,'Données projet'!$E$11+1,1))</f>
        <v>244.50301885429764</v>
      </c>
      <c r="BJ51" s="59">
        <f t="shared" si="38"/>
        <v>248.77995374147798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25.985408645771386</v>
      </c>
      <c r="BQ51" s="21">
        <f>EXP(-LN(2)/25)*BQ50+(1-EXP(-LN(2)/25))/(LN(2)/25)*Calculateur!BL51*Calculateur!BN51*VLOOKUP('Données projet'!$B$11,Paramètres!$A$1:$I$89,3,0)*0.475*44/12</f>
        <v>3.779292079749351</v>
      </c>
      <c r="BR51" s="21">
        <f>EXP(-LN(2)/2)*BR50+(1-EXP(-LN(2)/2))/(LN(2)/2)*BL51*BO51*VLOOKUP('Données projet'!$B$11,Paramètres!$A$1:$I$89,3,0)*0.475*44/12</f>
        <v>1.1637235766536003</v>
      </c>
      <c r="BS51" s="22">
        <f t="shared" si="9"/>
        <v>30.928424302174335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1">
        <f t="shared" si="32"/>
        <v>12.739522698823436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67">
        <f t="shared" si="1"/>
        <v>390.07581536711751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223.08000000000004</v>
      </c>
      <c r="P52" s="13">
        <f t="shared" si="33"/>
        <v>54.783765878062667</v>
      </c>
      <c r="Q52" s="20">
        <f t="shared" si="53"/>
        <v>483.94605890429256</v>
      </c>
      <c r="R52" s="59">
        <f t="shared" si="0"/>
        <v>777.27939223762587</v>
      </c>
      <c r="S52" s="59">
        <f ca="1">AVERAGE(OFFSET($R$3,0,0,'Données projet'!$E$9+1,1))-AVERAGE(OFFSET($H$3,0,0,'Données projet'!$E$9+1,1))</f>
        <v>342.91408684769942</v>
      </c>
      <c r="T52" s="59">
        <f t="shared" si="34"/>
        <v>209.92380505963234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18.548160815612928</v>
      </c>
      <c r="AA52" s="21">
        <f>EXP(-LN(2)/25)*AA51+(1-EXP(-LN(2)/25))/(LN(2)/25)*Calculateur!V52*Calculateur!X52*VLOOKUP('Données projet'!$B$9,Paramètres!$A$1:$I$89,3,0)*0.475*44/12</f>
        <v>2.9243841672916586</v>
      </c>
      <c r="AB52" s="21">
        <f>EXP(-LN(2)/2)*AB51+(1-EXP(-LN(2)/2))/(LN(2)/2)*V52*Y52*VLOOKUP('Données projet'!$B$9,Paramètres!$A$1:$I$89,3,0)*0.475*44/12</f>
        <v>1.1092236121649217</v>
      </c>
      <c r="AC52" s="22">
        <f t="shared" si="3"/>
        <v>22.581768595069509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366.99999999999994</v>
      </c>
      <c r="AJ52" s="13">
        <f>AI52*VLOOKUP('Données projet'!$B$10,Paramètres!$A$1:$I$89,3,0)*VLOOKUP('Données projet'!$B$10,Paramètres!$A$1:$I$89,5,0)</f>
        <v>246.18359999999996</v>
      </c>
      <c r="AK52" s="13">
        <f t="shared" si="35"/>
        <v>59.767986003644126</v>
      </c>
      <c r="AL52" s="20">
        <f t="shared" si="4"/>
        <v>532.86567895634664</v>
      </c>
      <c r="AM52" s="59">
        <f t="shared" si="5"/>
        <v>826.19901228968001</v>
      </c>
      <c r="AN52" s="59">
        <f ca="1">AVERAGE(OFFSET($AM$3,0,0,'Données projet'!$E$10+1,1))-AVERAGE(OFFSET($H$3,0,0,'Données projet'!$E$10+1,1))</f>
        <v>296.25231821504275</v>
      </c>
      <c r="AO52" s="59">
        <f t="shared" si="36"/>
        <v>316.20936902390275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24.917010761526594</v>
      </c>
      <c r="AV52" s="21">
        <f>EXP(-LN(2)/25)*AV51+(1-EXP(-LN(2)/25))/(LN(2)/25)*Calculateur!AQ52*Calculateur!AS52*VLOOKUP('Données projet'!$B$10,Paramètres!$A$1:$I$89,3,0)*0.475*44/12</f>
        <v>3.3368218183156362</v>
      </c>
      <c r="AW52" s="21">
        <f>EXP(-LN(2)/2)*AW51+(1-EXP(-LN(2)/2))/(LN(2)/2)*AQ52*AT52*VLOOKUP('Données projet'!$B$10,Paramètres!$A$1:$I$89,3,0)*0.475*44/12</f>
        <v>0.71637774216725469</v>
      </c>
      <c r="AX52" s="21">
        <f t="shared" si="6"/>
        <v>28.970210322009486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</v>
      </c>
      <c r="BD52" s="12">
        <f>IF('Données projet'!$A$88&gt;35,BD51+BC52-BL51,IF(A52&lt;'Données projet'!$A$88,$BA$205^A52,IF(A52='Données projet'!$A$88,'Données projet'!$B$88,BD51+BC52-BL51)))</f>
        <v>252.00000000000003</v>
      </c>
      <c r="BE52" s="13">
        <f>BD52*VLOOKUP('Données projet'!$B$11,Paramètres!$A$1:$I$89,3,0)*VLOOKUP('Données projet'!$B$11,Paramètres!$A$1:$I$89,5,0)</f>
        <v>200.49120000000002</v>
      </c>
      <c r="BF52" s="13">
        <f t="shared" si="37"/>
        <v>49.852103201908299</v>
      </c>
      <c r="BG52" s="20">
        <f t="shared" si="7"/>
        <v>436.01458640999027</v>
      </c>
      <c r="BH52" s="59">
        <f t="shared" si="8"/>
        <v>729.34791974332359</v>
      </c>
      <c r="BI52" s="59">
        <f ca="1">AVERAGE(OFFSET($BH$3,0,0,'Données projet'!$E$11+1,1))-AVERAGE(OFFSET($H$3,0,0,'Données projet'!$E$11+1,1))</f>
        <v>244.50301885429764</v>
      </c>
      <c r="BJ52" s="59">
        <f t="shared" si="38"/>
        <v>248.77995374147798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25.475850631762071</v>
      </c>
      <c r="BQ52" s="21">
        <f>EXP(-LN(2)/25)*BQ51+(1-EXP(-LN(2)/25))/(LN(2)/25)*Calculateur!BL52*Calculateur!BN52*VLOOKUP('Données projet'!$B$11,Paramètres!$A$1:$I$89,3,0)*0.475*44/12</f>
        <v>3.6759471390842724</v>
      </c>
      <c r="BR52" s="21">
        <f>EXP(-LN(2)/2)*BR51+(1-EXP(-LN(2)/2))/(LN(2)/2)*BL52*BO52*VLOOKUP('Données projet'!$B$11,Paramètres!$A$1:$I$89,3,0)*0.475*44/12</f>
        <v>0.8228768324784238</v>
      </c>
      <c r="BS52" s="22">
        <f t="shared" si="9"/>
        <v>29.974674603324768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1">
        <f t="shared" si="32"/>
        <v>12.96897928208859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67">
        <f t="shared" si="1"/>
        <v>391.99697224963768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234.23400000000007</v>
      </c>
      <c r="P53" s="13">
        <f t="shared" si="33"/>
        <v>57.197197133603488</v>
      </c>
      <c r="Q53" s="20">
        <f t="shared" si="53"/>
        <v>507.57600167435953</v>
      </c>
      <c r="R53" s="59">
        <f t="shared" si="0"/>
        <v>800.90933500769279</v>
      </c>
      <c r="S53" s="59">
        <f ca="1">AVERAGE(OFFSET($R$3,0,0,'Données projet'!$E$9+1,1))-AVERAGE(OFFSET($H$3,0,0,'Données projet'!$E$9+1,1))</f>
        <v>342.91408684769942</v>
      </c>
      <c r="T53" s="59">
        <f t="shared" si="34"/>
        <v>209.92380505963234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0.215</v>
      </c>
      <c r="X53" s="16">
        <f>IF(ISNA(VLOOKUP(A53,'Données projet'!$A$35:$I$55,6,0)),0%,VLOOKUP(A53,'Données projet'!$A$35:$I$55,6,0)*VLOOKUP('Données projet'!$B$9,Paramètres!$A$1:$I$89,7,0))</f>
        <v>2.58E-2</v>
      </c>
      <c r="Y53" s="16">
        <f>IF(ISNA(VLOOKUP(A53,'Données projet'!$A$35:$I$55,7,0)),0%,VLOOKUP(A53,'Données projet'!$A$35:$I$55,7,0))</f>
        <v>0.14000000000000001</v>
      </c>
      <c r="Z53" s="21">
        <f>EXP(-LN(2)/35)*Z52+(1-EXP(-LN(2)/35))/(LN(2)/35)*V53*W53*VLOOKUP('Données projet'!$B$9,Paramètres!$A$1:$I$89,3,0)*0.475*44/12</f>
        <v>24.932543423655162</v>
      </c>
      <c r="AA53" s="21">
        <f>EXP(-LN(2)/25)*AA52+(1-EXP(-LN(2)/25))/(LN(2)/25)*Calculateur!V53*Calculateur!X53*VLOOKUP('Données projet'!$B$9,Paramètres!$A$1:$I$89,3,0)*0.475*44/12</f>
        <v>3.6510004345999678</v>
      </c>
      <c r="AB53" s="21">
        <f>EXP(-LN(2)/2)*AB52+(1-EXP(-LN(2)/2))/(LN(2)/2)*V53*Y53*VLOOKUP('Données projet'!$B$9,Paramètres!$A$1:$I$89,3,0)*0.475*44/12</f>
        <v>4.5347458003407199</v>
      </c>
      <c r="AC53" s="22">
        <f t="shared" si="3"/>
        <v>33.118289658595849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378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377.99999999999994</v>
      </c>
      <c r="AJ53" s="13">
        <f>AI53*VLOOKUP('Données projet'!$B$10,Paramètres!$A$1:$I$89,3,0)*VLOOKUP('Données projet'!$B$10,Paramètres!$A$1:$I$89,5,0)</f>
        <v>253.56239999999994</v>
      </c>
      <c r="AK53" s="13">
        <f t="shared" si="35"/>
        <v>61.348145886656177</v>
      </c>
      <c r="AL53" s="20">
        <f t="shared" si="4"/>
        <v>548.46920075259266</v>
      </c>
      <c r="AM53" s="59">
        <f t="shared" si="5"/>
        <v>841.80253408592603</v>
      </c>
      <c r="AN53" s="59">
        <f ca="1">AVERAGE(OFFSET($AM$3,0,0,'Données projet'!$E$10+1,1))-AVERAGE(OFFSET($H$3,0,0,'Données projet'!$E$10+1,1))</f>
        <v>296.25231821504275</v>
      </c>
      <c r="AO53" s="59">
        <f t="shared" si="36"/>
        <v>316.20936902390275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27</v>
      </c>
      <c r="AR53" s="16">
        <f>IF(ISNA(VLOOKUP(A53,'Données projet'!$A$61:$I$81,5,0)),0%,VLOOKUP(A53,'Données projet'!$A$61:$I$81,5,0)*VLOOKUP('Données projet'!$B$10,Paramètres!$A$1:$I$89,7,0))</f>
        <v>0.371</v>
      </c>
      <c r="AS53" s="16">
        <f>IF(ISNA(VLOOKUP(A53,'Données projet'!$A$61:$I$81,6,0)),0%,VLOOKUP(A53,'Données projet'!$A$61:$I$81,6,0)*VLOOKUP('Données projet'!$B$10,Paramètres!$A$1:$I$89,7,0))</f>
        <v>2.6500000000000003E-2</v>
      </c>
      <c r="AT53" s="16">
        <f>IF(ISNA(VLOOKUP(A53,'Données projet'!$A$61:$I$81,7,0)),0%,VLOOKUP(A53,'Données projet'!$A$61:$I$81,7,0))</f>
        <v>0.1</v>
      </c>
      <c r="AU53" s="21">
        <f>EXP(-LN(2)/35)*AU52+(1-EXP(-LN(2)/35))/(LN(2)/35)*AQ53*AR53*VLOOKUP('Données projet'!$B$10,Paramètres!$A$1:$I$89,3,0)*0.475*44/12</f>
        <v>31.856505026296027</v>
      </c>
      <c r="AV53" s="21">
        <f>EXP(-LN(2)/25)*AV52+(1-EXP(-LN(2)/25))/(LN(2)/25)*Calculateur!AQ53*Calculateur!AS53*VLOOKUP('Données projet'!$B$10,Paramètres!$A$1:$I$89,3,0)*0.475*44/12</f>
        <v>3.7740658488901451</v>
      </c>
      <c r="AW53" s="21">
        <f>EXP(-LN(2)/2)*AW52+(1-EXP(-LN(2)/2))/(LN(2)/2)*AQ53*AT53*VLOOKUP('Données projet'!$B$10,Paramètres!$A$1:$I$89,3,0)*0.475*44/12</f>
        <v>2.2154337660342689</v>
      </c>
      <c r="AX53" s="21">
        <f t="shared" si="6"/>
        <v>37.846004641220439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9</v>
      </c>
      <c r="BC53" s="12">
        <f t="array" ref="BC53">INDEX(BB:BB,MIN(IF(ISNUMBER(BB53:BB249),ROW(BB53:BB249),"")))</f>
        <v>9</v>
      </c>
      <c r="BD53" s="12">
        <f>IF('Données projet'!$A$88&gt;35,BD52+BC53-BL52,IF(A53&lt;'Données projet'!$A$88,$BA$205^A53,IF(A53='Données projet'!$A$88,'Données projet'!$B$88,BD52+BC53-BL52)))</f>
        <v>261</v>
      </c>
      <c r="BE53" s="13">
        <f>BD53*VLOOKUP('Données projet'!$B$11,Paramètres!$A$1:$I$89,3,0)*VLOOKUP('Données projet'!$B$11,Paramètres!$A$1:$I$89,5,0)</f>
        <v>207.65160000000003</v>
      </c>
      <c r="BF53" s="13">
        <f t="shared" si="37"/>
        <v>51.422065813018108</v>
      </c>
      <c r="BG53" s="20">
        <f t="shared" si="7"/>
        <v>451.21996795767319</v>
      </c>
      <c r="BH53" s="59">
        <f t="shared" si="8"/>
        <v>744.55330129100651</v>
      </c>
      <c r="BI53" s="59">
        <f ca="1">AVERAGE(OFFSET($BH$3,0,0,'Données projet'!$E$11+1,1))-AVERAGE(OFFSET($H$3,0,0,'Données projet'!$E$11+1,1))</f>
        <v>244.50301885429764</v>
      </c>
      <c r="BJ53" s="59">
        <f t="shared" si="38"/>
        <v>248.77995374147798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0.318</v>
      </c>
      <c r="BN53" s="16">
        <f>IF(ISNA(VLOOKUP(A53,'Données projet'!$A$87:$I$107,6,0)),0%,VLOOKUP(A53,'Données projet'!$A$87:$I$107,6,0)*VLOOKUP('Données projet'!$B$11,Paramètres!$A$1:$I$89,7,0))</f>
        <v>4.24E-2</v>
      </c>
      <c r="BO53" s="16">
        <f>IF(ISNA(VLOOKUP(A53,'Données projet'!$A$87:$I$107,7,0)),0%,VLOOKUP(A53,'Données projet'!$A$87:$I$107,7,0))</f>
        <v>0.12</v>
      </c>
      <c r="BP53" s="21">
        <f>EXP(-LN(2)/35)*BP52+(1-EXP(-LN(2)/35))/(LN(2)/35)*BL53*BM53*VLOOKUP('Données projet'!$B$11,Paramètres!$A$1:$I$89,3,0)*0.475*44/12</f>
        <v>30.290297657172442</v>
      </c>
      <c r="BQ53" s="21">
        <f>EXP(-LN(2)/25)*BQ52+(1-EXP(-LN(2)/25))/(LN(2)/25)*Calculateur!BL53*Calculateur!BN53*VLOOKUP('Données projet'!$B$11,Paramètres!$A$1:$I$89,3,0)*0.475*44/12</f>
        <v>4.2811734544444269</v>
      </c>
      <c r="BR53" s="21">
        <f>EXP(-LN(2)/2)*BR52+(1-EXP(-LN(2)/2))/(LN(2)/2)*BL53*BO53*VLOOKUP('Données projet'!$B$11,Paramètres!$A$1:$I$89,3,0)*0.475*44/12</f>
        <v>2.2933894185597072</v>
      </c>
      <c r="BS53" s="22">
        <f t="shared" si="9"/>
        <v>36.864860530176571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1">
        <f t="shared" si="32"/>
        <v>13.19790227412237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67">
        <f t="shared" si="1"/>
        <v>393.91719979409652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216.18480000000002</v>
      </c>
      <c r="P54" s="13">
        <f t="shared" si="33"/>
        <v>53.284828478170375</v>
      </c>
      <c r="Q54" s="20">
        <f t="shared" si="53"/>
        <v>469.3262695994801</v>
      </c>
      <c r="R54" s="59">
        <f t="shared" si="0"/>
        <v>762.65960293281341</v>
      </c>
      <c r="S54" s="59">
        <f ca="1">AVERAGE(OFFSET($R$3,0,0,'Données projet'!$E$9+1,1))-AVERAGE(OFFSET($H$3,0,0,'Données projet'!$E$9+1,1))</f>
        <v>342.91408684769942</v>
      </c>
      <c r="T54" s="59">
        <f t="shared" si="34"/>
        <v>209.92380505963234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24.44363145446717</v>
      </c>
      <c r="AA54" s="21">
        <f>EXP(-LN(2)/25)*AA53+(1-EXP(-LN(2)/25))/(LN(2)/25)*Calculateur!V54*Calculateur!X54*VLOOKUP('Données projet'!$B$9,Paramètres!$A$1:$I$89,3,0)*0.475*44/12</f>
        <v>3.5511636357180634</v>
      </c>
      <c r="AB54" s="21">
        <f>EXP(-LN(2)/2)*AB53+(1-EXP(-LN(2)/2))/(LN(2)/2)*V54*Y54*VLOOKUP('Données projet'!$B$9,Paramètres!$A$1:$I$89,3,0)*0.475*44/12</f>
        <v>3.2065495063781411</v>
      </c>
      <c r="AC54" s="22">
        <f t="shared" si="3"/>
        <v>31.201344596563374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10.4</v>
      </c>
      <c r="AI54" s="13">
        <f>IF('Données projet'!$A$62&gt;35,AI53+AH54-AQ53,IF(A54&lt;'Données projet'!$A$62,$AF$205^A54,IF(A54='Données projet'!$A$62,'Données projet'!$B$62,AI53+AH54-AQ53)))</f>
        <v>361.39999999999992</v>
      </c>
      <c r="AJ54" s="13">
        <f>AI54*VLOOKUP('Données projet'!$B$10,Paramètres!$A$1:$I$89,3,0)*VLOOKUP('Données projet'!$B$10,Paramètres!$A$1:$I$89,5,0)</f>
        <v>242.42711999999995</v>
      </c>
      <c r="AK54" s="13">
        <f t="shared" si="35"/>
        <v>58.961430965586686</v>
      </c>
      <c r="AL54" s="20">
        <f t="shared" si="4"/>
        <v>524.91839293173007</v>
      </c>
      <c r="AM54" s="59">
        <f t="shared" si="5"/>
        <v>818.25172626506333</v>
      </c>
      <c r="AN54" s="59">
        <f ca="1">AVERAGE(OFFSET($AM$3,0,0,'Données projet'!$E$10+1,1))-AVERAGE(OFFSET($H$3,0,0,'Données projet'!$E$10+1,1))</f>
        <v>296.25231821504275</v>
      </c>
      <c r="AO54" s="59">
        <f t="shared" si="36"/>
        <v>316.20936902390275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31.23181839327982</v>
      </c>
      <c r="AV54" s="21">
        <f>EXP(-LN(2)/25)*AV53+(1-EXP(-LN(2)/25))/(LN(2)/25)*Calculateur!AQ54*Calculateur!AS54*VLOOKUP('Données projet'!$B$10,Paramètres!$A$1:$I$89,3,0)*0.475*44/12</f>
        <v>3.6708638197827468</v>
      </c>
      <c r="AW54" s="21">
        <f>EXP(-LN(2)/2)*AW53+(1-EXP(-LN(2)/2))/(LN(2)/2)*AQ54*AT54*VLOOKUP('Données projet'!$B$10,Paramètres!$A$1:$I$89,3,0)*0.475*44/12</f>
        <v>1.5665482392324828</v>
      </c>
      <c r="AX54" s="21">
        <f t="shared" si="6"/>
        <v>36.469230452295051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249.39999999999998</v>
      </c>
      <c r="BE54" s="13">
        <f>BD54*VLOOKUP('Données projet'!$B$11,Paramètres!$A$1:$I$89,3,0)*VLOOKUP('Données projet'!$B$11,Paramètres!$A$1:$I$89,5,0)</f>
        <v>198.42264</v>
      </c>
      <c r="BF54" s="13">
        <f t="shared" si="37"/>
        <v>49.397352151183256</v>
      </c>
      <c r="BG54" s="20">
        <f t="shared" si="7"/>
        <v>431.61981966331086</v>
      </c>
      <c r="BH54" s="59">
        <f t="shared" si="8"/>
        <v>724.95315299664412</v>
      </c>
      <c r="BI54" s="59">
        <f ca="1">AVERAGE(OFFSET($BH$3,0,0,'Données projet'!$E$11+1,1))-AVERAGE(OFFSET($H$3,0,0,'Données projet'!$E$11+1,1))</f>
        <v>244.50301885429764</v>
      </c>
      <c r="BJ54" s="59">
        <f t="shared" si="38"/>
        <v>248.77995374147798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29.69632339537258</v>
      </c>
      <c r="BQ54" s="21">
        <f>EXP(-LN(2)/25)*BQ53+(1-EXP(-LN(2)/25))/(LN(2)/25)*Calculateur!BL54*Calculateur!BN54*VLOOKUP('Données projet'!$B$11,Paramètres!$A$1:$I$89,3,0)*0.475*44/12</f>
        <v>4.1641045411955169</v>
      </c>
      <c r="BR54" s="21">
        <f>EXP(-LN(2)/2)*BR53+(1-EXP(-LN(2)/2))/(LN(2)/2)*BL54*BO54*VLOOKUP('Données projet'!$B$11,Paramètres!$A$1:$I$89,3,0)*0.475*44/12</f>
        <v>1.6216712097650425</v>
      </c>
      <c r="BS54" s="22">
        <f t="shared" si="9"/>
        <v>35.482099146333141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1">
        <f t="shared" si="32"/>
        <v>13.42630334353094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67">
        <f t="shared" si="1"/>
        <v>395.83651832331645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226.52760000000001</v>
      </c>
      <c r="P55" s="13">
        <f t="shared" si="33"/>
        <v>55.531204013656371</v>
      </c>
      <c r="Q55" s="20">
        <f t="shared" si="53"/>
        <v>491.25241699045142</v>
      </c>
      <c r="R55" s="59">
        <f t="shared" si="0"/>
        <v>784.58575032378474</v>
      </c>
      <c r="S55" s="59">
        <f ca="1">AVERAGE(OFFSET($R$3,0,0,'Données projet'!$E$9+1,1))-AVERAGE(OFFSET($H$3,0,0,'Données projet'!$E$9+1,1))</f>
        <v>342.91408684769942</v>
      </c>
      <c r="T55" s="59">
        <f t="shared" si="34"/>
        <v>209.92380505963234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23.964306750788101</v>
      </c>
      <c r="AA55" s="21">
        <f>EXP(-LN(2)/25)*AA54+(1-EXP(-LN(2)/25))/(LN(2)/25)*Calculateur!V55*Calculateur!X55*VLOOKUP('Données projet'!$B$9,Paramètres!$A$1:$I$89,3,0)*0.475*44/12</f>
        <v>3.4540568793517736</v>
      </c>
      <c r="AB55" s="21">
        <f>EXP(-LN(2)/2)*AB54+(1-EXP(-LN(2)/2))/(LN(2)/2)*V55*Y55*VLOOKUP('Données projet'!$B$9,Paramètres!$A$1:$I$89,3,0)*0.475*44/12</f>
        <v>2.2673729001703604</v>
      </c>
      <c r="AC55" s="22">
        <f t="shared" si="3"/>
        <v>29.685736530310237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10.4</v>
      </c>
      <c r="AI55" s="13">
        <f>IF('Données projet'!$A$62&gt;35,AI54+AH55-AQ54,IF(A55&lt;'Données projet'!$A$62,$AF$205^A55,IF(A55='Données projet'!$A$62,'Données projet'!$B$62,AI54+AH55-AQ54)))</f>
        <v>371.7999999999999</v>
      </c>
      <c r="AJ55" s="13">
        <f>AI55*VLOOKUP('Données projet'!$B$10,Paramètres!$A$1:$I$89,3,0)*VLOOKUP('Données projet'!$B$10,Paramètres!$A$1:$I$89,5,0)</f>
        <v>249.40343999999996</v>
      </c>
      <c r="AK55" s="13">
        <f t="shared" si="35"/>
        <v>60.458178750159014</v>
      </c>
      <c r="AL55" s="20">
        <f t="shared" si="4"/>
        <v>539.67565265652695</v>
      </c>
      <c r="AM55" s="59">
        <f t="shared" si="5"/>
        <v>833.00898598986032</v>
      </c>
      <c r="AN55" s="59">
        <f ca="1">AVERAGE(OFFSET($AM$3,0,0,'Données projet'!$E$10+1,1))-AVERAGE(OFFSET($H$3,0,0,'Données projet'!$E$10+1,1))</f>
        <v>296.25231821504275</v>
      </c>
      <c r="AO55" s="59">
        <f t="shared" si="36"/>
        <v>316.20936902390275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30.619381484115838</v>
      </c>
      <c r="AV55" s="21">
        <f>EXP(-LN(2)/25)*AV54+(1-EXP(-LN(2)/25))/(LN(2)/25)*Calculateur!AQ55*Calculateur!AS55*VLOOKUP('Données projet'!$B$10,Paramètres!$A$1:$I$89,3,0)*0.475*44/12</f>
        <v>3.5704838555884493</v>
      </c>
      <c r="AW55" s="21">
        <f>EXP(-LN(2)/2)*AW54+(1-EXP(-LN(2)/2))/(LN(2)/2)*AQ55*AT55*VLOOKUP('Données projet'!$B$10,Paramètres!$A$1:$I$89,3,0)*0.475*44/12</f>
        <v>1.1077168830171347</v>
      </c>
      <c r="AX55" s="21">
        <f t="shared" si="6"/>
        <v>35.297582222721417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256.79999999999995</v>
      </c>
      <c r="BE55" s="13">
        <f>BD55*VLOOKUP('Données projet'!$B$11,Paramètres!$A$1:$I$89,3,0)*VLOOKUP('Données projet'!$B$11,Paramètres!$A$1:$I$89,5,0)</f>
        <v>204.31008</v>
      </c>
      <c r="BF55" s="13">
        <f t="shared" si="37"/>
        <v>50.690214235398379</v>
      </c>
      <c r="BG55" s="20">
        <f t="shared" si="7"/>
        <v>444.12551245998549</v>
      </c>
      <c r="BH55" s="59">
        <f t="shared" si="8"/>
        <v>737.4588457933188</v>
      </c>
      <c r="BI55" s="59">
        <f ca="1">AVERAGE(OFFSET($BH$3,0,0,'Données projet'!$E$11+1,1))-AVERAGE(OFFSET($H$3,0,0,'Données projet'!$E$11+1,1))</f>
        <v>244.50301885429764</v>
      </c>
      <c r="BJ55" s="59">
        <f t="shared" si="38"/>
        <v>248.77995374147798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29.113996606558089</v>
      </c>
      <c r="BQ55" s="21">
        <f>EXP(-LN(2)/25)*BQ54+(1-EXP(-LN(2)/25))/(LN(2)/25)*Calculateur!BL55*Calculateur!BN55*VLOOKUP('Données projet'!$B$11,Paramètres!$A$1:$I$89,3,0)*0.475*44/12</f>
        <v>4.0502368835357849</v>
      </c>
      <c r="BR55" s="21">
        <f>EXP(-LN(2)/2)*BR54+(1-EXP(-LN(2)/2))/(LN(2)/2)*BL55*BO55*VLOOKUP('Données projet'!$B$11,Paramètres!$A$1:$I$89,3,0)*0.475*44/12</f>
        <v>1.1466947092798538</v>
      </c>
      <c r="BS55" s="22">
        <f t="shared" si="9"/>
        <v>34.310928199373734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1">
        <f t="shared" si="32"/>
        <v>13.654193684451673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67">
        <f t="shared" si="1"/>
        <v>397.75494733375336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236.87040000000002</v>
      </c>
      <c r="P56" s="13">
        <f t="shared" si="33"/>
        <v>57.765668276484661</v>
      </c>
      <c r="Q56" s="20">
        <f t="shared" si="53"/>
        <v>513.15781891487757</v>
      </c>
      <c r="R56" s="59">
        <f t="shared" si="0"/>
        <v>806.49115224821094</v>
      </c>
      <c r="S56" s="59">
        <f ca="1">AVERAGE(OFFSET($R$3,0,0,'Données projet'!$E$9+1,1))-AVERAGE(OFFSET($H$3,0,0,'Données projet'!$E$9+1,1))</f>
        <v>342.91408684769942</v>
      </c>
      <c r="T56" s="59">
        <f t="shared" si="34"/>
        <v>209.92380505963234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23.494381312188978</v>
      </c>
      <c r="AA56" s="21">
        <f>EXP(-LN(2)/25)*AA55+(1-EXP(-LN(2)/25))/(LN(2)/25)*Calculateur!V56*Calculateur!X56*VLOOKUP('Données projet'!$B$9,Paramètres!$A$1:$I$89,3,0)*0.475*44/12</f>
        <v>3.3596055123449426</v>
      </c>
      <c r="AB56" s="21">
        <f>EXP(-LN(2)/2)*AB55+(1-EXP(-LN(2)/2))/(LN(2)/2)*V56*Y56*VLOOKUP('Données projet'!$B$9,Paramètres!$A$1:$I$89,3,0)*0.475*44/12</f>
        <v>1.6032747531890708</v>
      </c>
      <c r="AC56" s="22">
        <f t="shared" si="3"/>
        <v>28.457261577722988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10.4</v>
      </c>
      <c r="AI56" s="13">
        <f>IF('Données projet'!$A$62&gt;35,AI55+AH56-AQ55,IF(A56&lt;'Données projet'!$A$62,$AF$205^A56,IF(A56='Données projet'!$A$62,'Données projet'!$B$62,AI55+AH56-AQ55)))</f>
        <v>382.19999999999987</v>
      </c>
      <c r="AJ56" s="13">
        <f>AI56*VLOOKUP('Données projet'!$B$10,Paramètres!$A$1:$I$89,3,0)*VLOOKUP('Données projet'!$B$10,Paramètres!$A$1:$I$89,5,0)</f>
        <v>256.37975999999992</v>
      </c>
      <c r="AK56" s="13">
        <f t="shared" si="35"/>
        <v>61.95006046218564</v>
      </c>
      <c r="AL56" s="20">
        <f t="shared" si="4"/>
        <v>554.42443730497314</v>
      </c>
      <c r="AM56" s="59">
        <f t="shared" si="5"/>
        <v>847.75777063830651</v>
      </c>
      <c r="AN56" s="59">
        <f ca="1">AVERAGE(OFFSET($AM$3,0,0,'Données projet'!$E$10+1,1))-AVERAGE(OFFSET($H$3,0,0,'Données projet'!$E$10+1,1))</f>
        <v>296.25231821504275</v>
      </c>
      <c r="AO56" s="59">
        <f t="shared" si="36"/>
        <v>316.20936902390275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30.018954089190931</v>
      </c>
      <c r="AV56" s="21">
        <f>EXP(-LN(2)/25)*AV55+(1-EXP(-LN(2)/25))/(LN(2)/25)*Calculateur!AQ56*Calculateur!AS56*VLOOKUP('Données projet'!$B$10,Paramètres!$A$1:$I$89,3,0)*0.475*44/12</f>
        <v>3.4728487867937976</v>
      </c>
      <c r="AW56" s="21">
        <f>EXP(-LN(2)/2)*AW55+(1-EXP(-LN(2)/2))/(LN(2)/2)*AQ56*AT56*VLOOKUP('Données projet'!$B$10,Paramètres!$A$1:$I$89,3,0)*0.475*44/12</f>
        <v>0.7832741196162416</v>
      </c>
      <c r="AX56" s="21">
        <f t="shared" si="6"/>
        <v>34.275076995600976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264.19999999999993</v>
      </c>
      <c r="BE56" s="13">
        <f>BD56*VLOOKUP('Données projet'!$B$11,Paramètres!$A$1:$I$89,3,0)*VLOOKUP('Données projet'!$B$11,Paramètres!$A$1:$I$89,5,0)</f>
        <v>210.19751999999994</v>
      </c>
      <c r="BF56" s="13">
        <f t="shared" si="37"/>
        <v>51.978746425856556</v>
      </c>
      <c r="BG56" s="20">
        <f t="shared" si="7"/>
        <v>456.62366402503341</v>
      </c>
      <c r="BH56" s="59">
        <f t="shared" si="8"/>
        <v>749.95699735836672</v>
      </c>
      <c r="BI56" s="59">
        <f ca="1">AVERAGE(OFFSET($BH$3,0,0,'Données projet'!$E$11+1,1))-AVERAGE(OFFSET($H$3,0,0,'Données projet'!$E$11+1,1))</f>
        <v>244.50301885429764</v>
      </c>
      <c r="BJ56" s="59">
        <f t="shared" si="38"/>
        <v>248.77995374147798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28.543088890887979</v>
      </c>
      <c r="BQ56" s="21">
        <f>EXP(-LN(2)/25)*BQ55+(1-EXP(-LN(2)/25))/(LN(2)/25)*Calculateur!BL56*Calculateur!BN56*VLOOKUP('Données projet'!$B$11,Paramètres!$A$1:$I$89,3,0)*0.475*44/12</f>
        <v>3.939482942962798</v>
      </c>
      <c r="BR56" s="21">
        <f>EXP(-LN(2)/2)*BR55+(1-EXP(-LN(2)/2))/(LN(2)/2)*BL56*BO56*VLOOKUP('Données projet'!$B$11,Paramètres!$A$1:$I$89,3,0)*0.475*44/12</f>
        <v>0.81083560488252138</v>
      </c>
      <c r="BS56" s="22">
        <f t="shared" si="9"/>
        <v>33.293407438733297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1">
        <f t="shared" si="32"/>
        <v>13.881584044427944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67">
        <f t="shared" si="1"/>
        <v>399.67250554404541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247.2132</v>
      </c>
      <c r="P57" s="13">
        <f t="shared" si="33"/>
        <v>59.988800807398761</v>
      </c>
      <c r="Q57" s="20">
        <f t="shared" si="53"/>
        <v>535.04348473955281</v>
      </c>
      <c r="R57" s="59">
        <f t="shared" si="0"/>
        <v>828.37681807288618</v>
      </c>
      <c r="S57" s="59">
        <f ca="1">AVERAGE(OFFSET($R$3,0,0,'Données projet'!$E$9+1,1))-AVERAGE(OFFSET($H$3,0,0,'Données projet'!$E$9+1,1))</f>
        <v>342.91408684769942</v>
      </c>
      <c r="T57" s="59">
        <f t="shared" si="34"/>
        <v>209.92380505963234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23.033670824814568</v>
      </c>
      <c r="AA57" s="21">
        <f>EXP(-LN(2)/25)*AA56+(1-EXP(-LN(2)/25))/(LN(2)/25)*Calculateur!V57*Calculateur!X57*VLOOKUP('Données projet'!$B$9,Paramètres!$A$1:$I$89,3,0)*0.475*44/12</f>
        <v>3.2677369229358946</v>
      </c>
      <c r="AB57" s="21">
        <f>EXP(-LN(2)/2)*AB56+(1-EXP(-LN(2)/2))/(LN(2)/2)*V57*Y57*VLOOKUP('Données projet'!$B$9,Paramètres!$A$1:$I$89,3,0)*0.475*44/12</f>
        <v>1.1336864500851804</v>
      </c>
      <c r="AC57" s="22">
        <f t="shared" si="3"/>
        <v>27.435094197835642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10.4</v>
      </c>
      <c r="AI57" s="13">
        <f>IF('Données projet'!$A$62&gt;35,AI56+AH57-AQ56,IF(A57&lt;'Données projet'!$A$62,$AF$205^A57,IF(A57='Données projet'!$A$62,'Données projet'!$B$62,AI56+AH57-AQ56)))</f>
        <v>392.59999999999985</v>
      </c>
      <c r="AJ57" s="13">
        <f>AI57*VLOOKUP('Données projet'!$B$10,Paramètres!$A$1:$I$89,3,0)*VLOOKUP('Données projet'!$B$10,Paramètres!$A$1:$I$89,5,0)</f>
        <v>263.35607999999991</v>
      </c>
      <c r="AK57" s="13">
        <f t="shared" si="35"/>
        <v>63.437223727381799</v>
      </c>
      <c r="AL57" s="20">
        <f t="shared" si="4"/>
        <v>569.16500399185645</v>
      </c>
      <c r="AM57" s="59">
        <f t="shared" si="5"/>
        <v>862.49833732518982</v>
      </c>
      <c r="AN57" s="59">
        <f ca="1">AVERAGE(OFFSET($AM$3,0,0,'Données projet'!$E$10+1,1))-AVERAGE(OFFSET($H$3,0,0,'Données projet'!$E$10+1,1))</f>
        <v>296.25231821504275</v>
      </c>
      <c r="AO57" s="59">
        <f t="shared" si="36"/>
        <v>316.20936902390275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29.430300709255953</v>
      </c>
      <c r="AV57" s="21">
        <f>EXP(-LN(2)/25)*AV56+(1-EXP(-LN(2)/25))/(LN(2)/25)*Calculateur!AQ57*Calculateur!AS57*VLOOKUP('Données projet'!$B$10,Paramètres!$A$1:$I$89,3,0)*0.475*44/12</f>
        <v>3.3778835540897409</v>
      </c>
      <c r="AW57" s="21">
        <f>EXP(-LN(2)/2)*AW56+(1-EXP(-LN(2)/2))/(LN(2)/2)*AQ57*AT57*VLOOKUP('Données projet'!$B$10,Paramètres!$A$1:$I$89,3,0)*0.475*44/12</f>
        <v>0.55385844150856745</v>
      </c>
      <c r="AX57" s="21">
        <f t="shared" si="6"/>
        <v>33.362042704854261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271.59999999999991</v>
      </c>
      <c r="BE57" s="13">
        <f>BD57*VLOOKUP('Données projet'!$B$11,Paramètres!$A$1:$I$89,3,0)*VLOOKUP('Données projet'!$B$11,Paramètres!$A$1:$I$89,5,0)</f>
        <v>216.08495999999994</v>
      </c>
      <c r="BF57" s="13">
        <f t="shared" si="37"/>
        <v>53.26308393083157</v>
      </c>
      <c r="BG57" s="20">
        <f t="shared" si="7"/>
        <v>469.11450984619819</v>
      </c>
      <c r="BH57" s="59">
        <f t="shared" si="8"/>
        <v>762.44784317953145</v>
      </c>
      <c r="BI57" s="59">
        <f ca="1">AVERAGE(OFFSET($BH$3,0,0,'Données projet'!$E$11+1,1))-AVERAGE(OFFSET($H$3,0,0,'Données projet'!$E$11+1,1))</f>
        <v>244.50301885429764</v>
      </c>
      <c r="BJ57" s="59">
        <f t="shared" si="38"/>
        <v>248.77995374147798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27.983376327302839</v>
      </c>
      <c r="BQ57" s="21">
        <f>EXP(-LN(2)/25)*BQ56+(1-EXP(-LN(2)/25))/(LN(2)/25)*Calculateur!BL57*Calculateur!BN57*VLOOKUP('Données projet'!$B$11,Paramètres!$A$1:$I$89,3,0)*0.475*44/12</f>
        <v>3.831757574719076</v>
      </c>
      <c r="BR57" s="21">
        <f>EXP(-LN(2)/2)*BR56+(1-EXP(-LN(2)/2))/(LN(2)/2)*BL57*BO57*VLOOKUP('Données projet'!$B$11,Paramètres!$A$1:$I$89,3,0)*0.475*44/12</f>
        <v>0.57334735463992703</v>
      </c>
      <c r="BS57" s="22">
        <f t="shared" si="9"/>
        <v>32.388481256661841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1">
        <f t="shared" si="32"/>
        <v>14.108484750160635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67">
        <f t="shared" si="1"/>
        <v>401.58921093986316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257.55599999999998</v>
      </c>
      <c r="P58" s="13">
        <f t="shared" si="33"/>
        <v>62.201129910568184</v>
      </c>
      <c r="Q58" s="20">
        <f t="shared" si="53"/>
        <v>556.91033459423954</v>
      </c>
      <c r="R58" s="59">
        <f t="shared" si="0"/>
        <v>850.24366792757291</v>
      </c>
      <c r="S58" s="59">
        <f ca="1">AVERAGE(OFFSET($R$3,0,0,'Données projet'!$E$9+1,1))-AVERAGE(OFFSET($H$3,0,0,'Données projet'!$E$9+1,1))</f>
        <v>342.91408684769942</v>
      </c>
      <c r="T58" s="59">
        <f t="shared" si="34"/>
        <v>209.92380505963234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0.215</v>
      </c>
      <c r="X58" s="16">
        <f>IF(ISNA(VLOOKUP(A58,'Données projet'!$A$35:$I$55,6,0)),0%,VLOOKUP(A58,'Données projet'!$A$35:$I$55,6,0)*VLOOKUP('Données projet'!$B$9,Paramètres!$A$1:$I$89,7,0))</f>
        <v>2.58E-2</v>
      </c>
      <c r="Y58" s="16">
        <f>IF(ISNA(VLOOKUP(A58,'Données projet'!$A$35:$I$55,7,0)),0%,VLOOKUP(A58,'Données projet'!$A$35:$I$55,7,0))</f>
        <v>0.14000000000000001</v>
      </c>
      <c r="Z58" s="21">
        <f>EXP(-LN(2)/35)*Z57+(1-EXP(-LN(2)/35))/(LN(2)/35)*V58*W58*VLOOKUP('Données projet'!$B$9,Paramètres!$A$1:$I$89,3,0)*0.475*44/12</f>
        <v>29.330095317467318</v>
      </c>
      <c r="AA58" s="21">
        <f>EXP(-LN(2)/25)*AA57+(1-EXP(-LN(2)/25))/(LN(2)/25)*Calculateur!V58*Calculateur!X58*VLOOKUP('Données projet'!$B$9,Paramètres!$A$1:$I$89,3,0)*0.475*44/12</f>
        <v>3.9849641910849756</v>
      </c>
      <c r="AB58" s="21">
        <f>EXP(-LN(2)/2)*AB57+(1-EXP(-LN(2)/2))/(LN(2)/2)*V58*Y58*VLOOKUP('Données projet'!$B$9,Paramètres!$A$1:$I$89,3,0)*0.475*44/12</f>
        <v>4.5520436389212025</v>
      </c>
      <c r="AC58" s="22">
        <f t="shared" si="3"/>
        <v>37.8671031474735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403</v>
      </c>
      <c r="AG58" s="12">
        <f>VLOOKUP(A58,'Données projet'!$A$61:$I$81,9,0)</f>
        <v>10.4</v>
      </c>
      <c r="AH58" s="12">
        <f t="array" ref="AH58">INDEX(AG:AG,MIN(IF(ISNUMBER(AG58:AG254),ROW(AG58:AG254),"")))</f>
        <v>10.4</v>
      </c>
      <c r="AI58" s="13">
        <f>IF('Données projet'!$A$62&gt;35,AI57+AH58-AQ57,IF(A58&lt;'Données projet'!$A$62,$AF$205^A58,IF(A58='Données projet'!$A$62,'Données projet'!$B$62,AI57+AH58-AQ57)))</f>
        <v>402.99999999999983</v>
      </c>
      <c r="AJ58" s="13">
        <f>AI58*VLOOKUP('Données projet'!$B$10,Paramètres!$A$1:$I$89,3,0)*VLOOKUP('Données projet'!$B$10,Paramètres!$A$1:$I$89,5,0)</f>
        <v>270.33239999999989</v>
      </c>
      <c r="AK58" s="13">
        <f t="shared" si="35"/>
        <v>64.919807904864967</v>
      </c>
      <c r="AL58" s="20">
        <f t="shared" si="4"/>
        <v>583.89759543430625</v>
      </c>
      <c r="AM58" s="59">
        <f t="shared" si="5"/>
        <v>877.23092876763963</v>
      </c>
      <c r="AN58" s="59">
        <f ca="1">AVERAGE(OFFSET($AM$3,0,0,'Données projet'!$E$10+1,1))-AVERAGE(OFFSET($H$3,0,0,'Données projet'!$E$10+1,1))</f>
        <v>296.25231821504275</v>
      </c>
      <c r="AO58" s="59">
        <f t="shared" si="36"/>
        <v>316.20936902390275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0.371</v>
      </c>
      <c r="AS58" s="16">
        <f>IF(ISNA(VLOOKUP(A58,'Données projet'!$A$61:$I$81,6,0)),0%,VLOOKUP(A58,'Données projet'!$A$61:$I$81,6,0)*VLOOKUP('Données projet'!$B$10,Paramètres!$A$1:$I$89,7,0))</f>
        <v>2.6500000000000003E-2</v>
      </c>
      <c r="AT58" s="16">
        <f>IF(ISNA(VLOOKUP(A58,'Données projet'!$A$61:$I$81,7,0)),0%,VLOOKUP(A58,'Données projet'!$A$61:$I$81,7,0))</f>
        <v>0.1</v>
      </c>
      <c r="AU58" s="21">
        <f>EXP(-LN(2)/35)*AU57+(1-EXP(-LN(2)/35))/(LN(2)/35)*AQ58*AR58*VLOOKUP('Données projet'!$B$10,Paramètres!$A$1:$I$89,3,0)*0.475*44/12</f>
        <v>36.55640698683461</v>
      </c>
      <c r="AV58" s="21">
        <f>EXP(-LN(2)/25)*AV57+(1-EXP(-LN(2)/25))/(LN(2)/25)*Calculateur!AQ58*Calculateur!AS58*VLOOKUP('Données projet'!$B$10,Paramètres!$A$1:$I$89,3,0)*0.475*44/12</f>
        <v>3.8335784381798743</v>
      </c>
      <c r="AW58" s="21">
        <f>EXP(-LN(2)/2)*AW57+(1-EXP(-LN(2)/2))/(LN(2)/2)*AQ58*AT58*VLOOKUP('Données projet'!$B$10,Paramètres!$A$1:$I$89,3,0)*0.475*44/12</f>
        <v>2.1638070518965451</v>
      </c>
      <c r="AX58" s="21">
        <f t="shared" si="6"/>
        <v>42.553792476911035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278.99999999999989</v>
      </c>
      <c r="BE58" s="13">
        <f>BD58*VLOOKUP('Données projet'!$B$11,Paramètres!$A$1:$I$89,3,0)*VLOOKUP('Données projet'!$B$11,Paramètres!$A$1:$I$89,5,0)</f>
        <v>221.97239999999991</v>
      </c>
      <c r="BF58" s="13">
        <f t="shared" si="37"/>
        <v>54.543354171476771</v>
      </c>
      <c r="BG58" s="20">
        <f t="shared" si="7"/>
        <v>481.5982718486552</v>
      </c>
      <c r="BH58" s="59">
        <f t="shared" si="8"/>
        <v>774.93160518198852</v>
      </c>
      <c r="BI58" s="59">
        <f ca="1">AVERAGE(OFFSET($BH$3,0,0,'Données projet'!$E$11+1,1))-AVERAGE(OFFSET($H$3,0,0,'Données projet'!$E$11+1,1))</f>
        <v>244.50301885429764</v>
      </c>
      <c r="BJ58" s="59">
        <f t="shared" si="38"/>
        <v>248.77995374147798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0.371</v>
      </c>
      <c r="BN58" s="16">
        <f>IF(ISNA(VLOOKUP(A58,'Données projet'!$A$87:$I$107,6,0)),0%,VLOOKUP(A58,'Données projet'!$A$87:$I$107,6,0)*VLOOKUP('Données projet'!$B$11,Paramètres!$A$1:$I$89,7,0))</f>
        <v>2.6500000000000003E-2</v>
      </c>
      <c r="BO58" s="16">
        <f>IF(ISNA(VLOOKUP(A58,'Données projet'!$A$87:$I$107,7,0)),0%,VLOOKUP(A58,'Données projet'!$A$87:$I$107,7,0))</f>
        <v>0.1</v>
      </c>
      <c r="BP58" s="21">
        <f>EXP(-LN(2)/35)*BP57+(1-EXP(-LN(2)/35))/(LN(2)/35)*BL58*BM58*VLOOKUP('Données projet'!$B$11,Paramètres!$A$1:$I$89,3,0)*0.475*44/12</f>
        <v>32.655424006463932</v>
      </c>
      <c r="BQ58" s="21">
        <f>EXP(-LN(2)/25)*BQ57+(1-EXP(-LN(2)/25))/(LN(2)/25)*Calculateur!BL58*Calculateur!BN58*VLOOKUP('Données projet'!$B$11,Paramètres!$A$1:$I$89,3,0)*0.475*44/12</f>
        <v>4.0984228482234695</v>
      </c>
      <c r="BR58" s="21">
        <f>EXP(-LN(2)/2)*BR57+(1-EXP(-LN(2)/2))/(LN(2)/2)*BL58*BO58*VLOOKUP('Données projet'!$B$11,Paramètres!$A$1:$I$89,3,0)*0.475*44/12</f>
        <v>1.6064898236573355</v>
      </c>
      <c r="BS58" s="22">
        <f t="shared" si="9"/>
        <v>38.360336678344737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1">
        <f t="shared" si="32"/>
        <v>14.334905731333885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67">
        <f t="shared" si="1"/>
        <v>403.50508081540659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238.69559999999998</v>
      </c>
      <c r="P59" s="13">
        <f t="shared" si="33"/>
        <v>58.158793514165929</v>
      </c>
      <c r="Q59" s="20">
        <f t="shared" si="53"/>
        <v>517.02140203717238</v>
      </c>
      <c r="R59" s="59">
        <f t="shared" si="0"/>
        <v>810.35473537050575</v>
      </c>
      <c r="S59" s="59">
        <f ca="1">AVERAGE(OFFSET($R$3,0,0,'Données projet'!$E$9+1,1))-AVERAGE(OFFSET($H$3,0,0,'Données projet'!$E$9+1,1))</f>
        <v>342.91408684769942</v>
      </c>
      <c r="T59" s="59">
        <f t="shared" si="34"/>
        <v>209.92380505963234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28.754950037883479</v>
      </c>
      <c r="AA59" s="21">
        <f>EXP(-LN(2)/25)*AA58+(1-EXP(-LN(2)/25))/(LN(2)/25)*Calculateur!V59*Calculateur!X59*VLOOKUP('Données projet'!$B$9,Paramètres!$A$1:$I$89,3,0)*0.475*44/12</f>
        <v>3.8759951357195979</v>
      </c>
      <c r="AB59" s="21">
        <f>EXP(-LN(2)/2)*AB58+(1-EXP(-LN(2)/2))/(LN(2)/2)*V59*Y59*VLOOKUP('Données projet'!$B$9,Paramètres!$A$1:$I$89,3,0)*0.475*44/12</f>
        <v>3.2187809253382706</v>
      </c>
      <c r="AC59" s="22">
        <f t="shared" si="3"/>
        <v>35.849726098941346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9.6</v>
      </c>
      <c r="AI59" s="13">
        <f>IF('Données projet'!$A$62&gt;35,AI58+AH59-AQ58,IF(A59&lt;'Données projet'!$A$62,$AF$205^A59,IF(A59='Données projet'!$A$62,'Données projet'!$B$62,AI58+AH59-AQ58)))</f>
        <v>384.59999999999985</v>
      </c>
      <c r="AJ59" s="13">
        <f>AI59*VLOOKUP('Données projet'!$B$10,Paramètres!$A$1:$I$89,3,0)*VLOOKUP('Données projet'!$B$10,Paramètres!$A$1:$I$89,5,0)</f>
        <v>257.98967999999991</v>
      </c>
      <c r="AK59" s="13">
        <f t="shared" si="35"/>
        <v>62.293665579331261</v>
      </c>
      <c r="AL59" s="20">
        <f t="shared" si="4"/>
        <v>557.82682688400178</v>
      </c>
      <c r="AM59" s="59">
        <f t="shared" si="5"/>
        <v>851.16016021733503</v>
      </c>
      <c r="AN59" s="59">
        <f ca="1">AVERAGE(OFFSET($AM$3,0,0,'Données projet'!$E$10+1,1))-AVERAGE(OFFSET($H$3,0,0,'Données projet'!$E$10+1,1))</f>
        <v>296.25231821504275</v>
      </c>
      <c r="AO59" s="59">
        <f t="shared" si="36"/>
        <v>316.20936902390275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35.839558143029379</v>
      </c>
      <c r="AV59" s="21">
        <f>EXP(-LN(2)/25)*AV58+(1-EXP(-LN(2)/25))/(LN(2)/25)*Calculateur!AQ59*Calculateur!AS59*VLOOKUP('Données projet'!$B$10,Paramètres!$A$1:$I$89,3,0)*0.475*44/12</f>
        <v>3.7287490341887173</v>
      </c>
      <c r="AW59" s="21">
        <f>EXP(-LN(2)/2)*AW58+(1-EXP(-LN(2)/2))/(LN(2)/2)*AQ59*AT59*VLOOKUP('Données projet'!$B$10,Paramètres!$A$1:$I$89,3,0)*0.475*44/12</f>
        <v>1.5300426395753188</v>
      </c>
      <c r="AX59" s="21">
        <f t="shared" si="6"/>
        <v>41.098349816793416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269.19999999999987</v>
      </c>
      <c r="BE59" s="13">
        <f>BD59*VLOOKUP('Données projet'!$B$11,Paramètres!$A$1:$I$89,3,0)*VLOOKUP('Données projet'!$B$11,Paramètres!$A$1:$I$89,5,0)</f>
        <v>214.17551999999992</v>
      </c>
      <c r="BF59" s="13">
        <f t="shared" si="37"/>
        <v>52.846993696165399</v>
      </c>
      <c r="BG59" s="20">
        <f t="shared" si="7"/>
        <v>465.06421135415462</v>
      </c>
      <c r="BH59" s="59">
        <f t="shared" si="8"/>
        <v>758.39754468748788</v>
      </c>
      <c r="BI59" s="59">
        <f ca="1">AVERAGE(OFFSET($BH$3,0,0,'Données projet'!$E$11+1,1))-AVERAGE(OFFSET($H$3,0,0,'Données projet'!$E$11+1,1))</f>
        <v>244.50301885429764</v>
      </c>
      <c r="BJ59" s="59">
        <f t="shared" si="38"/>
        <v>248.77995374147798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32.015071059539096</v>
      </c>
      <c r="BQ59" s="21">
        <f>EXP(-LN(2)/25)*BQ58+(1-EXP(-LN(2)/25))/(LN(2)/25)*Calculateur!BL59*Calculateur!BN59*VLOOKUP('Données projet'!$B$11,Paramètres!$A$1:$I$89,3,0)*0.475*44/12</f>
        <v>3.9863512599121083</v>
      </c>
      <c r="BR59" s="21">
        <f>EXP(-LN(2)/2)*BR58+(1-EXP(-LN(2)/2))/(LN(2)/2)*BL59*BO59*VLOOKUP('Données projet'!$B$11,Paramètres!$A$1:$I$89,3,0)*0.475*44/12</f>
        <v>1.1359598482152828</v>
      </c>
      <c r="BS59" s="22">
        <f t="shared" si="9"/>
        <v>37.137382167666487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1">
        <f t="shared" si="32"/>
        <v>14.560856542690793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67">
        <f t="shared" si="1"/>
        <v>405.4201318118532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248.22720000000001</v>
      </c>
      <c r="P60" s="13">
        <f t="shared" si="33"/>
        <v>60.20616532763993</v>
      </c>
      <c r="Q60" s="20">
        <f t="shared" si="53"/>
        <v>537.18811127897277</v>
      </c>
      <c r="R60" s="59">
        <f t="shared" si="0"/>
        <v>830.52144461230614</v>
      </c>
      <c r="S60" s="59">
        <f ca="1">AVERAGE(OFFSET($R$3,0,0,'Données projet'!$E$9+1,1))-AVERAGE(OFFSET($H$3,0,0,'Données projet'!$E$9+1,1))</f>
        <v>342.91408684769942</v>
      </c>
      <c r="T60" s="59">
        <f t="shared" si="34"/>
        <v>209.92380505963234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28.191083006428297</v>
      </c>
      <c r="AA60" s="21">
        <f>EXP(-LN(2)/25)*AA59+(1-EXP(-LN(2)/25))/(LN(2)/25)*Calculateur!V60*Calculateur!X60*VLOOKUP('Données projet'!$B$9,Paramètres!$A$1:$I$89,3,0)*0.475*44/12</f>
        <v>3.7700058449036198</v>
      </c>
      <c r="AB60" s="21">
        <f>EXP(-LN(2)/2)*AB59+(1-EXP(-LN(2)/2))/(LN(2)/2)*V60*Y60*VLOOKUP('Données projet'!$B$9,Paramètres!$A$1:$I$89,3,0)*0.475*44/12</f>
        <v>2.2760218194606017</v>
      </c>
      <c r="AC60" s="22">
        <f t="shared" si="3"/>
        <v>34.237110670792518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9.6</v>
      </c>
      <c r="AI60" s="13">
        <f>IF('Données projet'!$A$62&gt;35,AI59+AH60-AQ59,IF(A60&lt;'Données projet'!$A$62,$AF$205^A60,IF(A60='Données projet'!$A$62,'Données projet'!$B$62,AI59+AH60-AQ59)))</f>
        <v>394.19999999999987</v>
      </c>
      <c r="AJ60" s="13">
        <f>AI60*VLOOKUP('Données projet'!$B$10,Paramètres!$A$1:$I$89,3,0)*VLOOKUP('Données projet'!$B$10,Paramètres!$A$1:$I$89,5,0)</f>
        <v>264.42935999999992</v>
      </c>
      <c r="AK60" s="13">
        <f t="shared" si="35"/>
        <v>63.665608264831221</v>
      </c>
      <c r="AL60" s="20">
        <f t="shared" si="4"/>
        <v>571.43206972791415</v>
      </c>
      <c r="AM60" s="59">
        <f t="shared" si="5"/>
        <v>864.76540306124753</v>
      </c>
      <c r="AN60" s="59">
        <f ca="1">AVERAGE(OFFSET($AM$3,0,0,'Données projet'!$E$10+1,1))-AVERAGE(OFFSET($H$3,0,0,'Données projet'!$E$10+1,1))</f>
        <v>296.25231821504275</v>
      </c>
      <c r="AO60" s="59">
        <f t="shared" si="36"/>
        <v>316.20936902390275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35.136766267816547</v>
      </c>
      <c r="AV60" s="21">
        <f>EXP(-LN(2)/25)*AV59+(1-EXP(-LN(2)/25))/(LN(2)/25)*Calculateur!AQ60*Calculateur!AS60*VLOOKUP('Données projet'!$B$10,Paramètres!$A$1:$I$89,3,0)*0.475*44/12</f>
        <v>3.6267861957624374</v>
      </c>
      <c r="AW60" s="21">
        <f>EXP(-LN(2)/2)*AW59+(1-EXP(-LN(2)/2))/(LN(2)/2)*AQ60*AT60*VLOOKUP('Données projet'!$B$10,Paramètres!$A$1:$I$89,3,0)*0.475*44/12</f>
        <v>1.0819035259482725</v>
      </c>
      <c r="AX60" s="21">
        <f t="shared" si="6"/>
        <v>39.845455989527252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275.39999999999986</v>
      </c>
      <c r="BE60" s="13">
        <f>BD60*VLOOKUP('Données projet'!$B$11,Paramètres!$A$1:$I$89,3,0)*VLOOKUP('Données projet'!$B$11,Paramètres!$A$1:$I$89,5,0)</f>
        <v>219.10823999999988</v>
      </c>
      <c r="BF60" s="13">
        <f t="shared" si="37"/>
        <v>53.921020297295854</v>
      </c>
      <c r="BG60" s="20">
        <f t="shared" si="7"/>
        <v>475.52596168445672</v>
      </c>
      <c r="BH60" s="59">
        <f t="shared" si="8"/>
        <v>768.85929501779003</v>
      </c>
      <c r="BI60" s="59">
        <f ca="1">AVERAGE(OFFSET($BH$3,0,0,'Données projet'!$E$11+1,1))-AVERAGE(OFFSET($H$3,0,0,'Données projet'!$E$11+1,1))</f>
        <v>244.50301885429764</v>
      </c>
      <c r="BJ60" s="59">
        <f t="shared" si="38"/>
        <v>248.77995374147798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31.387275043326724</v>
      </c>
      <c r="BQ60" s="21">
        <f>EXP(-LN(2)/25)*BQ59+(1-EXP(-LN(2)/25))/(LN(2)/25)*Calculateur!BL60*Calculateur!BN60*VLOOKUP('Données projet'!$B$11,Paramètres!$A$1:$I$89,3,0)*0.475*44/12</f>
        <v>3.8773442750767098</v>
      </c>
      <c r="BR60" s="21">
        <f>EXP(-LN(2)/2)*BR59+(1-EXP(-LN(2)/2))/(LN(2)/2)*BL60*BO60*VLOOKUP('Données projet'!$B$11,Paramètres!$A$1:$I$89,3,0)*0.475*44/12</f>
        <v>0.80324491182866775</v>
      </c>
      <c r="BS60" s="22">
        <f t="shared" si="9"/>
        <v>36.067864230232104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1">
        <f t="shared" si="32"/>
        <v>14.786346384516133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67">
        <f t="shared" si="1"/>
        <v>407.33437995303234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257.75880000000001</v>
      </c>
      <c r="P61" s="13">
        <f t="shared" si="33"/>
        <v>62.244404241627407</v>
      </c>
      <c r="Q61" s="20">
        <f t="shared" si="53"/>
        <v>557.33891405416773</v>
      </c>
      <c r="R61" s="59">
        <f t="shared" si="0"/>
        <v>850.6722473875011</v>
      </c>
      <c r="S61" s="59">
        <f ca="1">AVERAGE(OFFSET($R$3,0,0,'Données projet'!$E$9+1,1))-AVERAGE(OFFSET($H$3,0,0,'Données projet'!$E$9+1,1))</f>
        <v>342.91408684769942</v>
      </c>
      <c r="T61" s="59">
        <f t="shared" si="34"/>
        <v>209.92380505963234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27.638273063535021</v>
      </c>
      <c r="AA61" s="21">
        <f>EXP(-LN(2)/25)*AA60+(1-EXP(-LN(2)/25))/(LN(2)/25)*Calculateur!V61*Calculateur!X61*VLOOKUP('Données projet'!$B$9,Paramètres!$A$1:$I$89,3,0)*0.475*44/12</f>
        <v>3.6669148368187394</v>
      </c>
      <c r="AB61" s="21">
        <f>EXP(-LN(2)/2)*AB60+(1-EXP(-LN(2)/2))/(LN(2)/2)*V61*Y61*VLOOKUP('Données projet'!$B$9,Paramètres!$A$1:$I$89,3,0)*0.475*44/12</f>
        <v>1.6093904626691355</v>
      </c>
      <c r="AC61" s="22">
        <f t="shared" si="3"/>
        <v>32.914578363022898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9.6</v>
      </c>
      <c r="AI61" s="13">
        <f>IF('Données projet'!$A$62&gt;35,AI60+AH61-AQ60,IF(A61&lt;'Données projet'!$A$62,$AF$205^A61,IF(A61='Données projet'!$A$62,'Données projet'!$B$62,AI60+AH61-AQ60)))</f>
        <v>403.7999999999999</v>
      </c>
      <c r="AJ61" s="13">
        <f>AI61*VLOOKUP('Données projet'!$B$10,Paramètres!$A$1:$I$89,3,0)*VLOOKUP('Données projet'!$B$10,Paramètres!$A$1:$I$89,5,0)</f>
        <v>270.86903999999993</v>
      </c>
      <c r="AK61" s="13">
        <f t="shared" si="35"/>
        <v>65.03366700122406</v>
      </c>
      <c r="AL61" s="20">
        <f t="shared" si="4"/>
        <v>585.03054802713166</v>
      </c>
      <c r="AM61" s="59">
        <f t="shared" si="5"/>
        <v>878.36388136046503</v>
      </c>
      <c r="AN61" s="59">
        <f ca="1">AVERAGE(OFFSET($AM$3,0,0,'Données projet'!$E$10+1,1))-AVERAGE(OFFSET($H$3,0,0,'Données projet'!$E$10+1,1))</f>
        <v>296.25231821504275</v>
      </c>
      <c r="AO61" s="59">
        <f t="shared" si="36"/>
        <v>316.20936902390275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34.447755712615923</v>
      </c>
      <c r="AV61" s="21">
        <f>EXP(-LN(2)/25)*AV60+(1-EXP(-LN(2)/25))/(LN(2)/25)*Calculateur!AQ61*Calculateur!AS61*VLOOKUP('Données projet'!$B$10,Paramètres!$A$1:$I$89,3,0)*0.475*44/12</f>
        <v>3.5276115365149168</v>
      </c>
      <c r="AW61" s="21">
        <f>EXP(-LN(2)/2)*AW60+(1-EXP(-LN(2)/2))/(LN(2)/2)*AQ61*AT61*VLOOKUP('Données projet'!$B$10,Paramètres!$A$1:$I$89,3,0)*0.475*44/12</f>
        <v>0.76502131978765942</v>
      </c>
      <c r="AX61" s="21">
        <f t="shared" si="6"/>
        <v>38.740388568918497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281.59999999999985</v>
      </c>
      <c r="BE61" s="13">
        <f>BD61*VLOOKUP('Données projet'!$B$11,Paramètres!$A$1:$I$89,3,0)*VLOOKUP('Données projet'!$B$11,Paramètres!$A$1:$I$89,5,0)</f>
        <v>224.0409599999999</v>
      </c>
      <c r="BF61" s="13">
        <f t="shared" si="37"/>
        <v>54.992235867381233</v>
      </c>
      <c r="BG61" s="20">
        <f t="shared" si="7"/>
        <v>485.98281613568884</v>
      </c>
      <c r="BH61" s="59">
        <f t="shared" si="8"/>
        <v>779.31614946902209</v>
      </c>
      <c r="BI61" s="59">
        <f ca="1">AVERAGE(OFFSET($BH$3,0,0,'Données projet'!$E$11+1,1))-AVERAGE(OFFSET($H$3,0,0,'Données projet'!$E$11+1,1))</f>
        <v>244.50301885429764</v>
      </c>
      <c r="BJ61" s="59">
        <f t="shared" si="38"/>
        <v>248.77995374147798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30.771789724074516</v>
      </c>
      <c r="BQ61" s="21">
        <f>EXP(-LN(2)/25)*BQ60+(1-EXP(-LN(2)/25))/(LN(2)/25)*Calculateur!BL61*Calculateur!BN61*VLOOKUP('Données projet'!$B$11,Paramètres!$A$1:$I$89,3,0)*0.475*44/12</f>
        <v>3.7713180919740634</v>
      </c>
      <c r="BR61" s="21">
        <f>EXP(-LN(2)/2)*BR60+(1-EXP(-LN(2)/2))/(LN(2)/2)*BL61*BO61*VLOOKUP('Données projet'!$B$11,Paramètres!$A$1:$I$89,3,0)*0.475*44/12</f>
        <v>0.56797992410764142</v>
      </c>
      <c r="BS61" s="22">
        <f t="shared" si="9"/>
        <v>35.111087740156222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1">
        <f t="shared" si="32"/>
        <v>15.011384121666367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67">
        <f t="shared" si="1"/>
        <v>409.24784067856899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267.29039999999998</v>
      </c>
      <c r="P62" s="13">
        <f t="shared" si="33"/>
        <v>64.273886654661325</v>
      </c>
      <c r="Q62" s="20">
        <f t="shared" si="53"/>
        <v>577.47446592353515</v>
      </c>
      <c r="R62" s="59">
        <f t="shared" si="0"/>
        <v>870.80779925686852</v>
      </c>
      <c r="S62" s="59">
        <f ca="1">AVERAGE(OFFSET($R$3,0,0,'Données projet'!$E$9+1,1))-AVERAGE(OFFSET($H$3,0,0,'Données projet'!$E$9+1,1))</f>
        <v>342.91408684769942</v>
      </c>
      <c r="T62" s="59">
        <f t="shared" si="34"/>
        <v>209.92380505963234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27.096303386441111</v>
      </c>
      <c r="AA62" s="21">
        <f>EXP(-LN(2)/25)*AA61+(1-EXP(-LN(2)/25))/(LN(2)/25)*Calculateur!V62*Calculateur!X62*VLOOKUP('Données projet'!$B$9,Paramètres!$A$1:$I$89,3,0)*0.475*44/12</f>
        <v>3.5666428577712606</v>
      </c>
      <c r="AB62" s="21">
        <f>EXP(-LN(2)/2)*AB61+(1-EXP(-LN(2)/2))/(LN(2)/2)*V62*Y62*VLOOKUP('Données projet'!$B$9,Paramètres!$A$1:$I$89,3,0)*0.475*44/12</f>
        <v>1.1380109097303011</v>
      </c>
      <c r="AC62" s="22">
        <f t="shared" si="3"/>
        <v>31.800957153942672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9.6</v>
      </c>
      <c r="AI62" s="13">
        <f>IF('Données projet'!$A$62&gt;35,AI61+AH62-AQ61,IF(A62&lt;'Données projet'!$A$62,$AF$205^A62,IF(A62='Données projet'!$A$62,'Données projet'!$B$62,AI61+AH62-AQ61)))</f>
        <v>413.39999999999992</v>
      </c>
      <c r="AJ62" s="13">
        <f>AI62*VLOOKUP('Données projet'!$B$10,Paramètres!$A$1:$I$89,3,0)*VLOOKUP('Données projet'!$B$10,Paramètres!$A$1:$I$89,5,0)</f>
        <v>277.30871999999999</v>
      </c>
      <c r="AK62" s="13">
        <f t="shared" si="35"/>
        <v>66.397944751281472</v>
      </c>
      <c r="AL62" s="20">
        <f t="shared" si="4"/>
        <v>598.62244110848189</v>
      </c>
      <c r="AM62" s="59">
        <f t="shared" si="5"/>
        <v>891.95577444181527</v>
      </c>
      <c r="AN62" s="59">
        <f ca="1">AVERAGE(OFFSET($AM$3,0,0,'Données projet'!$E$10+1,1))-AVERAGE(OFFSET($H$3,0,0,'Données projet'!$E$10+1,1))</f>
        <v>296.25231821504275</v>
      </c>
      <c r="AO62" s="59">
        <f t="shared" si="36"/>
        <v>316.20936902390275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33.772256234147839</v>
      </c>
      <c r="AV62" s="21">
        <f>EXP(-LN(2)/25)*AV61+(1-EXP(-LN(2)/25))/(LN(2)/25)*Calculateur!AQ62*Calculateur!AS62*VLOOKUP('Données projet'!$B$10,Paramètres!$A$1:$I$89,3,0)*0.475*44/12</f>
        <v>3.4311488135398882</v>
      </c>
      <c r="AW62" s="21">
        <f>EXP(-LN(2)/2)*AW61+(1-EXP(-LN(2)/2))/(LN(2)/2)*AQ62*AT62*VLOOKUP('Données projet'!$B$10,Paramètres!$A$1:$I$89,3,0)*0.475*44/12</f>
        <v>0.54095176297413627</v>
      </c>
      <c r="AX62" s="21">
        <f t="shared" si="6"/>
        <v>37.744356810661863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287.79999999999984</v>
      </c>
      <c r="BE62" s="13">
        <f>BD62*VLOOKUP('Données projet'!$B$11,Paramètres!$A$1:$I$89,3,0)*VLOOKUP('Données projet'!$B$11,Paramètres!$A$1:$I$89,5,0)</f>
        <v>228.97367999999992</v>
      </c>
      <c r="BF62" s="13">
        <f t="shared" si="37"/>
        <v>56.060709423888284</v>
      </c>
      <c r="BG62" s="20">
        <f t="shared" si="7"/>
        <v>496.43489491327199</v>
      </c>
      <c r="BH62" s="59">
        <f t="shared" si="8"/>
        <v>789.7682282466053</v>
      </c>
      <c r="BI62" s="59">
        <f ca="1">AVERAGE(OFFSET($BH$3,0,0,'Données projet'!$E$11+1,1))-AVERAGE(OFFSET($H$3,0,0,'Données projet'!$E$11+1,1))</f>
        <v>244.50301885429764</v>
      </c>
      <c r="BJ62" s="59">
        <f t="shared" si="38"/>
        <v>248.77995374147798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30.168373696523869</v>
      </c>
      <c r="BQ62" s="21">
        <f>EXP(-LN(2)/25)*BQ61+(1-EXP(-LN(2)/25))/(LN(2)/25)*Calculateur!BL62*Calculateur!BN62*VLOOKUP('Données projet'!$B$11,Paramètres!$A$1:$I$89,3,0)*0.475*44/12</f>
        <v>3.6681912004240336</v>
      </c>
      <c r="BR62" s="21">
        <f>EXP(-LN(2)/2)*BR61+(1-EXP(-LN(2)/2))/(LN(2)/2)*BL62*BO62*VLOOKUP('Données projet'!$B$11,Paramètres!$A$1:$I$89,3,0)*0.475*44/12</f>
        <v>0.40162245591433388</v>
      </c>
      <c r="BS62" s="22">
        <f t="shared" si="9"/>
        <v>34.238187352862241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1">
        <f t="shared" si="32"/>
        <v>15.235978301273043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67">
        <f t="shared" si="1"/>
        <v>411.16052887471733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276.82199999999995</v>
      </c>
      <c r="P63" s="13">
        <f t="shared" si="33"/>
        <v>66.29496059864374</v>
      </c>
      <c r="Q63" s="20">
        <f t="shared" si="53"/>
        <v>597.59537304263779</v>
      </c>
      <c r="R63" s="59">
        <f t="shared" si="0"/>
        <v>890.92870637597116</v>
      </c>
      <c r="S63" s="59">
        <f ca="1">AVERAGE(OFFSET($R$3,0,0,'Données projet'!$E$9+1,1))-AVERAGE(OFFSET($H$3,0,0,'Données projet'!$E$9+1,1))</f>
        <v>342.91408684769942</v>
      </c>
      <c r="T63" s="59">
        <f t="shared" si="34"/>
        <v>209.92380505963234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0.215</v>
      </c>
      <c r="X63" s="16">
        <f>IF(ISNA(VLOOKUP(A63,'Données projet'!$A$35:$I$55,6,0)),0%,VLOOKUP(A63,'Données projet'!$A$35:$I$55,6,0)*VLOOKUP('Données projet'!$B$9,Paramètres!$A$1:$I$89,7,0))</f>
        <v>2.58E-2</v>
      </c>
      <c r="Y63" s="16">
        <f>IF(ISNA(VLOOKUP(A63,'Données projet'!$A$35:$I$55,7,0)),0%,VLOOKUP(A63,'Données projet'!$A$35:$I$55,7,0))</f>
        <v>0.14000000000000001</v>
      </c>
      <c r="Z63" s="21">
        <f>EXP(-LN(2)/35)*Z62+(1-EXP(-LN(2)/35))/(LN(2)/35)*V63*W63*VLOOKUP('Données projet'!$B$9,Paramètres!$A$1:$I$89,3,0)*0.475*44/12</f>
        <v>33.313062132521544</v>
      </c>
      <c r="AA63" s="21">
        <f>EXP(-LN(2)/25)*AA62+(1-EXP(-LN(2)/25))/(LN(2)/25)*Calculateur!V63*Calculateur!X63*VLOOKUP('Données projet'!$B$9,Paramètres!$A$1:$I$89,3,0)*0.475*44/12</f>
        <v>4.2756965274134888</v>
      </c>
      <c r="AB63" s="21">
        <f>EXP(-LN(2)/2)*AB62+(1-EXP(-LN(2)/2))/(LN(2)/2)*V63*Y63*VLOOKUP('Données projet'!$B$9,Paramètres!$A$1:$I$89,3,0)*0.475*44/12</f>
        <v>4.5551014936612342</v>
      </c>
      <c r="AC63" s="22">
        <f t="shared" si="3"/>
        <v>42.143860153596265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423</v>
      </c>
      <c r="AG63" s="12">
        <f>VLOOKUP(A63,'Données projet'!$A$61:$I$81,9,0)</f>
        <v>9.6</v>
      </c>
      <c r="AH63" s="12">
        <f t="array" ref="AH63">INDEX(AG:AG,MIN(IF(ISNUMBER(AG63:AG259),ROW(AG63:AG259),"")))</f>
        <v>9.6</v>
      </c>
      <c r="AI63" s="13">
        <f>IF('Données projet'!$A$62&gt;35,AI62+AH63-AQ62,IF(A63&lt;'Données projet'!$A$62,$AF$205^A63,IF(A63='Données projet'!$A$62,'Données projet'!$B$62,AI62+AH63-AQ62)))</f>
        <v>422.99999999999994</v>
      </c>
      <c r="AJ63" s="13">
        <f>AI63*VLOOKUP('Données projet'!$B$10,Paramètres!$A$1:$I$89,3,0)*VLOOKUP('Données projet'!$B$10,Paramètres!$A$1:$I$89,5,0)</f>
        <v>283.7484</v>
      </c>
      <c r="AK63" s="13">
        <f t="shared" si="35"/>
        <v>67.758539422912406</v>
      </c>
      <c r="AL63" s="20">
        <f t="shared" si="4"/>
        <v>612.20791949490581</v>
      </c>
      <c r="AM63" s="59">
        <f t="shared" si="5"/>
        <v>905.54125282823907</v>
      </c>
      <c r="AN63" s="59">
        <f ca="1">AVERAGE(OFFSET($AM$3,0,0,'Données projet'!$E$10+1,1))-AVERAGE(OFFSET($H$3,0,0,'Données projet'!$E$10+1,1))</f>
        <v>296.25231821504275</v>
      </c>
      <c r="AO63" s="59">
        <f t="shared" si="36"/>
        <v>316.20936902390275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27</v>
      </c>
      <c r="AR63" s="16">
        <f>IF(ISNA(VLOOKUP(A63,'Données projet'!$A$61:$I$81,5,0)),0%,VLOOKUP(A63,'Données projet'!$A$61:$I$81,5,0)*VLOOKUP('Données projet'!$B$10,Paramètres!$A$1:$I$89,7,0))</f>
        <v>0.371</v>
      </c>
      <c r="AS63" s="16">
        <f>IF(ISNA(VLOOKUP(A63,'Données projet'!$A$61:$I$81,6,0)),0%,VLOOKUP(A63,'Données projet'!$A$61:$I$81,6,0)*VLOOKUP('Données projet'!$B$10,Paramètres!$A$1:$I$89,7,0))</f>
        <v>2.6500000000000003E-2</v>
      </c>
      <c r="AT63" s="16">
        <f>IF(ISNA(VLOOKUP(A63,'Données projet'!$A$61:$I$81,7,0)),0%,VLOOKUP(A63,'Données projet'!$A$61:$I$81,7,0))</f>
        <v>0.1</v>
      </c>
      <c r="AU63" s="21">
        <f>EXP(-LN(2)/35)*AU62+(1-EXP(-LN(2)/35))/(LN(2)/35)*AQ63*AR63*VLOOKUP('Données projet'!$B$10,Paramètres!$A$1:$I$89,3,0)*0.475*44/12</f>
        <v>40.538104536365587</v>
      </c>
      <c r="AV63" s="21">
        <f>EXP(-LN(2)/25)*AV62+(1-EXP(-LN(2)/25))/(LN(2)/25)*Calculateur!AQ63*Calculateur!AS63*VLOOKUP('Données projet'!$B$10,Paramètres!$A$1:$I$89,3,0)*0.475*44/12</f>
        <v>3.8658134674695486</v>
      </c>
      <c r="AW63" s="21">
        <f>EXP(-LN(2)/2)*AW62+(1-EXP(-LN(2)/2))/(LN(2)/2)*AQ63*AT63*VLOOKUP('Données projet'!$B$10,Paramètres!$A$1:$I$89,3,0)*0.475*44/12</f>
        <v>2.0913888665505249</v>
      </c>
      <c r="AX63" s="21">
        <f t="shared" si="6"/>
        <v>46.495306870385662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293.99999999999983</v>
      </c>
      <c r="BE63" s="13">
        <f>BD63*VLOOKUP('Données projet'!$B$11,Paramètres!$A$1:$I$89,3,0)*VLOOKUP('Données projet'!$B$11,Paramètres!$A$1:$I$89,5,0)</f>
        <v>233.90639999999988</v>
      </c>
      <c r="BF63" s="13">
        <f t="shared" si="37"/>
        <v>57.126506840778347</v>
      </c>
      <c r="BG63" s="20">
        <f t="shared" si="7"/>
        <v>506.88231274768867</v>
      </c>
      <c r="BH63" s="59">
        <f t="shared" si="8"/>
        <v>800.21564608102199</v>
      </c>
      <c r="BI63" s="59">
        <f ca="1">AVERAGE(OFFSET($BH$3,0,0,'Données projet'!$E$11+1,1))-AVERAGE(OFFSET($H$3,0,0,'Données projet'!$E$11+1,1))</f>
        <v>244.50301885429764</v>
      </c>
      <c r="BJ63" s="59">
        <f t="shared" si="38"/>
        <v>248.77995374147798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0.371</v>
      </c>
      <c r="BN63" s="16">
        <f>IF(ISNA(VLOOKUP(A63,'Données projet'!$A$87:$I$107,6,0)),0%,VLOOKUP(A63,'Données projet'!$A$87:$I$107,6,0)*VLOOKUP('Données projet'!$B$11,Paramètres!$A$1:$I$89,7,0))</f>
        <v>2.6500000000000003E-2</v>
      </c>
      <c r="BO63" s="16">
        <f>IF(ISNA(VLOOKUP(A63,'Données projet'!$A$87:$I$107,7,0)),0%,VLOOKUP(A63,'Données projet'!$A$87:$I$107,7,0))</f>
        <v>0.1</v>
      </c>
      <c r="BP63" s="21">
        <f>EXP(-LN(2)/35)*BP62+(1-EXP(-LN(2)/35))/(LN(2)/35)*BL63*BM63*VLOOKUP('Données projet'!$B$11,Paramètres!$A$1:$I$89,3,0)*0.475*44/12</f>
        <v>34.14497683239567</v>
      </c>
      <c r="BQ63" s="21">
        <f>EXP(-LN(2)/25)*BQ62+(1-EXP(-LN(2)/25))/(LN(2)/25)*Calculateur!BL63*Calculateur!BN63*VLOOKUP('Données projet'!$B$11,Paramètres!$A$1:$I$89,3,0)*0.475*44/12</f>
        <v>3.8928985942990488</v>
      </c>
      <c r="BR63" s="21">
        <f>EXP(-LN(2)/2)*BR62+(1-EXP(-LN(2)/2))/(LN(2)/2)*BL63*BO63*VLOOKUP('Données projet'!$B$11,Paramètres!$A$1:$I$89,3,0)*0.475*44/12</f>
        <v>1.3349279806178862</v>
      </c>
      <c r="BS63" s="22">
        <f t="shared" si="9"/>
        <v>39.372803407312603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1">
        <f t="shared" si="32"/>
        <v>15.460137169232445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67">
        <f t="shared" si="1"/>
        <v>413.07245890307996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257.35319999999996</v>
      </c>
      <c r="P64" s="13">
        <f t="shared" si="33"/>
        <v>62.157851613080908</v>
      </c>
      <c r="Q64" s="20">
        <f t="shared" si="53"/>
        <v>556.48174822611588</v>
      </c>
      <c r="R64" s="59">
        <f t="shared" si="0"/>
        <v>849.81508155944925</v>
      </c>
      <c r="S64" s="59">
        <f ca="1">AVERAGE(OFFSET($R$3,0,0,'Données projet'!$E$9+1,1))-AVERAGE(OFFSET($H$3,0,0,'Données projet'!$E$9+1,1))</f>
        <v>342.91408684769942</v>
      </c>
      <c r="T64" s="59">
        <f t="shared" si="34"/>
        <v>209.92380505963234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32.659813303064368</v>
      </c>
      <c r="AA64" s="21">
        <f>EXP(-LN(2)/25)*AA63+(1-EXP(-LN(2)/25))/(LN(2)/25)*Calculateur!V64*Calculateur!X64*VLOOKUP('Données projet'!$B$9,Paramètres!$A$1:$I$89,3,0)*0.475*44/12</f>
        <v>4.1587773810222588</v>
      </c>
      <c r="AB64" s="21">
        <f>EXP(-LN(2)/2)*AB63+(1-EXP(-LN(2)/2))/(LN(2)/2)*V64*Y64*VLOOKUP('Données projet'!$B$9,Paramètres!$A$1:$I$89,3,0)*0.475*44/12</f>
        <v>3.2209431551608305</v>
      </c>
      <c r="AC64" s="22">
        <f t="shared" si="3"/>
        <v>40.039533839247461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</v>
      </c>
      <c r="AI64" s="13">
        <f>IF('Données projet'!$A$62&gt;35,AI63+AH64-AQ63,IF(A64&lt;'Données projet'!$A$62,$AF$205^A64,IF(A64='Données projet'!$A$62,'Données projet'!$B$62,AI63+AH64-AQ63)))</f>
        <v>404.99999999999994</v>
      </c>
      <c r="AJ64" s="13">
        <f>AI64*VLOOKUP('Données projet'!$B$10,Paramètres!$A$1:$I$89,3,0)*VLOOKUP('Données projet'!$B$10,Paramètres!$A$1:$I$89,5,0)</f>
        <v>271.67399999999998</v>
      </c>
      <c r="AK64" s="13">
        <f t="shared" si="35"/>
        <v>65.204406437729162</v>
      </c>
      <c r="AL64" s="20">
        <f t="shared" si="4"/>
        <v>586.72989121237822</v>
      </c>
      <c r="AM64" s="59">
        <f t="shared" si="5"/>
        <v>880.06322454571159</v>
      </c>
      <c r="AN64" s="59">
        <f ca="1">AVERAGE(OFFSET($AM$3,0,0,'Données projet'!$E$10+1,1))-AVERAGE(OFFSET($H$3,0,0,'Données projet'!$E$10+1,1))</f>
        <v>296.25231821504275</v>
      </c>
      <c r="AO64" s="59">
        <f t="shared" si="36"/>
        <v>316.20936902390275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39.743177032209758</v>
      </c>
      <c r="AV64" s="21">
        <f>EXP(-LN(2)/25)*AV63+(1-EXP(-LN(2)/25))/(LN(2)/25)*Calculateur!AQ64*Calculateur!AS64*VLOOKUP('Données projet'!$B$10,Paramètres!$A$1:$I$89,3,0)*0.475*44/12</f>
        <v>3.7601025949072988</v>
      </c>
      <c r="AW64" s="21">
        <f>EXP(-LN(2)/2)*AW63+(1-EXP(-LN(2)/2))/(LN(2)/2)*AQ64*AT64*VLOOKUP('Données projet'!$B$10,Paramètres!$A$1:$I$89,3,0)*0.475*44/12</f>
        <v>1.4788352496359238</v>
      </c>
      <c r="AX64" s="21">
        <f t="shared" si="6"/>
        <v>44.982114876752981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285.19999999999982</v>
      </c>
      <c r="BE64" s="13">
        <f>BD64*VLOOKUP('Données projet'!$B$11,Paramètres!$A$1:$I$89,3,0)*VLOOKUP('Données projet'!$B$11,Paramètres!$A$1:$I$89,5,0)</f>
        <v>226.90511999999987</v>
      </c>
      <c r="BF64" s="13">
        <f t="shared" si="37"/>
        <v>55.612969408444364</v>
      </c>
      <c r="BG64" s="20">
        <f t="shared" si="7"/>
        <v>492.05233905304038</v>
      </c>
      <c r="BH64" s="59">
        <f t="shared" si="8"/>
        <v>785.3856723863737</v>
      </c>
      <c r="BI64" s="59">
        <f ca="1">AVERAGE(OFFSET($BH$3,0,0,'Données projet'!$E$11+1,1))-AVERAGE(OFFSET($H$3,0,0,'Données projet'!$E$11+1,1))</f>
        <v>244.50301885429764</v>
      </c>
      <c r="BJ64" s="59">
        <f t="shared" si="38"/>
        <v>248.77995374147798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33.475414663091826</v>
      </c>
      <c r="BQ64" s="21">
        <f>EXP(-LN(2)/25)*BQ63+(1-EXP(-LN(2)/25))/(LN(2)/25)*Calculateur!BL64*Calculateur!BN64*VLOOKUP('Données projet'!$B$11,Paramètres!$A$1:$I$89,3,0)*0.475*44/12</f>
        <v>3.7864470775193015</v>
      </c>
      <c r="BR64" s="21">
        <f>EXP(-LN(2)/2)*BR63+(1-EXP(-LN(2)/2))/(LN(2)/2)*BL64*BO64*VLOOKUP('Données projet'!$B$11,Paramètres!$A$1:$I$89,3,0)*0.475*44/12</f>
        <v>0.9439366274905715</v>
      </c>
      <c r="BS64" s="22">
        <f t="shared" si="9"/>
        <v>38.205798368101696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1">
        <f t="shared" si="32"/>
        <v>15.683868685583311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67">
        <f t="shared" si="1"/>
        <v>414.98364462739102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266.27640000000002</v>
      </c>
      <c r="P65" s="13">
        <f t="shared" si="33"/>
        <v>64.058389829439747</v>
      </c>
      <c r="Q65" s="20">
        <f t="shared" si="53"/>
        <v>575.33309228627434</v>
      </c>
      <c r="R65" s="59">
        <f t="shared" si="0"/>
        <v>868.66642561960771</v>
      </c>
      <c r="S65" s="59">
        <f ca="1">AVERAGE(OFFSET($R$3,0,0,'Données projet'!$E$9+1,1))-AVERAGE(OFFSET($H$3,0,0,'Données projet'!$E$9+1,1))</f>
        <v>342.91408684769942</v>
      </c>
      <c r="T65" s="59">
        <f t="shared" si="34"/>
        <v>209.92380505963234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32.019374284710402</v>
      </c>
      <c r="AA65" s="21">
        <f>EXP(-LN(2)/25)*AA64+(1-EXP(-LN(2)/25))/(LN(2)/25)*Calculateur!V65*Calculateur!X65*VLOOKUP('Données projet'!$B$9,Paramètres!$A$1:$I$89,3,0)*0.475*44/12</f>
        <v>4.0450553948376076</v>
      </c>
      <c r="AB65" s="21">
        <f>EXP(-LN(2)/2)*AB64+(1-EXP(-LN(2)/2))/(LN(2)/2)*V65*Y65*VLOOKUP('Données projet'!$B$9,Paramètres!$A$1:$I$89,3,0)*0.475*44/12</f>
        <v>2.2775507468306175</v>
      </c>
      <c r="AC65" s="22">
        <f t="shared" si="3"/>
        <v>38.341980426378633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</v>
      </c>
      <c r="AI65" s="13">
        <f>IF('Données projet'!$A$62&gt;35,AI64+AH65-AQ64,IF(A65&lt;'Données projet'!$A$62,$AF$205^A65,IF(A65='Données projet'!$A$62,'Données projet'!$B$62,AI64+AH65-AQ64)))</f>
        <v>413.99999999999994</v>
      </c>
      <c r="AJ65" s="13">
        <f>AI65*VLOOKUP('Données projet'!$B$10,Paramètres!$A$1:$I$89,3,0)*VLOOKUP('Données projet'!$B$10,Paramètres!$A$1:$I$89,5,0)</f>
        <v>277.71119999999996</v>
      </c>
      <c r="AK65" s="13">
        <f t="shared" si="35"/>
        <v>66.483088830894033</v>
      </c>
      <c r="AL65" s="20">
        <f t="shared" si="4"/>
        <v>599.47171971380703</v>
      </c>
      <c r="AM65" s="59">
        <f t="shared" si="5"/>
        <v>892.80505304714029</v>
      </c>
      <c r="AN65" s="59">
        <f ca="1">AVERAGE(OFFSET($AM$3,0,0,'Données projet'!$E$10+1,1))-AVERAGE(OFFSET($H$3,0,0,'Données projet'!$E$10+1,1))</f>
        <v>296.25231821504275</v>
      </c>
      <c r="AO65" s="59">
        <f t="shared" si="36"/>
        <v>316.20936902390275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38.963837571552517</v>
      </c>
      <c r="AV65" s="21">
        <f>EXP(-LN(2)/25)*AV64+(1-EXP(-LN(2)/25))/(LN(2)/25)*Calculateur!AQ65*Calculateur!AS65*VLOOKUP('Données projet'!$B$10,Paramètres!$A$1:$I$89,3,0)*0.475*44/12</f>
        <v>3.6572823917143569</v>
      </c>
      <c r="AW65" s="21">
        <f>EXP(-LN(2)/2)*AW64+(1-EXP(-LN(2)/2))/(LN(2)/2)*AQ65*AT65*VLOOKUP('Données projet'!$B$10,Paramètres!$A$1:$I$89,3,0)*0.475*44/12</f>
        <v>1.0456944332752627</v>
      </c>
      <c r="AX65" s="21">
        <f t="shared" si="6"/>
        <v>43.666814396542136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290.39999999999981</v>
      </c>
      <c r="BE65" s="13">
        <f>BD65*VLOOKUP('Données projet'!$B$11,Paramètres!$A$1:$I$89,3,0)*VLOOKUP('Données projet'!$B$11,Paramètres!$A$1:$I$89,5,0)</f>
        <v>231.04223999999985</v>
      </c>
      <c r="BF65" s="13">
        <f t="shared" si="37"/>
        <v>56.507978852931409</v>
      </c>
      <c r="BG65" s="20">
        <f t="shared" si="7"/>
        <v>500.81663116885534</v>
      </c>
      <c r="BH65" s="59">
        <f t="shared" si="8"/>
        <v>794.1499645021886</v>
      </c>
      <c r="BI65" s="59">
        <f ca="1">AVERAGE(OFFSET($BH$3,0,0,'Données projet'!$E$11+1,1))-AVERAGE(OFFSET($H$3,0,0,'Données projet'!$E$11+1,1))</f>
        <v>244.50301885429764</v>
      </c>
      <c r="BJ65" s="59">
        <f t="shared" si="38"/>
        <v>248.77995374147798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32.818982199535434</v>
      </c>
      <c r="BQ65" s="21">
        <f>EXP(-LN(2)/25)*BQ64+(1-EXP(-LN(2)/25))/(LN(2)/25)*Calculateur!BL65*Calculateur!BN65*VLOOKUP('Données projet'!$B$11,Paramètres!$A$1:$I$89,3,0)*0.475*44/12</f>
        <v>3.6829064830639386</v>
      </c>
      <c r="BR65" s="21">
        <f>EXP(-LN(2)/2)*BR64+(1-EXP(-LN(2)/2))/(LN(2)/2)*BL65*BO65*VLOOKUP('Données projet'!$B$11,Paramètres!$A$1:$I$89,3,0)*0.475*44/12</f>
        <v>0.66746399030894321</v>
      </c>
      <c r="BS65" s="22">
        <f t="shared" si="9"/>
        <v>37.169352672908317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1">
        <f t="shared" si="32"/>
        <v>15.90718053886436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67">
        <f t="shared" si="1"/>
        <v>416.89409943852223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275.19960000000003</v>
      </c>
      <c r="P66" s="13">
        <f t="shared" si="33"/>
        <v>65.951527620662617</v>
      </c>
      <c r="Q66" s="20">
        <f t="shared" si="53"/>
        <v>594.17154727265404</v>
      </c>
      <c r="R66" s="59">
        <f t="shared" si="0"/>
        <v>887.50488060598741</v>
      </c>
      <c r="S66" s="59">
        <f ca="1">AVERAGE(OFFSET($R$3,0,0,'Données projet'!$E$9+1,1))-AVERAGE(OFFSET($H$3,0,0,'Données projet'!$E$9+1,1))</f>
        <v>342.91408684769942</v>
      </c>
      <c r="T66" s="59">
        <f t="shared" si="34"/>
        <v>209.92380505963234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31.391493884877129</v>
      </c>
      <c r="AA66" s="21">
        <f>EXP(-LN(2)/25)*AA65+(1-EXP(-LN(2)/25))/(LN(2)/25)*Calculateur!V66*Calculateur!X66*VLOOKUP('Données projet'!$B$9,Paramètres!$A$1:$I$89,3,0)*0.475*44/12</f>
        <v>3.9344431423455553</v>
      </c>
      <c r="AB66" s="21">
        <f>EXP(-LN(2)/2)*AB65+(1-EXP(-LN(2)/2))/(LN(2)/2)*V66*Y66*VLOOKUP('Données projet'!$B$9,Paramètres!$A$1:$I$89,3,0)*0.475*44/12</f>
        <v>1.6104715775804155</v>
      </c>
      <c r="AC66" s="22">
        <f t="shared" si="3"/>
        <v>36.936408604803098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</v>
      </c>
      <c r="AI66" s="13">
        <f>IF('Données projet'!$A$62&gt;35,AI65+AH66-AQ65,IF(A66&lt;'Données projet'!$A$62,$AF$205^A66,IF(A66='Données projet'!$A$62,'Données projet'!$B$62,AI65+AH66-AQ65)))</f>
        <v>422.99999999999994</v>
      </c>
      <c r="AJ66" s="13">
        <f>AI66*VLOOKUP('Données projet'!$B$10,Paramètres!$A$1:$I$89,3,0)*VLOOKUP('Données projet'!$B$10,Paramètres!$A$1:$I$89,5,0)</f>
        <v>283.7484</v>
      </c>
      <c r="AK66" s="13">
        <f t="shared" si="35"/>
        <v>67.758539422912406</v>
      </c>
      <c r="AL66" s="20">
        <f t="shared" si="4"/>
        <v>612.20791949490581</v>
      </c>
      <c r="AM66" s="59">
        <f t="shared" si="5"/>
        <v>905.54125282823907</v>
      </c>
      <c r="AN66" s="59">
        <f ca="1">AVERAGE(OFFSET($AM$3,0,0,'Données projet'!$E$10+1,1))-AVERAGE(OFFSET($H$3,0,0,'Données projet'!$E$10+1,1))</f>
        <v>296.25231821504275</v>
      </c>
      <c r="AO66" s="59">
        <f t="shared" si="36"/>
        <v>316.20936902390275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38.199780482368631</v>
      </c>
      <c r="AV66" s="21">
        <f>EXP(-LN(2)/25)*AV65+(1-EXP(-LN(2)/25))/(LN(2)/25)*Calculateur!AQ66*Calculateur!AS66*VLOOKUP('Données projet'!$B$10,Paramètres!$A$1:$I$89,3,0)*0.475*44/12</f>
        <v>3.5572738123848056</v>
      </c>
      <c r="AW66" s="21">
        <f>EXP(-LN(2)/2)*AW65+(1-EXP(-LN(2)/2))/(LN(2)/2)*AQ66*AT66*VLOOKUP('Données projet'!$B$10,Paramètres!$A$1:$I$89,3,0)*0.475*44/12</f>
        <v>0.73941762481796203</v>
      </c>
      <c r="AX66" s="21">
        <f t="shared" si="6"/>
        <v>42.496471919571398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</v>
      </c>
      <c r="BE66" s="13">
        <f>BD66*VLOOKUP('Données projet'!$B$11,Paramètres!$A$1:$I$89,3,0)*VLOOKUP('Données projet'!$B$11,Paramètres!$A$1:$I$89,5,0)</f>
        <v>235.17935999999983</v>
      </c>
      <c r="BF66" s="13">
        <f t="shared" si="37"/>
        <v>57.401124668909425</v>
      </c>
      <c r="BG66" s="20">
        <f t="shared" si="7"/>
        <v>509.57767746501696</v>
      </c>
      <c r="BH66" s="59">
        <f t="shared" si="8"/>
        <v>802.91101079835028</v>
      </c>
      <c r="BI66" s="59">
        <f ca="1">AVERAGE(OFFSET($BH$3,0,0,'Données projet'!$E$11+1,1))-AVERAGE(OFFSET($H$3,0,0,'Données projet'!$E$11+1,1))</f>
        <v>244.50301885429764</v>
      </c>
      <c r="BJ66" s="59">
        <f t="shared" si="38"/>
        <v>248.77995374147798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32.175421976205108</v>
      </c>
      <c r="BQ66" s="21">
        <f>EXP(-LN(2)/25)*BQ65+(1-EXP(-LN(2)/25))/(LN(2)/25)*Calculateur!BL66*Calculateur!BN66*VLOOKUP('Données projet'!$B$11,Paramètres!$A$1:$I$89,3,0)*0.475*44/12</f>
        <v>3.5821972116089209</v>
      </c>
      <c r="BR66" s="21">
        <f>EXP(-LN(2)/2)*BR65+(1-EXP(-LN(2)/2))/(LN(2)/2)*BL66*BO66*VLOOKUP('Données projet'!$B$11,Paramètres!$A$1:$I$89,3,0)*0.475*44/12</f>
        <v>0.47196831374528581</v>
      </c>
      <c r="BS66" s="22">
        <f t="shared" si="9"/>
        <v>36.229587501559315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1">
        <f t="shared" si="32"/>
        <v>16.130080159534312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67">
        <f t="shared" si="1"/>
        <v>418.80383627785574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284.12279999999998</v>
      </c>
      <c r="P67" s="13">
        <f t="shared" si="33"/>
        <v>67.837532462585557</v>
      </c>
      <c r="Q67" s="20">
        <f t="shared" ref="Q67:Q98" si="54">(O67+P67)*0.475*44/12</f>
        <v>612.99757903900309</v>
      </c>
      <c r="R67" s="59">
        <f t="shared" ref="R67:R130" si="55">Q67+(I67+J67)*44/12</f>
        <v>906.33091237233634</v>
      </c>
      <c r="S67" s="59">
        <f ca="1">AVERAGE(OFFSET($R$3,0,0,'Données projet'!$E$9+1,1))-AVERAGE(OFFSET($H$3,0,0,'Données projet'!$E$9+1,1))</f>
        <v>342.91408684769942</v>
      </c>
      <c r="T67" s="59">
        <f t="shared" si="34"/>
        <v>209.92380505963234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30.775925836715356</v>
      </c>
      <c r="AA67" s="21">
        <f>EXP(-LN(2)/25)*AA66+(1-EXP(-LN(2)/25))/(LN(2)/25)*Calculateur!V67*Calculateur!X67*VLOOKUP('Données projet'!$B$9,Paramètres!$A$1:$I$89,3,0)*0.475*44/12</f>
        <v>3.8268555877147437</v>
      </c>
      <c r="AB67" s="21">
        <f>EXP(-LN(2)/2)*AB66+(1-EXP(-LN(2)/2))/(LN(2)/2)*V67*Y67*VLOOKUP('Données projet'!$B$9,Paramètres!$A$1:$I$89,3,0)*0.475*44/12</f>
        <v>1.138775373415309</v>
      </c>
      <c r="AC67" s="22">
        <f t="shared" si="3"/>
        <v>35.741556797845405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</v>
      </c>
      <c r="AI67" s="13">
        <f>IF('Données projet'!$A$62&gt;35,AI66+AH67-AQ66,IF(A67&lt;'Données projet'!$A$62,$AF$205^A67,IF(A67='Données projet'!$A$62,'Données projet'!$B$62,AI66+AH67-AQ66)))</f>
        <v>431.99999999999994</v>
      </c>
      <c r="AJ67" s="13">
        <f>AI67*VLOOKUP('Données projet'!$B$10,Paramètres!$A$1:$I$89,3,0)*VLOOKUP('Données projet'!$B$10,Paramètres!$A$1:$I$89,5,0)</f>
        <v>289.78559999999993</v>
      </c>
      <c r="AK67" s="13">
        <f t="shared" si="35"/>
        <v>69.030834896079284</v>
      </c>
      <c r="AL67" s="20">
        <f t="shared" si="4"/>
        <v>624.93862411067119</v>
      </c>
      <c r="AM67" s="59">
        <f t="shared" si="5"/>
        <v>918.27195744400456</v>
      </c>
      <c r="AN67" s="59">
        <f ca="1">AVERAGE(OFFSET($AM$3,0,0,'Données projet'!$E$10+1,1))-AVERAGE(OFFSET($H$3,0,0,'Données projet'!$E$10+1,1))</f>
        <v>296.25231821504275</v>
      </c>
      <c r="AO67" s="59">
        <f t="shared" si="36"/>
        <v>316.20936902390275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37.450706086674835</v>
      </c>
      <c r="AV67" s="21">
        <f>EXP(-LN(2)/25)*AV66+(1-EXP(-LN(2)/25))/(LN(2)/25)*Calculateur!AQ67*Calculateur!AS67*VLOOKUP('Données projet'!$B$10,Paramètres!$A$1:$I$89,3,0)*0.475*44/12</f>
        <v>3.4599999729162434</v>
      </c>
      <c r="AW67" s="21">
        <f>EXP(-LN(2)/2)*AW66+(1-EXP(-LN(2)/2))/(LN(2)/2)*AQ67*AT67*VLOOKUP('Données projet'!$B$10,Paramètres!$A$1:$I$89,3,0)*0.475*44/12</f>
        <v>0.52284721663763145</v>
      </c>
      <c r="AX67" s="21">
        <f t="shared" si="6"/>
        <v>41.433553276228707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300.79999999999978</v>
      </c>
      <c r="BE67" s="13">
        <f>BD67*VLOOKUP('Données projet'!$B$11,Paramètres!$A$1:$I$89,3,0)*VLOOKUP('Données projet'!$B$11,Paramètres!$A$1:$I$89,5,0)</f>
        <v>239.31647999999984</v>
      </c>
      <c r="BF67" s="13">
        <f t="shared" si="37"/>
        <v>58.292443422481945</v>
      </c>
      <c r="BG67" s="20">
        <f t="shared" si="7"/>
        <v>518.33554162748908</v>
      </c>
      <c r="BH67" s="59">
        <f t="shared" si="8"/>
        <v>811.66887496082245</v>
      </c>
      <c r="BI67" s="59">
        <f ca="1">AVERAGE(OFFSET($BH$3,0,0,'Données projet'!$E$11+1,1))-AVERAGE(OFFSET($H$3,0,0,'Données projet'!$E$11+1,1))</f>
        <v>244.50301885429764</v>
      </c>
      <c r="BJ67" s="59">
        <f t="shared" si="38"/>
        <v>248.77995374147798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31.544481576321317</v>
      </c>
      <c r="BQ67" s="21">
        <f>EXP(-LN(2)/25)*BQ66+(1-EXP(-LN(2)/25))/(LN(2)/25)*Calculateur!BL67*Calculateur!BN67*VLOOKUP('Données projet'!$B$11,Paramètres!$A$1:$I$89,3,0)*0.475*44/12</f>
        <v>3.4842418404779107</v>
      </c>
      <c r="BR67" s="21">
        <f>EXP(-LN(2)/2)*BR66+(1-EXP(-LN(2)/2))/(LN(2)/2)*BL67*BO67*VLOOKUP('Données projet'!$B$11,Paramètres!$A$1:$I$89,3,0)*0.475*44/12</f>
        <v>0.33373199515447166</v>
      </c>
      <c r="BS67" s="22">
        <f t="shared" si="9"/>
        <v>35.362455411953704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1">
        <f t="shared" si="32"/>
        <v>16.352574732529369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67">
        <f t="shared" ref="H68:H131" si="56">(B68+E68+F68)*44/12+(C68+D68)*0.475*44/12</f>
        <v>420.71286765915545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293.04599999999999</v>
      </c>
      <c r="P68" s="13">
        <f t="shared" si="33"/>
        <v>69.716654076072615</v>
      </c>
      <c r="Q68" s="20">
        <f t="shared" si="54"/>
        <v>631.81162251582646</v>
      </c>
      <c r="R68" s="59">
        <f t="shared" si="55"/>
        <v>925.14495584915971</v>
      </c>
      <c r="S68" s="59">
        <f ca="1">AVERAGE(OFFSET($R$3,0,0,'Données projet'!$E$9+1,1))-AVERAGE(OFFSET($H$3,0,0,'Données projet'!$E$9+1,1))</f>
        <v>342.91408684769942</v>
      </c>
      <c r="T68" s="59">
        <f t="shared" si="34"/>
        <v>209.92380505963234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0.25800000000000001</v>
      </c>
      <c r="X68" s="16">
        <f>IF(ISNA(VLOOKUP(A68,'Données projet'!$A$35:$I$55,6,0)),0%,VLOOKUP(A68,'Données projet'!$A$35:$I$55,6,0)*VLOOKUP('Données projet'!$B$9,Paramètres!$A$1:$I$89,7,0))</f>
        <v>3.44E-2</v>
      </c>
      <c r="Y68" s="16">
        <f>IF(ISNA(VLOOKUP(A68,'Données projet'!$A$35:$I$55,7,0)),0%,VLOOKUP(A68,'Données projet'!$A$35:$I$55,7,0))</f>
        <v>0.12</v>
      </c>
      <c r="Z68" s="21">
        <f>EXP(-LN(2)/35)*Z67+(1-EXP(-LN(2)/35))/(LN(2)/35)*V68*W68*VLOOKUP('Données projet'!$B$9,Paramètres!$A$1:$I$89,3,0)*0.475*44/12</f>
        <v>38.270149576569082</v>
      </c>
      <c r="AA68" s="21">
        <f>EXP(-LN(2)/25)*AA67+(1-EXP(-LN(2)/25))/(LN(2)/25)*Calculateur!V68*Calculateur!X68*VLOOKUP('Données projet'!$B$9,Paramètres!$A$1:$I$89,3,0)*0.475*44/12</f>
        <v>4.7976549619558675</v>
      </c>
      <c r="AB68" s="21">
        <f>EXP(-LN(2)/2)*AB67+(1-EXP(-LN(2)/2))/(LN(2)/2)*V68*Y68*VLOOKUP('Données projet'!$B$9,Paramètres!$A$1:$I$89,3,0)*0.475*44/12</f>
        <v>4.0198697279273494</v>
      </c>
      <c r="AC68" s="22">
        <f t="shared" ref="AC68:AC131" si="57">SUM(Z68:AB68)</f>
        <v>47.087674266452304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441</v>
      </c>
      <c r="AG68" s="12">
        <f>VLOOKUP(A68,'Données projet'!$A$61:$I$81,9,0)</f>
        <v>9</v>
      </c>
      <c r="AH68" s="12">
        <f t="array" ref="AH68">INDEX(AG:AG,MIN(IF(ISNUMBER(AG68:AG264),ROW(AG68:AG264),"")))</f>
        <v>9</v>
      </c>
      <c r="AI68" s="13">
        <f>IF('Données projet'!$A$62&gt;35,AI67+AH68-AQ67,IF(A68&lt;'Données projet'!$A$62,$AF$205^A68,IF(A68='Données projet'!$A$62,'Données projet'!$B$62,AI67+AH68-AQ67)))</f>
        <v>440.99999999999994</v>
      </c>
      <c r="AJ68" s="13">
        <f>AI68*VLOOKUP('Données projet'!$B$10,Paramètres!$A$1:$I$89,3,0)*VLOOKUP('Données projet'!$B$10,Paramètres!$A$1:$I$89,5,0)</f>
        <v>295.82279999999997</v>
      </c>
      <c r="AK68" s="13">
        <f t="shared" si="35"/>
        <v>70.300048555002235</v>
      </c>
      <c r="AL68" s="20">
        <f t="shared" ref="AL68:AL131" si="58">(AJ68+AK68)*0.475*44/12</f>
        <v>637.66396123329548</v>
      </c>
      <c r="AM68" s="59">
        <f t="shared" ref="AM68:AM131" si="59">AL68+(AD68+AE68)*44/12</f>
        <v>930.99729456662885</v>
      </c>
      <c r="AN68" s="59">
        <f ca="1">AVERAGE(OFFSET($AM$3,0,0,'Données projet'!$E$10+1,1))-AVERAGE(OFFSET($H$3,0,0,'Données projet'!$E$10+1,1))</f>
        <v>296.25231821504275</v>
      </c>
      <c r="AO68" s="59">
        <f t="shared" si="36"/>
        <v>316.20936902390275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25</v>
      </c>
      <c r="AR68" s="16">
        <f>IF(ISNA(VLOOKUP(A68,'Données projet'!$A$61:$I$81,5,0)),0%,VLOOKUP(A68,'Données projet'!$A$61:$I$81,5,0)*VLOOKUP('Données projet'!$B$10,Paramètres!$A$1:$I$89,7,0))</f>
        <v>0.42400000000000004</v>
      </c>
      <c r="AS68" s="16">
        <f>IF(ISNA(VLOOKUP(A68,'Données projet'!$A$61:$I$81,6,0)),0%,VLOOKUP(A68,'Données projet'!$A$61:$I$81,6,0)*VLOOKUP('Données projet'!$B$10,Paramètres!$A$1:$I$89,7,0))</f>
        <v>2.12E-2</v>
      </c>
      <c r="AT68" s="16">
        <f>IF(ISNA(VLOOKUP(A68,'Données projet'!$A$61:$I$81,7,0)),0%,VLOOKUP(A68,'Données projet'!$A$61:$I$81,7,0))</f>
        <v>0.06</v>
      </c>
      <c r="AU68" s="21">
        <f>EXP(-LN(2)/35)*AU67+(1-EXP(-LN(2)/35))/(LN(2)/35)*AQ68*AR68*VLOOKUP('Données projet'!$B$10,Paramètres!$A$1:$I$89,3,0)*0.475*44/12</f>
        <v>44.57674560725178</v>
      </c>
      <c r="AV68" s="21">
        <f>EXP(-LN(2)/25)*AV67+(1-EXP(-LN(2)/25))/(LN(2)/25)*Calculateur!AQ68*Calculateur!AS68*VLOOKUP('Données projet'!$B$10,Paramètres!$A$1:$I$89,3,0)*0.475*44/12</f>
        <v>3.7568598684975676</v>
      </c>
      <c r="AW68" s="21">
        <f>EXP(-LN(2)/2)*AW67+(1-EXP(-LN(2)/2))/(LN(2)/2)*AQ68*AT68*VLOOKUP('Données projet'!$B$10,Paramètres!$A$1:$I$89,3,0)*0.475*44/12</f>
        <v>1.3190855938849224</v>
      </c>
      <c r="AX68" s="21">
        <f t="shared" ref="AX68:AX131" si="60">SUM(AU68:AW68)</f>
        <v>49.652691069634272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305.99999999999977</v>
      </c>
      <c r="BE68" s="13">
        <f>BD68*VLOOKUP('Données projet'!$B$11,Paramètres!$A$1:$I$89,3,0)*VLOOKUP('Données projet'!$B$11,Paramètres!$A$1:$I$89,5,0)</f>
        <v>243.45359999999982</v>
      </c>
      <c r="BF68" s="13">
        <f t="shared" si="37"/>
        <v>59.181970343065267</v>
      </c>
      <c r="BG68" s="20">
        <f t="shared" ref="BG68:BG131" si="61">(BE68+BF68)*0.475*44/12</f>
        <v>527.09028501417163</v>
      </c>
      <c r="BH68" s="59">
        <f t="shared" ref="BH68:BH131" si="62">BG68+(AY68+AZ68)*44/12</f>
        <v>820.423618347505</v>
      </c>
      <c r="BI68" s="59">
        <f ca="1">AVERAGE(OFFSET($BH$3,0,0,'Données projet'!$E$11+1,1))-AVERAGE(OFFSET($H$3,0,0,'Données projet'!$E$11+1,1))</f>
        <v>244.50301885429764</v>
      </c>
      <c r="BJ68" s="59">
        <f t="shared" si="38"/>
        <v>248.77995374147798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0.371</v>
      </c>
      <c r="BN68" s="16">
        <f>IF(ISNA(VLOOKUP(A68,'Données projet'!$A$87:$I$107,6,0)),0%,VLOOKUP(A68,'Données projet'!$A$87:$I$107,6,0)*VLOOKUP('Données projet'!$B$11,Paramètres!$A$1:$I$89,7,0))</f>
        <v>2.6500000000000003E-2</v>
      </c>
      <c r="BO68" s="16">
        <f>IF(ISNA(VLOOKUP(A68,'Données projet'!$A$87:$I$107,7,0)),0%,VLOOKUP(A68,'Données projet'!$A$87:$I$107,7,0))</f>
        <v>0.1</v>
      </c>
      <c r="BP68" s="21">
        <f>EXP(-LN(2)/35)*BP67+(1-EXP(-LN(2)/35))/(LN(2)/35)*BL68*BM68*VLOOKUP('Données projet'!$B$11,Paramètres!$A$1:$I$89,3,0)*0.475*44/12</f>
        <v>35.167801037215391</v>
      </c>
      <c r="BQ68" s="21">
        <f>EXP(-LN(2)/25)*BQ67+(1-EXP(-LN(2)/25))/(LN(2)/25)*Calculateur!BL68*Calculateur!BN68*VLOOKUP('Données projet'!$B$11,Paramètres!$A$1:$I$89,3,0)*0.475*44/12</f>
        <v>3.6907640339061003</v>
      </c>
      <c r="BR68" s="21">
        <f>EXP(-LN(2)/2)*BR67+(1-EXP(-LN(2)/2))/(LN(2)/2)*BL68*BO68*VLOOKUP('Données projet'!$B$11,Paramètres!$A$1:$I$89,3,0)*0.475*44/12</f>
        <v>1.211855174110704</v>
      </c>
      <c r="BS68" s="22">
        <f t="shared" ref="BS68:BS131" si="63">SUM(BP68:BR68)</f>
        <v>40.070420245232192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1">
        <f t="shared" ref="D69:D132" si="86">IFERROR(EXP(-1.0587+0.8836*LN(C69)+0.284),0)</f>
        <v>16.574671209026054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67">
        <f t="shared" si="56"/>
        <v>422.6212056890538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272.96879999999999</v>
      </c>
      <c r="P69" s="13">
        <f t="shared" ref="P69:P132" si="87">EXP(-1.0587+0.8836*LN(O69)+0.284)</f>
        <v>65.478922017818945</v>
      </c>
      <c r="Q69" s="20">
        <f t="shared" si="54"/>
        <v>589.46311584770126</v>
      </c>
      <c r="R69" s="59">
        <f t="shared" si="55"/>
        <v>882.79644918103463</v>
      </c>
      <c r="S69" s="59">
        <f ca="1">AVERAGE(OFFSET($R$3,0,0,'Données projet'!$E$9+1,1))-AVERAGE(OFFSET($H$3,0,0,'Données projet'!$E$9+1,1))</f>
        <v>342.91408684769942</v>
      </c>
      <c r="T69" s="59">
        <f t="shared" ref="T69:T132" si="88">$T$3</f>
        <v>209.92380505963234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37.519695285858923</v>
      </c>
      <c r="AA69" s="21">
        <f>EXP(-LN(2)/25)*AA68+(1-EXP(-LN(2)/25))/(LN(2)/25)*Calculateur!V69*Calculateur!X69*VLOOKUP('Données projet'!$B$9,Paramètres!$A$1:$I$89,3,0)*0.475*44/12</f>
        <v>4.6664628347234753</v>
      </c>
      <c r="AB69" s="21">
        <f>EXP(-LN(2)/2)*AB68+(1-EXP(-LN(2)/2))/(LN(2)/2)*V69*Y69*VLOOKUP('Données projet'!$B$9,Paramètres!$A$1:$I$89,3,0)*0.475*44/12</f>
        <v>2.8424771441039507</v>
      </c>
      <c r="AC69" s="22">
        <f t="shared" si="57"/>
        <v>45.028635264686351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424.19999999999993</v>
      </c>
      <c r="AJ69" s="13">
        <f>AI69*VLOOKUP('Données projet'!$B$10,Paramètres!$A$1:$I$89,3,0)*VLOOKUP('Données projet'!$B$10,Paramètres!$A$1:$I$89,5,0)</f>
        <v>284.55336</v>
      </c>
      <c r="AK69" s="13">
        <f t="shared" ref="AK69:AK132" si="89">EXP(-1.0587+0.8836*LN(AJ69)+0.284)</f>
        <v>67.928359481625506</v>
      </c>
      <c r="AL69" s="20">
        <f t="shared" si="58"/>
        <v>613.90566143049773</v>
      </c>
      <c r="AM69" s="59">
        <f t="shared" si="59"/>
        <v>907.23899476383099</v>
      </c>
      <c r="AN69" s="59">
        <f ca="1">AVERAGE(OFFSET($AM$3,0,0,'Données projet'!$E$10+1,1))-AVERAGE(OFFSET($H$3,0,0,'Données projet'!$E$10+1,1))</f>
        <v>296.25231821504275</v>
      </c>
      <c r="AO69" s="59">
        <f t="shared" ref="AO69:AO132" si="90">$AO$3</f>
        <v>316.20936902390275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43.702622815023688</v>
      </c>
      <c r="AV69" s="21">
        <f>EXP(-LN(2)/25)*AV68+(1-EXP(-LN(2)/25))/(LN(2)/25)*Calculateur!AQ69*Calculateur!AS69*VLOOKUP('Données projet'!$B$10,Paramètres!$A$1:$I$89,3,0)*0.475*44/12</f>
        <v>3.6541283378288276</v>
      </c>
      <c r="AW69" s="21">
        <f>EXP(-LN(2)/2)*AW68+(1-EXP(-LN(2)/2))/(LN(2)/2)*AQ69*AT69*VLOOKUP('Données projet'!$B$10,Paramètres!$A$1:$I$89,3,0)*0.475*44/12</f>
        <v>0.93273436840151303</v>
      </c>
      <c r="AX69" s="21">
        <f t="shared" si="60"/>
        <v>48.289485521254029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</v>
      </c>
      <c r="BE69" s="13">
        <f>BD69*VLOOKUP('Données projet'!$B$11,Paramètres!$A$1:$I$89,3,0)*VLOOKUP('Données projet'!$B$11,Paramètres!$A$1:$I$89,5,0)</f>
        <v>236.77055999999985</v>
      </c>
      <c r="BF69" s="13">
        <f t="shared" ref="BF69:BF132" si="91">EXP(-1.0587+0.8836*LN(BE69)+0.284)</f>
        <v>57.744153841586879</v>
      </c>
      <c r="BG69" s="20">
        <f t="shared" si="61"/>
        <v>512.94645994076348</v>
      </c>
      <c r="BH69" s="59">
        <f t="shared" si="62"/>
        <v>806.27979327409685</v>
      </c>
      <c r="BI69" s="59">
        <f ca="1">AVERAGE(OFFSET($BH$3,0,0,'Données projet'!$E$11+1,1))-AVERAGE(OFFSET($H$3,0,0,'Données projet'!$E$11+1,1))</f>
        <v>244.50301885429764</v>
      </c>
      <c r="BJ69" s="59">
        <f t="shared" ref="BJ69:BJ132" si="92">$BJ$3</f>
        <v>248.77995374147798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34.478181909116195</v>
      </c>
      <c r="BQ69" s="21">
        <f>EXP(-LN(2)/25)*BQ68+(1-EXP(-LN(2)/25))/(LN(2)/25)*Calculateur!BL69*Calculateur!BN69*VLOOKUP('Données projet'!$B$11,Paramètres!$A$1:$I$89,3,0)*0.475*44/12</f>
        <v>3.5898398973100929</v>
      </c>
      <c r="BR69" s="21">
        <f>EXP(-LN(2)/2)*BR68+(1-EXP(-LN(2)/2))/(LN(2)/2)*BL69*BO69*VLOOKUP('Données projet'!$B$11,Paramètres!$A$1:$I$89,3,0)*0.475*44/12</f>
        <v>0.85691101142968307</v>
      </c>
      <c r="BS69" s="22">
        <f t="shared" si="63"/>
        <v>38.924932817855968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1">
        <f t="shared" si="86"/>
        <v>16.796376317470774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67">
        <f t="shared" si="56"/>
        <v>424.52886208626171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281.28360000000004</v>
      </c>
      <c r="P70" s="13">
        <f t="shared" si="87"/>
        <v>67.238198209347928</v>
      </c>
      <c r="Q70" s="20">
        <f t="shared" si="54"/>
        <v>607.00879854794766</v>
      </c>
      <c r="R70" s="59">
        <f t="shared" si="55"/>
        <v>900.34213188128092</v>
      </c>
      <c r="S70" s="59">
        <f ca="1">AVERAGE(OFFSET($R$3,0,0,'Données projet'!$E$9+1,1))-AVERAGE(OFFSET($H$3,0,0,'Données projet'!$E$9+1,1))</f>
        <v>342.91408684769942</v>
      </c>
      <c r="T70" s="59">
        <f t="shared" si="88"/>
        <v>209.92380505963234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36.783956946057671</v>
      </c>
      <c r="AA70" s="21">
        <f>EXP(-LN(2)/25)*AA69+(1-EXP(-LN(2)/25))/(LN(2)/25)*Calculateur!V70*Calculateur!X70*VLOOKUP('Données projet'!$B$9,Paramètres!$A$1:$I$89,3,0)*0.475*44/12</f>
        <v>4.5388581631093468</v>
      </c>
      <c r="AB70" s="21">
        <f>EXP(-LN(2)/2)*AB69+(1-EXP(-LN(2)/2))/(LN(2)/2)*V70*Y70*VLOOKUP('Données projet'!$B$9,Paramètres!$A$1:$I$89,3,0)*0.475*44/12</f>
        <v>2.0099348639636747</v>
      </c>
      <c r="AC70" s="22">
        <f t="shared" si="57"/>
        <v>43.332749973130689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432.39999999999992</v>
      </c>
      <c r="AJ70" s="13">
        <f>AI70*VLOOKUP('Données projet'!$B$10,Paramètres!$A$1:$I$89,3,0)*VLOOKUP('Données projet'!$B$10,Paramètres!$A$1:$I$89,5,0)</f>
        <v>290.05391999999995</v>
      </c>
      <c r="AK70" s="13">
        <f t="shared" si="89"/>
        <v>69.087309303355823</v>
      </c>
      <c r="AL70" s="20">
        <f t="shared" si="58"/>
        <v>625.50430770334458</v>
      </c>
      <c r="AM70" s="59">
        <f t="shared" si="59"/>
        <v>918.83764103667795</v>
      </c>
      <c r="AN70" s="59">
        <f ca="1">AVERAGE(OFFSET($AM$3,0,0,'Données projet'!$E$10+1,1))-AVERAGE(OFFSET($H$3,0,0,'Données projet'!$E$10+1,1))</f>
        <v>296.25231821504275</v>
      </c>
      <c r="AO70" s="59">
        <f t="shared" si="90"/>
        <v>316.20936902390275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42.845641037588933</v>
      </c>
      <c r="AV70" s="21">
        <f>EXP(-LN(2)/25)*AV69+(1-EXP(-LN(2)/25))/(LN(2)/25)*Calculateur!AQ70*Calculateur!AS70*VLOOKUP('Données projet'!$B$10,Paramètres!$A$1:$I$89,3,0)*0.475*44/12</f>
        <v>3.5542060062686405</v>
      </c>
      <c r="AW70" s="21">
        <f>EXP(-LN(2)/2)*AW69+(1-EXP(-LN(2)/2))/(LN(2)/2)*AQ70*AT70*VLOOKUP('Données projet'!$B$10,Paramètres!$A$1:$I$89,3,0)*0.475*44/12</f>
        <v>0.65954279694246132</v>
      </c>
      <c r="AX70" s="21">
        <f t="shared" si="60"/>
        <v>47.059389840800037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302.19999999999982</v>
      </c>
      <c r="BE70" s="13">
        <f>BD70*VLOOKUP('Données projet'!$B$11,Paramètres!$A$1:$I$89,3,0)*VLOOKUP('Données projet'!$B$11,Paramètres!$A$1:$I$89,5,0)</f>
        <v>240.43031999999985</v>
      </c>
      <c r="BF70" s="13">
        <f t="shared" si="91"/>
        <v>58.532106271380506</v>
      </c>
      <c r="BG70" s="20">
        <f t="shared" si="61"/>
        <v>520.69289242265415</v>
      </c>
      <c r="BH70" s="59">
        <f t="shared" si="62"/>
        <v>814.02622575598753</v>
      </c>
      <c r="BI70" s="59">
        <f ca="1">AVERAGE(OFFSET($BH$3,0,0,'Données projet'!$E$11+1,1))-AVERAGE(OFFSET($H$3,0,0,'Données projet'!$E$11+1,1))</f>
        <v>244.50301885429764</v>
      </c>
      <c r="BJ70" s="59">
        <f t="shared" si="92"/>
        <v>248.77995374147798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33.802085791492892</v>
      </c>
      <c r="BQ70" s="21">
        <f>EXP(-LN(2)/25)*BQ69+(1-EXP(-LN(2)/25))/(LN(2)/25)*Calculateur!BL70*Calculateur!BN70*VLOOKUP('Données projet'!$B$11,Paramètres!$A$1:$I$89,3,0)*0.475*44/12</f>
        <v>3.4916755365366727</v>
      </c>
      <c r="BR70" s="21">
        <f>EXP(-LN(2)/2)*BR69+(1-EXP(-LN(2)/2))/(LN(2)/2)*BL70*BO70*VLOOKUP('Données projet'!$B$11,Paramètres!$A$1:$I$89,3,0)*0.475*44/12</f>
        <v>0.6059275870553521</v>
      </c>
      <c r="BS70" s="22">
        <f t="shared" si="63"/>
        <v>37.899688915084923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1">
        <f t="shared" si="86"/>
        <v>17.017696573932405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67">
        <f t="shared" si="56"/>
        <v>426.43584819959909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289.59839999999997</v>
      </c>
      <c r="P71" s="13">
        <f t="shared" si="87"/>
        <v>68.991430542388798</v>
      </c>
      <c r="Q71" s="20">
        <f t="shared" si="54"/>
        <v>624.54395486132705</v>
      </c>
      <c r="R71" s="59">
        <f t="shared" si="55"/>
        <v>917.87728819466042</v>
      </c>
      <c r="S71" s="59">
        <f ca="1">AVERAGE(OFFSET($R$3,0,0,'Données projet'!$E$9+1,1))-AVERAGE(OFFSET($H$3,0,0,'Données projet'!$E$9+1,1))</f>
        <v>342.91408684769942</v>
      </c>
      <c r="T71" s="59">
        <f t="shared" si="88"/>
        <v>209.92380505963234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36.062645986343846</v>
      </c>
      <c r="AA71" s="21">
        <f>EXP(-LN(2)/25)*AA70+(1-EXP(-LN(2)/25))/(LN(2)/25)*Calculateur!V71*Calculateur!X71*VLOOKUP('Données projet'!$B$9,Paramètres!$A$1:$I$89,3,0)*0.475*44/12</f>
        <v>4.4147428479509445</v>
      </c>
      <c r="AB71" s="21">
        <f>EXP(-LN(2)/2)*AB70+(1-EXP(-LN(2)/2))/(LN(2)/2)*V71*Y71*VLOOKUP('Données projet'!$B$9,Paramètres!$A$1:$I$89,3,0)*0.475*44/12</f>
        <v>1.4212385720519753</v>
      </c>
      <c r="AC71" s="22">
        <f t="shared" si="57"/>
        <v>41.898627406346769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440.59999999999991</v>
      </c>
      <c r="AJ71" s="13">
        <f>AI71*VLOOKUP('Données projet'!$B$10,Paramètres!$A$1:$I$89,3,0)*VLOOKUP('Données projet'!$B$10,Paramètres!$A$1:$I$89,5,0)</f>
        <v>295.55447999999996</v>
      </c>
      <c r="AK71" s="13">
        <f t="shared" si="89"/>
        <v>70.243703518160089</v>
      </c>
      <c r="AL71" s="20">
        <f t="shared" si="58"/>
        <v>637.09850296079537</v>
      </c>
      <c r="AM71" s="59">
        <f t="shared" si="59"/>
        <v>930.43183629412874</v>
      </c>
      <c r="AN71" s="59">
        <f ca="1">AVERAGE(OFFSET($AM$3,0,0,'Données projet'!$E$10+1,1))-AVERAGE(OFFSET($H$3,0,0,'Données projet'!$E$10+1,1))</f>
        <v>296.25231821504275</v>
      </c>
      <c r="AO71" s="59">
        <f t="shared" si="90"/>
        <v>316.20936902390275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42.005464150102405</v>
      </c>
      <c r="AV71" s="21">
        <f>EXP(-LN(2)/25)*AV70+(1-EXP(-LN(2)/25))/(LN(2)/25)*Calculateur!AQ71*Calculateur!AS71*VLOOKUP('Données projet'!$B$10,Paramètres!$A$1:$I$89,3,0)*0.475*44/12</f>
        <v>3.4570160561196537</v>
      </c>
      <c r="AW71" s="21">
        <f>EXP(-LN(2)/2)*AW70+(1-EXP(-LN(2)/2))/(LN(2)/2)*AQ71*AT71*VLOOKUP('Données projet'!$B$10,Paramètres!$A$1:$I$89,3,0)*0.475*44/12</f>
        <v>0.46636718420075657</v>
      </c>
      <c r="AX71" s="21">
        <f t="shared" si="60"/>
        <v>45.928847390422817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306.79999999999984</v>
      </c>
      <c r="BE71" s="13">
        <f>BD71*VLOOKUP('Données projet'!$B$11,Paramètres!$A$1:$I$89,3,0)*VLOOKUP('Données projet'!$B$11,Paramètres!$A$1:$I$89,5,0)</f>
        <v>244.09007999999992</v>
      </c>
      <c r="BF71" s="13">
        <f t="shared" si="91"/>
        <v>59.318663780863893</v>
      </c>
      <c r="BG71" s="20">
        <f t="shared" si="61"/>
        <v>528.43689541833783</v>
      </c>
      <c r="BH71" s="59">
        <f t="shared" si="62"/>
        <v>821.77022875167108</v>
      </c>
      <c r="BI71" s="59">
        <f ca="1">AVERAGE(OFFSET($BH$3,0,0,'Données projet'!$E$11+1,1))-AVERAGE(OFFSET($H$3,0,0,'Données projet'!$E$11+1,1))</f>
        <v>244.50301885429764</v>
      </c>
      <c r="BJ71" s="59">
        <f t="shared" si="92"/>
        <v>248.77995374147798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33.139247506358267</v>
      </c>
      <c r="BQ71" s="21">
        <f>EXP(-LN(2)/25)*BQ70+(1-EXP(-LN(2)/25))/(LN(2)/25)*Calculateur!BL71*Calculateur!BN71*VLOOKUP('Données projet'!$B$11,Paramètres!$A$1:$I$89,3,0)*0.475*44/12</f>
        <v>3.3961954853708414</v>
      </c>
      <c r="BR71" s="21">
        <f>EXP(-LN(2)/2)*BR70+(1-EXP(-LN(2)/2))/(LN(2)/2)*BL71*BO71*VLOOKUP('Données projet'!$B$11,Paramètres!$A$1:$I$89,3,0)*0.475*44/12</f>
        <v>0.42845550571484159</v>
      </c>
      <c r="BS71" s="22">
        <f t="shared" si="63"/>
        <v>36.96389849744395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1">
        <f t="shared" si="86"/>
        <v>17.238638291828423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67">
        <f t="shared" si="56"/>
        <v>428.34217502493465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297.91319999999996</v>
      </c>
      <c r="P72" s="13">
        <f t="shared" si="87"/>
        <v>70.73881247427552</v>
      </c>
      <c r="Q72" s="20">
        <f t="shared" si="54"/>
        <v>642.06892172602977</v>
      </c>
      <c r="R72" s="59">
        <f t="shared" si="55"/>
        <v>935.40225505936314</v>
      </c>
      <c r="S72" s="59">
        <f ca="1">AVERAGE(OFFSET($R$3,0,0,'Données projet'!$E$9+1,1))-AVERAGE(OFFSET($H$3,0,0,'Données projet'!$E$9+1,1))</f>
        <v>342.91408684769942</v>
      </c>
      <c r="T72" s="59">
        <f t="shared" si="88"/>
        <v>209.92380505963234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35.355479494593766</v>
      </c>
      <c r="AA72" s="21">
        <f>EXP(-LN(2)/25)*AA71+(1-EXP(-LN(2)/25))/(LN(2)/25)*Calculateur!V72*Calculateur!X72*VLOOKUP('Données projet'!$B$9,Paramètres!$A$1:$I$89,3,0)*0.475*44/12</f>
        <v>4.2940214726124895</v>
      </c>
      <c r="AB72" s="21">
        <f>EXP(-LN(2)/2)*AB71+(1-EXP(-LN(2)/2))/(LN(2)/2)*V72*Y72*VLOOKUP('Données projet'!$B$9,Paramètres!$A$1:$I$89,3,0)*0.475*44/12</f>
        <v>1.0049674319818374</v>
      </c>
      <c r="AC72" s="22">
        <f t="shared" si="57"/>
        <v>40.654468399188097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448.7999999999999</v>
      </c>
      <c r="AJ72" s="13">
        <f>AI72*VLOOKUP('Données projet'!$B$10,Paramètres!$A$1:$I$89,3,0)*VLOOKUP('Données projet'!$B$10,Paramètres!$A$1:$I$89,5,0)</f>
        <v>301.05503999999996</v>
      </c>
      <c r="AK72" s="13">
        <f t="shared" si="89"/>
        <v>71.397595173363243</v>
      </c>
      <c r="AL72" s="20">
        <f t="shared" si="58"/>
        <v>648.68833959360757</v>
      </c>
      <c r="AM72" s="59">
        <f t="shared" si="59"/>
        <v>942.02167292694094</v>
      </c>
      <c r="AN72" s="59">
        <f ca="1">AVERAGE(OFFSET($AM$3,0,0,'Données projet'!$E$10+1,1))-AVERAGE(OFFSET($H$3,0,0,'Données projet'!$E$10+1,1))</f>
        <v>296.25231821504275</v>
      </c>
      <c r="AO72" s="59">
        <f t="shared" si="90"/>
        <v>316.20936902390275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41.181762618922185</v>
      </c>
      <c r="AV72" s="21">
        <f>EXP(-LN(2)/25)*AV71+(1-EXP(-LN(2)/25))/(LN(2)/25)*Calculateur!AQ72*Calculateur!AS72*VLOOKUP('Données projet'!$B$10,Paramètres!$A$1:$I$89,3,0)*0.475*44/12</f>
        <v>3.3624837702684887</v>
      </c>
      <c r="AW72" s="21">
        <f>EXP(-LN(2)/2)*AW71+(1-EXP(-LN(2)/2))/(LN(2)/2)*AQ72*AT72*VLOOKUP('Données projet'!$B$10,Paramètres!$A$1:$I$89,3,0)*0.475*44/12</f>
        <v>0.32977139847123071</v>
      </c>
      <c r="AX72" s="21">
        <f t="shared" si="60"/>
        <v>44.874017787661906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311.39999999999986</v>
      </c>
      <c r="BE72" s="13">
        <f>BD72*VLOOKUP('Données projet'!$B$11,Paramètres!$A$1:$I$89,3,0)*VLOOKUP('Données projet'!$B$11,Paramètres!$A$1:$I$89,5,0)</f>
        <v>247.74983999999992</v>
      </c>
      <c r="BF72" s="13">
        <f t="shared" si="91"/>
        <v>60.103849700617872</v>
      </c>
      <c r="BG72" s="20">
        <f t="shared" si="61"/>
        <v>536.17850956190932</v>
      </c>
      <c r="BH72" s="59">
        <f t="shared" si="62"/>
        <v>829.51184289524258</v>
      </c>
      <c r="BI72" s="59">
        <f ca="1">AVERAGE(OFFSET($BH$3,0,0,'Données projet'!$E$11+1,1))-AVERAGE(OFFSET($H$3,0,0,'Données projet'!$E$11+1,1))</f>
        <v>244.50301885429764</v>
      </c>
      <c r="BJ72" s="59">
        <f t="shared" si="92"/>
        <v>248.77995374147798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32.489407075703696</v>
      </c>
      <c r="BQ72" s="21">
        <f>EXP(-LN(2)/25)*BQ71+(1-EXP(-LN(2)/25))/(LN(2)/25)*Calculateur!BL72*Calculateur!BN72*VLOOKUP('Données projet'!$B$11,Paramètres!$A$1:$I$89,3,0)*0.475*44/12</f>
        <v>3.3033263412252172</v>
      </c>
      <c r="BR72" s="21">
        <f>EXP(-LN(2)/2)*BR71+(1-EXP(-LN(2)/2))/(LN(2)/2)*BL72*BO72*VLOOKUP('Données projet'!$B$11,Paramètres!$A$1:$I$89,3,0)*0.475*44/12</f>
        <v>0.30296379352767605</v>
      </c>
      <c r="BS72" s="22">
        <f t="shared" si="63"/>
        <v>36.095697210456585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1">
        <f t="shared" si="86"/>
        <v>17.45920759107128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67">
        <f t="shared" si="56"/>
        <v>430.24785322111597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306.22800000000001</v>
      </c>
      <c r="P73" s="13">
        <f t="shared" si="87"/>
        <v>72.480526049067294</v>
      </c>
      <c r="Q73" s="20">
        <f t="shared" si="54"/>
        <v>659.58401620212555</v>
      </c>
      <c r="R73" s="59">
        <f t="shared" si="55"/>
        <v>952.91734953545892</v>
      </c>
      <c r="S73" s="59">
        <f ca="1">AVERAGE(OFFSET($R$3,0,0,'Données projet'!$E$9+1,1))-AVERAGE(OFFSET($H$3,0,0,'Données projet'!$E$9+1,1))</f>
        <v>342.91408684769942</v>
      </c>
      <c r="T73" s="59">
        <f t="shared" si="88"/>
        <v>209.92380505963234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0.25800000000000001</v>
      </c>
      <c r="X73" s="16">
        <f>IF(ISNA(VLOOKUP(A73,'Données projet'!$A$35:$I$55,6,0)),0%,VLOOKUP(A73,'Données projet'!$A$35:$I$55,6,0)*VLOOKUP('Données projet'!$B$9,Paramètres!$A$1:$I$89,7,0))</f>
        <v>3.44E-2</v>
      </c>
      <c r="Y73" s="16">
        <f>IF(ISNA(VLOOKUP(A73,'Données projet'!$A$35:$I$55,7,0)),0%,VLOOKUP(A73,'Données projet'!$A$35:$I$55,7,0))</f>
        <v>0.12</v>
      </c>
      <c r="Z73" s="21">
        <f>EXP(-LN(2)/35)*Z72+(1-EXP(-LN(2)/35))/(LN(2)/35)*V73*W73*VLOOKUP('Données projet'!$B$9,Paramètres!$A$1:$I$89,3,0)*0.475*44/12</f>
        <v>42.759900980468416</v>
      </c>
      <c r="AA73" s="21">
        <f>EXP(-LN(2)/25)*AA72+(1-EXP(-LN(2)/25))/(LN(2)/25)*Calculateur!V73*Calculateur!X73*VLOOKUP('Données projet'!$B$9,Paramètres!$A$1:$I$89,3,0)*0.475*44/12</f>
        <v>5.2520461711638973</v>
      </c>
      <c r="AB73" s="21">
        <f>EXP(-LN(2)/2)*AB72+(1-EXP(-LN(2)/2))/(LN(2)/2)*V73*Y73*VLOOKUP('Données projet'!$B$9,Paramètres!$A$1:$I$89,3,0)*0.475*44/12</f>
        <v>3.9252532251631296</v>
      </c>
      <c r="AC73" s="22">
        <f t="shared" si="57"/>
        <v>51.937200376795445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457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456.99999999999989</v>
      </c>
      <c r="AJ73" s="13">
        <f>AI73*VLOOKUP('Données projet'!$B$10,Paramètres!$A$1:$I$89,3,0)*VLOOKUP('Données projet'!$B$10,Paramètres!$A$1:$I$89,5,0)</f>
        <v>306.55559999999991</v>
      </c>
      <c r="AK73" s="13">
        <f t="shared" si="89"/>
        <v>72.549035266861267</v>
      </c>
      <c r="AL73" s="20">
        <f t="shared" si="58"/>
        <v>660.2739064231165</v>
      </c>
      <c r="AM73" s="59">
        <f t="shared" si="59"/>
        <v>953.60723975644987</v>
      </c>
      <c r="AN73" s="59">
        <f ca="1">AVERAGE(OFFSET($AM$3,0,0,'Données projet'!$E$10+1,1))-AVERAGE(OFFSET($H$3,0,0,'Données projet'!$E$10+1,1))</f>
        <v>296.25231821504275</v>
      </c>
      <c r="AO73" s="59">
        <f t="shared" si="90"/>
        <v>316.20936902390275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24</v>
      </c>
      <c r="AR73" s="16">
        <f>IF(ISNA(VLOOKUP(A73,'Données projet'!$A$61:$I$81,5,0)),0%,VLOOKUP(A73,'Données projet'!$A$61:$I$81,5,0)*VLOOKUP('Données projet'!$B$10,Paramètres!$A$1:$I$89,7,0))</f>
        <v>0.42400000000000004</v>
      </c>
      <c r="AS73" s="16">
        <f>IF(ISNA(VLOOKUP(A73,'Données projet'!$A$61:$I$81,6,0)),0%,VLOOKUP(A73,'Données projet'!$A$61:$I$81,6,0)*VLOOKUP('Données projet'!$B$10,Paramètres!$A$1:$I$89,7,0))</f>
        <v>2.12E-2</v>
      </c>
      <c r="AT73" s="16">
        <f>IF(ISNA(VLOOKUP(A73,'Données projet'!$A$61:$I$81,7,0)),0%,VLOOKUP(A73,'Données projet'!$A$61:$I$81,7,0))</f>
        <v>0.06</v>
      </c>
      <c r="AU73" s="21">
        <f>EXP(-LN(2)/35)*AU72+(1-EXP(-LN(2)/35))/(LN(2)/35)*AQ73*AR73*VLOOKUP('Données projet'!$B$10,Paramètres!$A$1:$I$89,3,0)*0.475*44/12</f>
        <v>47.920221395651076</v>
      </c>
      <c r="AV73" s="21">
        <f>EXP(-LN(2)/25)*AV72+(1-EXP(-LN(2)/25))/(LN(2)/25)*Calculateur!AQ73*Calculateur!AS73*VLOOKUP('Données projet'!$B$10,Paramètres!$A$1:$I$89,3,0)*0.475*44/12</f>
        <v>3.6463513004676016</v>
      </c>
      <c r="AW73" s="21">
        <f>EXP(-LN(2)/2)*AW72+(1-EXP(-LN(2)/2))/(LN(2)/2)*AQ73*AT73*VLOOKUP('Données projet'!$B$10,Paramètres!$A$1:$I$89,3,0)*0.475*44/12</f>
        <v>1.1445853023172821</v>
      </c>
      <c r="AX73" s="21">
        <f t="shared" si="60"/>
        <v>52.711157998435958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315.99999999999989</v>
      </c>
      <c r="BE73" s="13">
        <f>BD73*VLOOKUP('Données projet'!$B$11,Paramètres!$A$1:$I$89,3,0)*VLOOKUP('Données projet'!$B$11,Paramètres!$A$1:$I$89,5,0)</f>
        <v>251.40959999999993</v>
      </c>
      <c r="BF73" s="13">
        <f t="shared" si="91"/>
        <v>60.887686632376123</v>
      </c>
      <c r="BG73" s="20">
        <f t="shared" si="61"/>
        <v>543.91777421805489</v>
      </c>
      <c r="BH73" s="59">
        <f t="shared" si="62"/>
        <v>837.25110755138826</v>
      </c>
      <c r="BI73" s="59">
        <f ca="1">AVERAGE(OFFSET($BH$3,0,0,'Données projet'!$E$11+1,1))-AVERAGE(OFFSET($H$3,0,0,'Données projet'!$E$11+1,1))</f>
        <v>244.50301885429764</v>
      </c>
      <c r="BJ73" s="59">
        <f t="shared" si="92"/>
        <v>248.77995374147798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0.42400000000000004</v>
      </c>
      <c r="BN73" s="16">
        <f>IF(ISNA(VLOOKUP(A73,'Données projet'!$A$87:$I$107,6,0)),0%,VLOOKUP(A73,'Données projet'!$A$87:$I$107,6,0)*VLOOKUP('Données projet'!$B$11,Paramètres!$A$1:$I$89,7,0))</f>
        <v>2.12E-2</v>
      </c>
      <c r="BO73" s="16">
        <f>IF(ISNA(VLOOKUP(A73,'Données projet'!$A$87:$I$107,7,0)),0%,VLOOKUP(A73,'Données projet'!$A$87:$I$107,7,0))</f>
        <v>0.06</v>
      </c>
      <c r="BP73" s="21">
        <f>EXP(-LN(2)/35)*BP72+(1-EXP(-LN(2)/35))/(LN(2)/35)*BL73*BM73*VLOOKUP('Données projet'!$B$11,Paramètres!$A$1:$I$89,3,0)*0.475*44/12</f>
        <v>36.700181053098497</v>
      </c>
      <c r="BQ73" s="21">
        <f>EXP(-LN(2)/25)*BQ72+(1-EXP(-LN(2)/25))/(LN(2)/25)*Calculateur!BL73*Calculateur!BN73*VLOOKUP('Données projet'!$B$11,Paramètres!$A$1:$I$89,3,0)*0.475*44/12</f>
        <v>3.4544358845375296</v>
      </c>
      <c r="BR73" s="21">
        <f>EXP(-LN(2)/2)*BR72+(1-EXP(-LN(2)/2))/(LN(2)/2)*BL73*BO73*VLOOKUP('Données projet'!$B$11,Paramètres!$A$1:$I$89,3,0)*0.475*44/12</f>
        <v>0.79975036320025727</v>
      </c>
      <c r="BS73" s="22">
        <f t="shared" si="63"/>
        <v>40.954367300836289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1">
        <f t="shared" si="86"/>
        <v>17.679410406677235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67">
        <f t="shared" si="56"/>
        <v>432.15289312496304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285.54239999999999</v>
      </c>
      <c r="P74" s="13">
        <f t="shared" si="87"/>
        <v>68.136937829389524</v>
      </c>
      <c r="Q74" s="20">
        <f t="shared" si="54"/>
        <v>615.99151338618674</v>
      </c>
      <c r="R74" s="59">
        <f t="shared" si="55"/>
        <v>909.32484671952011</v>
      </c>
      <c r="S74" s="59">
        <f ca="1">AVERAGE(OFFSET($R$3,0,0,'Données projet'!$E$9+1,1))-AVERAGE(OFFSET($H$3,0,0,'Données projet'!$E$9+1,1))</f>
        <v>342.91408684769942</v>
      </c>
      <c r="T74" s="59">
        <f t="shared" si="88"/>
        <v>209.92380505963234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41.921405403205746</v>
      </c>
      <c r="AA74" s="21">
        <f>EXP(-LN(2)/25)*AA73+(1-EXP(-LN(2)/25))/(LN(2)/25)*Calculateur!V74*Calculateur!X74*VLOOKUP('Données projet'!$B$9,Paramètres!$A$1:$I$89,3,0)*0.475*44/12</f>
        <v>5.1084286924203157</v>
      </c>
      <c r="AB74" s="21">
        <f>EXP(-LN(2)/2)*AB73+(1-EXP(-LN(2)/2))/(LN(2)/2)*V74*Y74*VLOOKUP('Données projet'!$B$9,Paramètres!$A$1:$I$89,3,0)*0.475*44/12</f>
        <v>2.7755731733872153</v>
      </c>
      <c r="AC74" s="22">
        <f t="shared" si="57"/>
        <v>49.80540726901328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432.99999999999989</v>
      </c>
      <c r="AJ74" s="13">
        <f>AI74*VLOOKUP('Données projet'!$B$10,Paramètres!$A$1:$I$89,3,0)*VLOOKUP('Données projet'!$B$10,Paramètres!$A$1:$I$89,5,0)</f>
        <v>290.45639999999992</v>
      </c>
      <c r="AK74" s="13">
        <f t="shared" si="89"/>
        <v>69.172009514864612</v>
      </c>
      <c r="AL74" s="20">
        <f t="shared" si="58"/>
        <v>626.3528132383891</v>
      </c>
      <c r="AM74" s="59">
        <f t="shared" si="59"/>
        <v>919.68614657172247</v>
      </c>
      <c r="AN74" s="59">
        <f ca="1">AVERAGE(OFFSET($AM$3,0,0,'Données projet'!$E$10+1,1))-AVERAGE(OFFSET($H$3,0,0,'Données projet'!$E$10+1,1))</f>
        <v>296.25231821504275</v>
      </c>
      <c r="AO74" s="59">
        <f t="shared" si="90"/>
        <v>316.20936902390275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46.98053508253134</v>
      </c>
      <c r="AV74" s="21">
        <f>EXP(-LN(2)/25)*AV73+(1-EXP(-LN(2)/25))/(LN(2)/25)*Calculateur!AQ74*Calculateur!AS74*VLOOKUP('Données projet'!$B$10,Paramètres!$A$1:$I$89,3,0)*0.475*44/12</f>
        <v>3.5466416324030341</v>
      </c>
      <c r="AW74" s="21">
        <f>EXP(-LN(2)/2)*AW73+(1-EXP(-LN(2)/2))/(LN(2)/2)*AQ74*AT74*VLOOKUP('Données projet'!$B$10,Paramètres!$A$1:$I$89,3,0)*0.475*44/12</f>
        <v>0.80934402891500479</v>
      </c>
      <c r="AX74" s="21">
        <f t="shared" si="60"/>
        <v>51.336520743849377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307.19999999999987</v>
      </c>
      <c r="BE74" s="13">
        <f>BD74*VLOOKUP('Données projet'!$B$11,Paramètres!$A$1:$I$89,3,0)*VLOOKUP('Données projet'!$B$11,Paramètres!$A$1:$I$89,5,0)</f>
        <v>244.40831999999992</v>
      </c>
      <c r="BF74" s="13">
        <f t="shared" si="91"/>
        <v>59.38699493610541</v>
      </c>
      <c r="BG74" s="20">
        <f t="shared" si="61"/>
        <v>529.11017351371675</v>
      </c>
      <c r="BH74" s="59">
        <f t="shared" si="62"/>
        <v>822.44350684705</v>
      </c>
      <c r="BI74" s="59">
        <f ca="1">AVERAGE(OFFSET($BH$3,0,0,'Données projet'!$E$11+1,1))-AVERAGE(OFFSET($H$3,0,0,'Données projet'!$E$11+1,1))</f>
        <v>244.50301885429764</v>
      </c>
      <c r="BJ74" s="59">
        <f t="shared" si="92"/>
        <v>248.77995374147798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35.980512887547356</v>
      </c>
      <c r="BQ74" s="21">
        <f>EXP(-LN(2)/25)*BQ73+(1-EXP(-LN(2)/25))/(LN(2)/25)*Calculateur!BL74*Calculateur!BN74*VLOOKUP('Données projet'!$B$11,Paramètres!$A$1:$I$89,3,0)*0.475*44/12</f>
        <v>3.3599741536139627</v>
      </c>
      <c r="BR74" s="21">
        <f>EXP(-LN(2)/2)*BR73+(1-EXP(-LN(2)/2))/(LN(2)/2)*BL74*BO74*VLOOKUP('Données projet'!$B$11,Paramètres!$A$1:$I$89,3,0)*0.475*44/12</f>
        <v>0.56550890507530627</v>
      </c>
      <c r="BS74" s="22">
        <f t="shared" si="63"/>
        <v>39.905995946236622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1">
        <f t="shared" si="86"/>
        <v>17.899252496876439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67">
        <f t="shared" si="56"/>
        <v>434.05730476539327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293.24880000000002</v>
      </c>
      <c r="P75" s="13">
        <f t="shared" si="87"/>
        <v>69.759283249126327</v>
      </c>
      <c r="Q75" s="20">
        <f t="shared" si="54"/>
        <v>632.23907832556176</v>
      </c>
      <c r="R75" s="59">
        <f t="shared" si="55"/>
        <v>925.57241165889513</v>
      </c>
      <c r="S75" s="59">
        <f ca="1">AVERAGE(OFFSET($R$3,0,0,'Données projet'!$E$9+1,1))-AVERAGE(OFFSET($H$3,0,0,'Données projet'!$E$9+1,1))</f>
        <v>342.91408684769942</v>
      </c>
      <c r="T75" s="59">
        <f t="shared" si="88"/>
        <v>209.92380505963234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41.099352212781397</v>
      </c>
      <c r="AA75" s="21">
        <f>EXP(-LN(2)/25)*AA74+(1-EXP(-LN(2)/25))/(LN(2)/25)*Calculateur!V75*Calculateur!X75*VLOOKUP('Données projet'!$B$9,Paramètres!$A$1:$I$89,3,0)*0.475*44/12</f>
        <v>4.9687384411854927</v>
      </c>
      <c r="AB75" s="21">
        <f>EXP(-LN(2)/2)*AB74+(1-EXP(-LN(2)/2))/(LN(2)/2)*V75*Y75*VLOOKUP('Données projet'!$B$9,Paramètres!$A$1:$I$89,3,0)*0.475*44/12</f>
        <v>1.9626266125815652</v>
      </c>
      <c r="AC75" s="22">
        <f t="shared" si="57"/>
        <v>48.030717266548457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432.99999999999989</v>
      </c>
      <c r="AJ75" s="13">
        <f>AI75*VLOOKUP('Données projet'!$B$10,Paramètres!$A$1:$I$89,3,0)*VLOOKUP('Données projet'!$B$10,Paramètres!$A$1:$I$89,5,0)</f>
        <v>290.45639999999992</v>
      </c>
      <c r="AK75" s="13">
        <f t="shared" si="89"/>
        <v>69.172009514864612</v>
      </c>
      <c r="AL75" s="20">
        <f t="shared" si="58"/>
        <v>626.3528132383891</v>
      </c>
      <c r="AM75" s="59">
        <f t="shared" si="59"/>
        <v>919.68614657172247</v>
      </c>
      <c r="AN75" s="59">
        <f ca="1">AVERAGE(OFFSET($AM$3,0,0,'Données projet'!$E$10+1,1))-AVERAGE(OFFSET($H$3,0,0,'Données projet'!$E$10+1,1))</f>
        <v>296.25231821504275</v>
      </c>
      <c r="AO75" s="59">
        <f t="shared" si="90"/>
        <v>316.20936902390275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46.059275444859821</v>
      </c>
      <c r="AV75" s="21">
        <f>EXP(-LN(2)/25)*AV74+(1-EXP(-LN(2)/25))/(LN(2)/25)*Calculateur!AQ75*Calculateur!AS75*VLOOKUP('Données projet'!$B$10,Paramètres!$A$1:$I$89,3,0)*0.475*44/12</f>
        <v>3.4496585304551957</v>
      </c>
      <c r="AW75" s="21">
        <f>EXP(-LN(2)/2)*AW74+(1-EXP(-LN(2)/2))/(LN(2)/2)*AQ75*AT75*VLOOKUP('Données projet'!$B$10,Paramètres!$A$1:$I$89,3,0)*0.475*44/12</f>
        <v>0.57229265115864114</v>
      </c>
      <c r="AX75" s="21">
        <f t="shared" si="60"/>
        <v>50.081226626473658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311.39999999999986</v>
      </c>
      <c r="BE75" s="13">
        <f>BD75*VLOOKUP('Données projet'!$B$11,Paramètres!$A$1:$I$89,3,0)*VLOOKUP('Données projet'!$B$11,Paramètres!$A$1:$I$89,5,0)</f>
        <v>247.74983999999992</v>
      </c>
      <c r="BF75" s="13">
        <f t="shared" si="91"/>
        <v>60.103849700617872</v>
      </c>
      <c r="BG75" s="20">
        <f t="shared" si="61"/>
        <v>536.17850956190932</v>
      </c>
      <c r="BH75" s="59">
        <f t="shared" si="62"/>
        <v>829.51184289524258</v>
      </c>
      <c r="BI75" s="59">
        <f ca="1">AVERAGE(OFFSET($BH$3,0,0,'Données projet'!$E$11+1,1))-AVERAGE(OFFSET($H$3,0,0,'Données projet'!$E$11+1,1))</f>
        <v>244.50301885429764</v>
      </c>
      <c r="BJ75" s="59">
        <f t="shared" si="92"/>
        <v>248.77995374147798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35.274956975768433</v>
      </c>
      <c r="BQ75" s="21">
        <f>EXP(-LN(2)/25)*BQ74+(1-EXP(-LN(2)/25))/(LN(2)/25)*Calculateur!BL75*Calculateur!BN75*VLOOKUP('Données projet'!$B$11,Paramètres!$A$1:$I$89,3,0)*0.475*44/12</f>
        <v>3.2680954836900273</v>
      </c>
      <c r="BR75" s="21">
        <f>EXP(-LN(2)/2)*BR74+(1-EXP(-LN(2)/2))/(LN(2)/2)*BL75*BO75*VLOOKUP('Données projet'!$B$11,Paramètres!$A$1:$I$89,3,0)*0.475*44/12</f>
        <v>0.39987518160012869</v>
      </c>
      <c r="BS75" s="22">
        <f t="shared" si="63"/>
        <v>38.942927641058589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1">
        <f t="shared" si="86"/>
        <v>18.118739450759591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67">
        <f t="shared" si="56"/>
        <v>435.96109787673976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300.95520000000005</v>
      </c>
      <c r="P76" s="13">
        <f t="shared" si="87"/>
        <v>71.376673021759785</v>
      </c>
      <c r="Q76" s="20">
        <f t="shared" si="54"/>
        <v>648.4780121795651</v>
      </c>
      <c r="R76" s="59">
        <f t="shared" si="55"/>
        <v>941.81134551289847</v>
      </c>
      <c r="S76" s="59">
        <f ca="1">AVERAGE(OFFSET($R$3,0,0,'Données projet'!$E$9+1,1))-AVERAGE(OFFSET($H$3,0,0,'Données projet'!$E$9+1,1))</f>
        <v>342.91408684769942</v>
      </c>
      <c r="T76" s="59">
        <f t="shared" si="88"/>
        <v>209.92380505963234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40.293418984018331</v>
      </c>
      <c r="AA76" s="21">
        <f>EXP(-LN(2)/25)*AA75+(1-EXP(-LN(2)/25))/(LN(2)/25)*Calculateur!V76*Calculateur!X76*VLOOKUP('Données projet'!$B$9,Paramètres!$A$1:$I$89,3,0)*0.475*44/12</f>
        <v>4.8328680272166773</v>
      </c>
      <c r="AB76" s="21">
        <f>EXP(-LN(2)/2)*AB75+(1-EXP(-LN(2)/2))/(LN(2)/2)*V76*Y76*VLOOKUP('Données projet'!$B$9,Paramètres!$A$1:$I$89,3,0)*0.475*44/12</f>
        <v>1.3877865866936079</v>
      </c>
      <c r="AC76" s="22">
        <f t="shared" si="57"/>
        <v>46.514073597928615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432.99999999999989</v>
      </c>
      <c r="AJ76" s="13">
        <f>AI76*VLOOKUP('Données projet'!$B$10,Paramètres!$A$1:$I$89,3,0)*VLOOKUP('Données projet'!$B$10,Paramètres!$A$1:$I$89,5,0)</f>
        <v>290.45639999999992</v>
      </c>
      <c r="AK76" s="13">
        <f t="shared" si="89"/>
        <v>69.172009514864612</v>
      </c>
      <c r="AL76" s="20">
        <f t="shared" si="58"/>
        <v>626.3528132383891</v>
      </c>
      <c r="AM76" s="59">
        <f t="shared" si="59"/>
        <v>919.68614657172247</v>
      </c>
      <c r="AN76" s="59">
        <f ca="1">AVERAGE(OFFSET($AM$3,0,0,'Données projet'!$E$10+1,1))-AVERAGE(OFFSET($H$3,0,0,'Données projet'!$E$10+1,1))</f>
        <v>296.25231821504275</v>
      </c>
      <c r="AO76" s="59">
        <f t="shared" si="90"/>
        <v>316.20936902390275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45.156081146770148</v>
      </c>
      <c r="AV76" s="21">
        <f>EXP(-LN(2)/25)*AV75+(1-EXP(-LN(2)/25))/(LN(2)/25)*Calculateur!AQ76*Calculateur!AS76*VLOOKUP('Données projet'!$B$10,Paramètres!$A$1:$I$89,3,0)*0.475*44/12</f>
        <v>3.3553274365302403</v>
      </c>
      <c r="AW76" s="21">
        <f>EXP(-LN(2)/2)*AW75+(1-EXP(-LN(2)/2))/(LN(2)/2)*AQ76*AT76*VLOOKUP('Données projet'!$B$10,Paramètres!$A$1:$I$89,3,0)*0.475*44/12</f>
        <v>0.40467201445750245</v>
      </c>
      <c r="AX76" s="21">
        <f t="shared" si="60"/>
        <v>48.91608059775789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315.59999999999985</v>
      </c>
      <c r="BE76" s="13">
        <f>BD76*VLOOKUP('Données projet'!$B$11,Paramètres!$A$1:$I$89,3,0)*VLOOKUP('Données projet'!$B$11,Paramètres!$A$1:$I$89,5,0)</f>
        <v>251.0913599999999</v>
      </c>
      <c r="BF76" s="13">
        <f t="shared" si="91"/>
        <v>60.81957989149403</v>
      </c>
      <c r="BG76" s="20">
        <f t="shared" si="61"/>
        <v>543.24488697768527</v>
      </c>
      <c r="BH76" s="59">
        <f t="shared" si="62"/>
        <v>836.57822031101864</v>
      </c>
      <c r="BI76" s="59">
        <f ca="1">AVERAGE(OFFSET($BH$3,0,0,'Données projet'!$E$11+1,1))-AVERAGE(OFFSET($H$3,0,0,'Données projet'!$E$11+1,1))</f>
        <v>244.50301885429764</v>
      </c>
      <c r="BJ76" s="59">
        <f t="shared" si="92"/>
        <v>248.77995374147798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34.583236585072882</v>
      </c>
      <c r="BQ76" s="21">
        <f>EXP(-LN(2)/25)*BQ75+(1-EXP(-LN(2)/25))/(LN(2)/25)*Calculateur!BL76*Calculateur!BN76*VLOOKUP('Données projet'!$B$11,Paramètres!$A$1:$I$89,3,0)*0.475*44/12</f>
        <v>3.1787292408268515</v>
      </c>
      <c r="BR76" s="21">
        <f>EXP(-LN(2)/2)*BR75+(1-EXP(-LN(2)/2))/(LN(2)/2)*BL76*BO76*VLOOKUP('Données projet'!$B$11,Paramètres!$A$1:$I$89,3,0)*0.475*44/12</f>
        <v>0.28275445253765319</v>
      </c>
      <c r="BS76" s="22">
        <f t="shared" si="63"/>
        <v>38.044720278437389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1">
        <f t="shared" si="86"/>
        <v>18.337876695493698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67">
        <f t="shared" si="56"/>
        <v>437.86428191131836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308.66160000000008</v>
      </c>
      <c r="P77" s="13">
        <f t="shared" si="87"/>
        <v>72.98924863505313</v>
      </c>
      <c r="Q77" s="20">
        <f t="shared" si="54"/>
        <v>664.70856137271755</v>
      </c>
      <c r="R77" s="59">
        <f t="shared" si="55"/>
        <v>958.04189470605093</v>
      </c>
      <c r="S77" s="59">
        <f ca="1">AVERAGE(OFFSET($R$3,0,0,'Données projet'!$E$9+1,1))-AVERAGE(OFFSET($H$3,0,0,'Données projet'!$E$9+1,1))</f>
        <v>342.91408684769942</v>
      </c>
      <c r="T77" s="59">
        <f t="shared" si="88"/>
        <v>209.92380505963234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39.503289614300577</v>
      </c>
      <c r="AA77" s="21">
        <f>EXP(-LN(2)/25)*AA76+(1-EXP(-LN(2)/25))/(LN(2)/25)*Calculateur!V77*Calculateur!X77*VLOOKUP('Données projet'!$B$9,Paramètres!$A$1:$I$89,3,0)*0.475*44/12</f>
        <v>4.7007129968629533</v>
      </c>
      <c r="AB77" s="21">
        <f>EXP(-LN(2)/2)*AB76+(1-EXP(-LN(2)/2))/(LN(2)/2)*V77*Y77*VLOOKUP('Données projet'!$B$9,Paramètres!$A$1:$I$89,3,0)*0.475*44/12</f>
        <v>0.98131330629078273</v>
      </c>
      <c r="AC77" s="22">
        <f t="shared" si="57"/>
        <v>45.185315917454311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432.99999999999989</v>
      </c>
      <c r="AJ77" s="13">
        <f>AI77*VLOOKUP('Données projet'!$B$10,Paramètres!$A$1:$I$89,3,0)*VLOOKUP('Données projet'!$B$10,Paramètres!$A$1:$I$89,5,0)</f>
        <v>290.45639999999992</v>
      </c>
      <c r="AK77" s="13">
        <f t="shared" si="89"/>
        <v>69.172009514864612</v>
      </c>
      <c r="AL77" s="20">
        <f t="shared" si="58"/>
        <v>626.3528132383891</v>
      </c>
      <c r="AM77" s="59">
        <f t="shared" si="59"/>
        <v>919.68614657172247</v>
      </c>
      <c r="AN77" s="59">
        <f ca="1">AVERAGE(OFFSET($AM$3,0,0,'Données projet'!$E$10+1,1))-AVERAGE(OFFSET($H$3,0,0,'Données projet'!$E$10+1,1))</f>
        <v>296.25231821504275</v>
      </c>
      <c r="AO77" s="59">
        <f t="shared" si="90"/>
        <v>316.20936902390275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44.270597937971893</v>
      </c>
      <c r="AV77" s="21">
        <f>EXP(-LN(2)/25)*AV76+(1-EXP(-LN(2)/25))/(LN(2)/25)*Calculateur!AQ77*Calculateur!AS77*VLOOKUP('Données projet'!$B$10,Paramètres!$A$1:$I$89,3,0)*0.475*44/12</f>
        <v>3.2635758313293199</v>
      </c>
      <c r="AW77" s="21">
        <f>EXP(-LN(2)/2)*AW76+(1-EXP(-LN(2)/2))/(LN(2)/2)*AQ77*AT77*VLOOKUP('Données projet'!$B$10,Paramètres!$A$1:$I$89,3,0)*0.475*44/12</f>
        <v>0.28614632557932063</v>
      </c>
      <c r="AX77" s="21">
        <f t="shared" si="60"/>
        <v>47.820320094880536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319.79999999999984</v>
      </c>
      <c r="BE77" s="13">
        <f>BD77*VLOOKUP('Données projet'!$B$11,Paramètres!$A$1:$I$89,3,0)*VLOOKUP('Données projet'!$B$11,Paramètres!$A$1:$I$89,5,0)</f>
        <v>254.4328799999999</v>
      </c>
      <c r="BF77" s="13">
        <f t="shared" si="91"/>
        <v>61.534202204620392</v>
      </c>
      <c r="BG77" s="20">
        <f t="shared" si="61"/>
        <v>550.30933483971364</v>
      </c>
      <c r="BH77" s="59">
        <f t="shared" si="62"/>
        <v>843.64266817304701</v>
      </c>
      <c r="BI77" s="59">
        <f ca="1">AVERAGE(OFFSET($BH$3,0,0,'Données projet'!$E$11+1,1))-AVERAGE(OFFSET($H$3,0,0,'Données projet'!$E$11+1,1))</f>
        <v>244.50301885429764</v>
      </c>
      <c r="BJ77" s="59">
        <f t="shared" si="92"/>
        <v>248.77995374147798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33.905080409331092</v>
      </c>
      <c r="BQ77" s="21">
        <f>EXP(-LN(2)/25)*BQ76+(1-EXP(-LN(2)/25))/(LN(2)/25)*Calculateur!BL77*Calculateur!BN77*VLOOKUP('Données projet'!$B$11,Paramètres!$A$1:$I$89,3,0)*0.475*44/12</f>
        <v>3.0918067225743355</v>
      </c>
      <c r="BR77" s="21">
        <f>EXP(-LN(2)/2)*BR76+(1-EXP(-LN(2)/2))/(LN(2)/2)*BL77*BO77*VLOOKUP('Données projet'!$B$11,Paramètres!$A$1:$I$89,3,0)*0.475*44/12</f>
        <v>0.19993759080006437</v>
      </c>
      <c r="BS77" s="22">
        <f t="shared" si="63"/>
        <v>37.196824722705486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1">
        <f t="shared" si="86"/>
        <v>18.556669503136749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67">
        <f t="shared" si="56"/>
        <v>439.76686605129669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316.36800000000005</v>
      </c>
      <c r="P78" s="13">
        <f t="shared" si="87"/>
        <v>74.597144109003438</v>
      </c>
      <c r="Q78" s="20">
        <f t="shared" si="54"/>
        <v>680.93095932318113</v>
      </c>
      <c r="R78" s="59">
        <f t="shared" si="55"/>
        <v>974.2642926565145</v>
      </c>
      <c r="S78" s="59">
        <f ca="1">AVERAGE(OFFSET($R$3,0,0,'Données projet'!$E$9+1,1))-AVERAGE(OFFSET($H$3,0,0,'Données projet'!$E$9+1,1))</f>
        <v>342.91408684769942</v>
      </c>
      <c r="T78" s="59">
        <f t="shared" si="88"/>
        <v>209.92380505963234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0.30099999999999999</v>
      </c>
      <c r="X78" s="16">
        <f>IF(ISNA(VLOOKUP(A78,'Données projet'!$A$35:$I$55,6,0)),0%,VLOOKUP(A78,'Données projet'!$A$35:$I$55,6,0)*VLOOKUP('Données projet'!$B$9,Paramètres!$A$1:$I$89,7,0))</f>
        <v>2.1500000000000002E-2</v>
      </c>
      <c r="Y78" s="16">
        <f>IF(ISNA(VLOOKUP(A78,'Données projet'!$A$35:$I$55,7,0)),0%,VLOOKUP(A78,'Données projet'!$A$35:$I$55,7,0))</f>
        <v>0.1</v>
      </c>
      <c r="Z78" s="21">
        <f>EXP(-LN(2)/35)*Z77+(1-EXP(-LN(2)/35))/(LN(2)/35)*V78*W78*VLOOKUP('Données projet'!$B$9,Paramètres!$A$1:$I$89,3,0)*0.475*44/12</f>
        <v>48.175995219317215</v>
      </c>
      <c r="AA78" s="21">
        <f>EXP(-LN(2)/25)*AA77+(1-EXP(-LN(2)/25))/(LN(2)/25)*Calculateur!V78*Calculateur!X78*VLOOKUP('Données projet'!$B$9,Paramètres!$A$1:$I$89,3,0)*0.475*44/12</f>
        <v>5.2443248412219656</v>
      </c>
      <c r="AB78" s="21">
        <f>EXP(-LN(2)/2)*AB77+(1-EXP(-LN(2)/2))/(LN(2)/2)*V78*Y78*VLOOKUP('Données projet'!$B$9,Paramètres!$A$1:$I$89,3,0)*0.475*44/12</f>
        <v>3.3727549092944225</v>
      </c>
      <c r="AC78" s="22">
        <f t="shared" si="57"/>
        <v>56.793074969833604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432.99999999999989</v>
      </c>
      <c r="AJ78" s="13">
        <f>AI78*VLOOKUP('Données projet'!$B$10,Paramètres!$A$1:$I$89,3,0)*VLOOKUP('Données projet'!$B$10,Paramètres!$A$1:$I$89,5,0)</f>
        <v>290.45639999999992</v>
      </c>
      <c r="AK78" s="13">
        <f t="shared" si="89"/>
        <v>69.172009514864612</v>
      </c>
      <c r="AL78" s="20">
        <f t="shared" si="58"/>
        <v>626.3528132383891</v>
      </c>
      <c r="AM78" s="59">
        <f t="shared" si="59"/>
        <v>919.68614657172247</v>
      </c>
      <c r="AN78" s="59">
        <f ca="1">AVERAGE(OFFSET($AM$3,0,0,'Données projet'!$E$10+1,1))-AVERAGE(OFFSET($H$3,0,0,'Données projet'!$E$10+1,1))</f>
        <v>296.25231821504275</v>
      </c>
      <c r="AO78" s="59">
        <f t="shared" si="90"/>
        <v>316.20936902390275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43.402478514806738</v>
      </c>
      <c r="AV78" s="21">
        <f>EXP(-LN(2)/25)*AV77+(1-EXP(-LN(2)/25))/(LN(2)/25)*Calculateur!AQ78*Calculateur!AS78*VLOOKUP('Données projet'!$B$10,Paramètres!$A$1:$I$89,3,0)*0.475*44/12</f>
        <v>3.1743331785976259</v>
      </c>
      <c r="AW78" s="21">
        <f>EXP(-LN(2)/2)*AW77+(1-EXP(-LN(2)/2))/(LN(2)/2)*AQ78*AT78*VLOOKUP('Données projet'!$B$10,Paramètres!$A$1:$I$89,3,0)*0.475*44/12</f>
        <v>0.20233600722875128</v>
      </c>
      <c r="AX78" s="21">
        <f t="shared" si="60"/>
        <v>46.779147700633118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323.99999999999983</v>
      </c>
      <c r="BE78" s="13">
        <f>BD78*VLOOKUP('Données projet'!$B$11,Paramètres!$A$1:$I$89,3,0)*VLOOKUP('Données projet'!$B$11,Paramètres!$A$1:$I$89,5,0)</f>
        <v>257.7743999999999</v>
      </c>
      <c r="BF78" s="13">
        <f t="shared" si="91"/>
        <v>62.247732872134243</v>
      </c>
      <c r="BG78" s="20">
        <f t="shared" si="61"/>
        <v>557.37188141896695</v>
      </c>
      <c r="BH78" s="59">
        <f t="shared" si="62"/>
        <v>850.70521475230021</v>
      </c>
      <c r="BI78" s="59">
        <f ca="1">AVERAGE(OFFSET($BH$3,0,0,'Données projet'!$E$11+1,1))-AVERAGE(OFFSET($H$3,0,0,'Données projet'!$E$11+1,1))</f>
        <v>244.50301885429764</v>
      </c>
      <c r="BJ78" s="59">
        <f t="shared" si="92"/>
        <v>248.77995374147798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0.42400000000000004</v>
      </c>
      <c r="BN78" s="16">
        <f>IF(ISNA(VLOOKUP(A78,'Données projet'!$A$87:$I$107,6,0)),0%,VLOOKUP(A78,'Données projet'!$A$87:$I$107,6,0)*VLOOKUP('Données projet'!$B$11,Paramètres!$A$1:$I$89,7,0))</f>
        <v>2.12E-2</v>
      </c>
      <c r="BO78" s="16">
        <f>IF(ISNA(VLOOKUP(A78,'Données projet'!$A$87:$I$107,7,0)),0%,VLOOKUP(A78,'Données projet'!$A$87:$I$107,7,0))</f>
        <v>0.06</v>
      </c>
      <c r="BP78" s="21">
        <f>EXP(-LN(2)/35)*BP77+(1-EXP(-LN(2)/35))/(LN(2)/35)*BL78*BM78*VLOOKUP('Données projet'!$B$11,Paramètres!$A$1:$I$89,3,0)*0.475*44/12</f>
        <v>37.715180708931413</v>
      </c>
      <c r="BQ78" s="21">
        <f>EXP(-LN(2)/25)*BQ77+(1-EXP(-LN(2)/25))/(LN(2)/25)*Calculateur!BL78*Calculateur!BN78*VLOOKUP('Données projet'!$B$11,Paramètres!$A$1:$I$89,3,0)*0.475*44/12</f>
        <v>3.2301280366875669</v>
      </c>
      <c r="BR78" s="21">
        <f>EXP(-LN(2)/2)*BR77+(1-EXP(-LN(2)/2))/(LN(2)/2)*BL78*BO78*VLOOKUP('Données projet'!$B$11,Paramètres!$A$1:$I$89,3,0)*0.475*44/12</f>
        <v>0.68185963581606024</v>
      </c>
      <c r="BS78" s="22">
        <f t="shared" si="63"/>
        <v>41.627168381435041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1">
        <f t="shared" si="86"/>
        <v>18.775122997078551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67">
        <f t="shared" si="56"/>
        <v>441.66885921991195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295.27680000000004</v>
      </c>
      <c r="P79" s="13">
        <f t="shared" si="87"/>
        <v>70.185386686980493</v>
      </c>
      <c r="Q79" s="20">
        <f t="shared" si="54"/>
        <v>636.51330847982445</v>
      </c>
      <c r="R79" s="59">
        <f t="shared" si="55"/>
        <v>929.8466418131577</v>
      </c>
      <c r="S79" s="59">
        <f ca="1">AVERAGE(OFFSET($R$3,0,0,'Données projet'!$E$9+1,1))-AVERAGE(OFFSET($H$3,0,0,'Données projet'!$E$9+1,1))</f>
        <v>342.91408684769942</v>
      </c>
      <c r="T79" s="59">
        <f t="shared" si="88"/>
        <v>209.92380505963234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47.231293337522011</v>
      </c>
      <c r="AA79" s="21">
        <f>EXP(-LN(2)/25)*AA78+(1-EXP(-LN(2)/25))/(LN(2)/25)*Calculateur!V79*Calculateur!X79*VLOOKUP('Données projet'!$B$9,Paramètres!$A$1:$I$89,3,0)*0.475*44/12</f>
        <v>5.1009185026516937</v>
      </c>
      <c r="AB79" s="21">
        <f>EXP(-LN(2)/2)*AB78+(1-EXP(-LN(2)/2))/(LN(2)/2)*V79*Y79*VLOOKUP('Données projet'!$B$9,Paramètres!$A$1:$I$89,3,0)*0.475*44/12</f>
        <v>2.3848978676423052</v>
      </c>
      <c r="AC79" s="22">
        <f t="shared" si="57"/>
        <v>54.717109707816007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432.99999999999989</v>
      </c>
      <c r="AJ79" s="13">
        <f>AI79*VLOOKUP('Données projet'!$B$10,Paramètres!$A$1:$I$89,3,0)*VLOOKUP('Données projet'!$B$10,Paramètres!$A$1:$I$89,5,0)</f>
        <v>290.45639999999992</v>
      </c>
      <c r="AK79" s="13">
        <f t="shared" si="89"/>
        <v>69.172009514864612</v>
      </c>
      <c r="AL79" s="20">
        <f t="shared" si="58"/>
        <v>626.3528132383891</v>
      </c>
      <c r="AM79" s="59">
        <f t="shared" si="59"/>
        <v>919.68614657172247</v>
      </c>
      <c r="AN79" s="59">
        <f ca="1">AVERAGE(OFFSET($AM$3,0,0,'Données projet'!$E$10+1,1))-AVERAGE(OFFSET($H$3,0,0,'Données projet'!$E$10+1,1))</f>
        <v>296.25231821504275</v>
      </c>
      <c r="AO79" s="59">
        <f t="shared" si="90"/>
        <v>316.20936902390275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42.551382384029289</v>
      </c>
      <c r="AV79" s="21">
        <f>EXP(-LN(2)/25)*AV78+(1-EXP(-LN(2)/25))/(LN(2)/25)*Calculateur!AQ79*Calculateur!AS79*VLOOKUP('Données projet'!$B$10,Paramètres!$A$1:$I$89,3,0)*0.475*44/12</f>
        <v>3.0875308708979468</v>
      </c>
      <c r="AW79" s="21">
        <f>EXP(-LN(2)/2)*AW78+(1-EXP(-LN(2)/2))/(LN(2)/2)*AQ79*AT79*VLOOKUP('Données projet'!$B$10,Paramètres!$A$1:$I$89,3,0)*0.475*44/12</f>
        <v>0.14307316278966034</v>
      </c>
      <c r="AX79" s="21">
        <f t="shared" si="60"/>
        <v>45.781986417716894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315.59999999999985</v>
      </c>
      <c r="BE79" s="13">
        <f>BD79*VLOOKUP('Données projet'!$B$11,Paramètres!$A$1:$I$89,3,0)*VLOOKUP('Données projet'!$B$11,Paramètres!$A$1:$I$89,5,0)</f>
        <v>251.0913599999999</v>
      </c>
      <c r="BF79" s="13">
        <f t="shared" si="91"/>
        <v>60.81957989149403</v>
      </c>
      <c r="BG79" s="20">
        <f t="shared" si="61"/>
        <v>543.24488697768527</v>
      </c>
      <c r="BH79" s="59">
        <f t="shared" si="62"/>
        <v>836.57822031101864</v>
      </c>
      <c r="BI79" s="59">
        <f ca="1">AVERAGE(OFFSET($BH$3,0,0,'Données projet'!$E$11+1,1))-AVERAGE(OFFSET($H$3,0,0,'Données projet'!$E$11+1,1))</f>
        <v>244.50301885429764</v>
      </c>
      <c r="BJ79" s="59">
        <f t="shared" si="92"/>
        <v>248.77995374147798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36.975609019218048</v>
      </c>
      <c r="BQ79" s="21">
        <f>EXP(-LN(2)/25)*BQ78+(1-EXP(-LN(2)/25))/(LN(2)/25)*Calculateur!BL79*Calculateur!BN79*VLOOKUP('Données projet'!$B$11,Paramètres!$A$1:$I$89,3,0)*0.475*44/12</f>
        <v>3.1418000156592947</v>
      </c>
      <c r="BR79" s="21">
        <f>EXP(-LN(2)/2)*BR78+(1-EXP(-LN(2)/2))/(LN(2)/2)*BL79*BO79*VLOOKUP('Données projet'!$B$11,Paramètres!$A$1:$I$89,3,0)*0.475*44/12</f>
        <v>0.48214757230292593</v>
      </c>
      <c r="BS79" s="22">
        <f t="shared" si="63"/>
        <v>40.599556607180268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1">
        <f t="shared" si="86"/>
        <v>18.993242158132951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67">
        <f t="shared" si="56"/>
        <v>443.57027009208173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302.57760000000007</v>
      </c>
      <c r="P80" s="13">
        <f t="shared" si="87"/>
        <v>71.716558091076294</v>
      </c>
      <c r="Q80" s="20">
        <f t="shared" si="54"/>
        <v>651.89565867529132</v>
      </c>
      <c r="R80" s="59">
        <f t="shared" si="55"/>
        <v>945.22899200862457</v>
      </c>
      <c r="S80" s="59">
        <f ca="1">AVERAGE(OFFSET($R$3,0,0,'Données projet'!$E$9+1,1))-AVERAGE(OFFSET($H$3,0,0,'Données projet'!$E$9+1,1))</f>
        <v>342.91408684769942</v>
      </c>
      <c r="T80" s="59">
        <f t="shared" si="88"/>
        <v>209.92380505963234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46.305116483417564</v>
      </c>
      <c r="AA80" s="21">
        <f>EXP(-LN(2)/25)*AA79+(1-EXP(-LN(2)/25))/(LN(2)/25)*Calculateur!V80*Calculateur!X80*VLOOKUP('Données projet'!$B$9,Paramètres!$A$1:$I$89,3,0)*0.475*44/12</f>
        <v>4.9614336179510374</v>
      </c>
      <c r="AB80" s="21">
        <f>EXP(-LN(2)/2)*AB79+(1-EXP(-LN(2)/2))/(LN(2)/2)*V80*Y80*VLOOKUP('Données projet'!$B$9,Paramètres!$A$1:$I$89,3,0)*0.475*44/12</f>
        <v>1.6863774546472114</v>
      </c>
      <c r="AC80" s="22">
        <f t="shared" si="57"/>
        <v>52.952927556015815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432.99999999999989</v>
      </c>
      <c r="AJ80" s="13">
        <f>AI80*VLOOKUP('Données projet'!$B$10,Paramètres!$A$1:$I$89,3,0)*VLOOKUP('Données projet'!$B$10,Paramètres!$A$1:$I$89,5,0)</f>
        <v>290.45639999999992</v>
      </c>
      <c r="AK80" s="13">
        <f t="shared" si="89"/>
        <v>69.172009514864612</v>
      </c>
      <c r="AL80" s="20">
        <f t="shared" si="58"/>
        <v>626.3528132383891</v>
      </c>
      <c r="AM80" s="59">
        <f t="shared" si="59"/>
        <v>919.68614657172247</v>
      </c>
      <c r="AN80" s="59">
        <f ca="1">AVERAGE(OFFSET($AM$3,0,0,'Données projet'!$E$10+1,1))-AVERAGE(OFFSET($H$3,0,0,'Données projet'!$E$10+1,1))</f>
        <v>296.25231821504275</v>
      </c>
      <c r="AO80" s="59">
        <f t="shared" si="90"/>
        <v>316.20936902390275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41.716975729259005</v>
      </c>
      <c r="AV80" s="21">
        <f>EXP(-LN(2)/25)*AV79+(1-EXP(-LN(2)/25))/(LN(2)/25)*Calculateur!AQ80*Calculateur!AS80*VLOOKUP('Données projet'!$B$10,Paramètres!$A$1:$I$89,3,0)*0.475*44/12</f>
        <v>3.0031021768670505</v>
      </c>
      <c r="AW80" s="21">
        <f>EXP(-LN(2)/2)*AW79+(1-EXP(-LN(2)/2))/(LN(2)/2)*AQ80*AT80*VLOOKUP('Données projet'!$B$10,Paramètres!$A$1:$I$89,3,0)*0.475*44/12</f>
        <v>0.10116800361437565</v>
      </c>
      <c r="AX80" s="21">
        <f t="shared" si="60"/>
        <v>44.821245909740433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319.19999999999987</v>
      </c>
      <c r="BE80" s="13">
        <f>BD80*VLOOKUP('Données projet'!$B$11,Paramètres!$A$1:$I$89,3,0)*VLOOKUP('Données projet'!$B$11,Paramètres!$A$1:$I$89,5,0)</f>
        <v>253.95551999999992</v>
      </c>
      <c r="BF80" s="13">
        <f t="shared" si="91"/>
        <v>61.432180511879253</v>
      </c>
      <c r="BG80" s="20">
        <f t="shared" si="61"/>
        <v>549.30024505818949</v>
      </c>
      <c r="BH80" s="59">
        <f t="shared" si="62"/>
        <v>842.63357839152286</v>
      </c>
      <c r="BI80" s="59">
        <f ca="1">AVERAGE(OFFSET($BH$3,0,0,'Données projet'!$E$11+1,1))-AVERAGE(OFFSET($H$3,0,0,'Données projet'!$E$11+1,1))</f>
        <v>244.50301885429764</v>
      </c>
      <c r="BJ80" s="59">
        <f t="shared" si="92"/>
        <v>248.77995374147798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36.250539879245771</v>
      </c>
      <c r="BQ80" s="21">
        <f>EXP(-LN(2)/25)*BQ79+(1-EXP(-LN(2)/25))/(LN(2)/25)*Calculateur!BL80*Calculateur!BN80*VLOOKUP('Données projet'!$B$11,Paramètres!$A$1:$I$89,3,0)*0.475*44/12</f>
        <v>3.0558873290110089</v>
      </c>
      <c r="BR80" s="21">
        <f>EXP(-LN(2)/2)*BR79+(1-EXP(-LN(2)/2))/(LN(2)/2)*BL80*BO80*VLOOKUP('Données projet'!$B$11,Paramètres!$A$1:$I$89,3,0)*0.475*44/12</f>
        <v>0.34092981790803017</v>
      </c>
      <c r="BS80" s="22">
        <f t="shared" si="63"/>
        <v>39.647357026164805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1">
        <f t="shared" si="86"/>
        <v>19.211031830304485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67">
        <f t="shared" si="56"/>
        <v>445.47110710444713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309.87840000000006</v>
      </c>
      <c r="P81" s="13">
        <f t="shared" si="87"/>
        <v>73.243434672131556</v>
      </c>
      <c r="Q81" s="20">
        <f t="shared" si="54"/>
        <v>667.27052872062916</v>
      </c>
      <c r="R81" s="59">
        <f t="shared" si="55"/>
        <v>960.60386205396253</v>
      </c>
      <c r="S81" s="59">
        <f ca="1">AVERAGE(OFFSET($R$3,0,0,'Données projet'!$E$9+1,1))-AVERAGE(OFFSET($H$3,0,0,'Données projet'!$E$9+1,1))</f>
        <v>342.91408684769942</v>
      </c>
      <c r="T81" s="59">
        <f t="shared" si="88"/>
        <v>209.92380505963234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45.397101392510002</v>
      </c>
      <c r="AA81" s="21">
        <f>EXP(-LN(2)/25)*AA80+(1-EXP(-LN(2)/25))/(LN(2)/25)*Calculateur!V81*Calculateur!X81*VLOOKUP('Données projet'!$B$9,Paramètres!$A$1:$I$89,3,0)*0.475*44/12</f>
        <v>4.8257629547577121</v>
      </c>
      <c r="AB81" s="21">
        <f>EXP(-LN(2)/2)*AB80+(1-EXP(-LN(2)/2))/(LN(2)/2)*V81*Y81*VLOOKUP('Données projet'!$B$9,Paramètres!$A$1:$I$89,3,0)*0.475*44/12</f>
        <v>1.1924489338211528</v>
      </c>
      <c r="AC81" s="22">
        <f t="shared" si="57"/>
        <v>51.415313281088871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432.99999999999989</v>
      </c>
      <c r="AJ81" s="13">
        <f>AI81*VLOOKUP('Données projet'!$B$10,Paramètres!$A$1:$I$89,3,0)*VLOOKUP('Données projet'!$B$10,Paramètres!$A$1:$I$89,5,0)</f>
        <v>290.45639999999992</v>
      </c>
      <c r="AK81" s="13">
        <f t="shared" si="89"/>
        <v>69.172009514864612</v>
      </c>
      <c r="AL81" s="20">
        <f t="shared" si="58"/>
        <v>626.3528132383891</v>
      </c>
      <c r="AM81" s="59">
        <f t="shared" si="59"/>
        <v>919.68614657172247</v>
      </c>
      <c r="AN81" s="59">
        <f ca="1">AVERAGE(OFFSET($AM$3,0,0,'Données projet'!$E$10+1,1))-AVERAGE(OFFSET($H$3,0,0,'Données projet'!$E$10+1,1))</f>
        <v>296.25231821504275</v>
      </c>
      <c r="AO81" s="59">
        <f t="shared" si="90"/>
        <v>316.20936902390275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40.898931280050959</v>
      </c>
      <c r="AV81" s="21">
        <f>EXP(-LN(2)/25)*AV80+(1-EXP(-LN(2)/25))/(LN(2)/25)*Calculateur!AQ81*Calculateur!AS81*VLOOKUP('Données projet'!$B$10,Paramètres!$A$1:$I$89,3,0)*0.475*44/12</f>
        <v>2.9209821899143411</v>
      </c>
      <c r="AW81" s="21">
        <f>EXP(-LN(2)/2)*AW80+(1-EXP(-LN(2)/2))/(LN(2)/2)*AQ81*AT81*VLOOKUP('Données projet'!$B$10,Paramètres!$A$1:$I$89,3,0)*0.475*44/12</f>
        <v>7.1536581394830184E-2</v>
      </c>
      <c r="AX81" s="21">
        <f t="shared" si="60"/>
        <v>43.891450051360131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</v>
      </c>
      <c r="BE81" s="13">
        <f>BD81*VLOOKUP('Données projet'!$B$11,Paramètres!$A$1:$I$89,3,0)*VLOOKUP('Données projet'!$B$11,Paramètres!$A$1:$I$89,5,0)</f>
        <v>256.81967999999995</v>
      </c>
      <c r="BF81" s="13">
        <f t="shared" si="91"/>
        <v>62.043977430851903</v>
      </c>
      <c r="BG81" s="20">
        <f t="shared" si="61"/>
        <v>555.35420335873357</v>
      </c>
      <c r="BH81" s="59">
        <f t="shared" si="62"/>
        <v>848.68753669206694</v>
      </c>
      <c r="BI81" s="59">
        <f ca="1">AVERAGE(OFFSET($BH$3,0,0,'Données projet'!$E$11+1,1))-AVERAGE(OFFSET($H$3,0,0,'Données projet'!$E$11+1,1))</f>
        <v>244.50301885429764</v>
      </c>
      <c r="BJ81" s="59">
        <f t="shared" si="92"/>
        <v>248.77995374147798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35.539688902859844</v>
      </c>
      <c r="BQ81" s="21">
        <f>EXP(-LN(2)/25)*BQ80+(1-EXP(-LN(2)/25))/(LN(2)/25)*Calculateur!BL81*Calculateur!BN81*VLOOKUP('Données projet'!$B$11,Paramètres!$A$1:$I$89,3,0)*0.475*44/12</f>
        <v>2.9723239292970725</v>
      </c>
      <c r="BR81" s="21">
        <f>EXP(-LN(2)/2)*BR80+(1-EXP(-LN(2)/2))/(LN(2)/2)*BL81*BO81*VLOOKUP('Données projet'!$B$11,Paramètres!$A$1:$I$89,3,0)*0.475*44/12</f>
        <v>0.24107378615146299</v>
      </c>
      <c r="BS81" s="22">
        <f t="shared" si="63"/>
        <v>38.753086618308373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1">
        <f t="shared" si="86"/>
        <v>19.428496726251062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67">
        <f t="shared" si="56"/>
        <v>447.37137846488741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317.17920000000004</v>
      </c>
      <c r="P82" s="13">
        <f t="shared" si="87"/>
        <v>74.766129261581426</v>
      </c>
      <c r="Q82" s="20">
        <f t="shared" si="54"/>
        <v>682.63811513058772</v>
      </c>
      <c r="R82" s="59">
        <f t="shared" si="55"/>
        <v>975.97144846392098</v>
      </c>
      <c r="S82" s="59">
        <f ca="1">AVERAGE(OFFSET($R$3,0,0,'Données projet'!$E$9+1,1))-AVERAGE(OFFSET($H$3,0,0,'Données projet'!$E$9+1,1))</f>
        <v>342.91408684769942</v>
      </c>
      <c r="T82" s="59">
        <f t="shared" si="88"/>
        <v>209.92380505963234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44.506891923700621</v>
      </c>
      <c r="AA82" s="21">
        <f>EXP(-LN(2)/25)*AA81+(1-EXP(-LN(2)/25))/(LN(2)/25)*Calculateur!V82*Calculateur!X82*VLOOKUP('Données projet'!$B$9,Paramètres!$A$1:$I$89,3,0)*0.475*44/12</f>
        <v>4.6938022129840178</v>
      </c>
      <c r="AB82" s="21">
        <f>EXP(-LN(2)/2)*AB81+(1-EXP(-LN(2)/2))/(LN(2)/2)*V82*Y82*VLOOKUP('Données projet'!$B$9,Paramètres!$A$1:$I$89,3,0)*0.475*44/12</f>
        <v>0.84318872732360584</v>
      </c>
      <c r="AC82" s="22">
        <f t="shared" si="57"/>
        <v>50.043882864008246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432.99999999999989</v>
      </c>
      <c r="AJ82" s="13">
        <f>AI82*VLOOKUP('Données projet'!$B$10,Paramètres!$A$1:$I$89,3,0)*VLOOKUP('Données projet'!$B$10,Paramètres!$A$1:$I$89,5,0)</f>
        <v>290.45639999999992</v>
      </c>
      <c r="AK82" s="13">
        <f t="shared" si="89"/>
        <v>69.172009514864612</v>
      </c>
      <c r="AL82" s="20">
        <f t="shared" si="58"/>
        <v>626.3528132383891</v>
      </c>
      <c r="AM82" s="59">
        <f t="shared" si="59"/>
        <v>919.68614657172247</v>
      </c>
      <c r="AN82" s="59">
        <f ca="1">AVERAGE(OFFSET($AM$3,0,0,'Données projet'!$E$10+1,1))-AVERAGE(OFFSET($H$3,0,0,'Données projet'!$E$10+1,1))</f>
        <v>296.25231821504275</v>
      </c>
      <c r="AO82" s="59">
        <f t="shared" si="90"/>
        <v>316.20936902390275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40.09692818353404</v>
      </c>
      <c r="AV82" s="21">
        <f>EXP(-LN(2)/25)*AV81+(1-EXP(-LN(2)/25))/(LN(2)/25)*Calculateur!AQ82*Calculateur!AS82*VLOOKUP('Données projet'!$B$10,Paramètres!$A$1:$I$89,3,0)*0.475*44/12</f>
        <v>2.841107778323356</v>
      </c>
      <c r="AW82" s="21">
        <f>EXP(-LN(2)/2)*AW81+(1-EXP(-LN(2)/2))/(LN(2)/2)*AQ82*AT82*VLOOKUP('Données projet'!$B$10,Paramètres!$A$1:$I$89,3,0)*0.475*44/12</f>
        <v>5.0584001807187834E-2</v>
      </c>
      <c r="AX82" s="21">
        <f t="shared" si="60"/>
        <v>42.988619963664583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326.39999999999992</v>
      </c>
      <c r="BE82" s="13">
        <f>BD82*VLOOKUP('Données projet'!$B$11,Paramètres!$A$1:$I$89,3,0)*VLOOKUP('Données projet'!$B$11,Paramètres!$A$1:$I$89,5,0)</f>
        <v>259.68383999999998</v>
      </c>
      <c r="BF82" s="13">
        <f t="shared" si="91"/>
        <v>62.654980648867358</v>
      </c>
      <c r="BG82" s="20">
        <f t="shared" si="61"/>
        <v>561.40677929677724</v>
      </c>
      <c r="BH82" s="59">
        <f t="shared" si="62"/>
        <v>854.74011263011062</v>
      </c>
      <c r="BI82" s="59">
        <f ca="1">AVERAGE(OFFSET($BH$3,0,0,'Données projet'!$E$11+1,1))-AVERAGE(OFFSET($H$3,0,0,'Données projet'!$E$11+1,1))</f>
        <v>244.50301885429764</v>
      </c>
      <c r="BJ82" s="59">
        <f t="shared" si="92"/>
        <v>248.77995374147798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34.84277728054456</v>
      </c>
      <c r="BQ82" s="21">
        <f>EXP(-LN(2)/25)*BQ81+(1-EXP(-LN(2)/25))/(LN(2)/25)*Calculateur!BL82*Calculateur!BN82*VLOOKUP('Données projet'!$B$11,Paramètres!$A$1:$I$89,3,0)*0.475*44/12</f>
        <v>2.891045575142722</v>
      </c>
      <c r="BR82" s="21">
        <f>EXP(-LN(2)/2)*BR81+(1-EXP(-LN(2)/2))/(LN(2)/2)*BL82*BO82*VLOOKUP('Données projet'!$B$11,Paramètres!$A$1:$I$89,3,0)*0.475*44/12</f>
        <v>0.17046490895401512</v>
      </c>
      <c r="BS82" s="22">
        <f t="shared" si="63"/>
        <v>37.904287764641296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1">
        <f t="shared" si="86"/>
        <v>19.645641432461971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67">
        <f t="shared" si="56"/>
        <v>449.27109216153804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324.48</v>
      </c>
      <c r="P83" s="13">
        <f t="shared" si="87"/>
        <v>76.284749200165578</v>
      </c>
      <c r="Q83" s="20">
        <f t="shared" si="54"/>
        <v>697.99860485695501</v>
      </c>
      <c r="R83" s="59">
        <f t="shared" si="55"/>
        <v>991.33193819028838</v>
      </c>
      <c r="S83" s="59">
        <f ca="1">AVERAGE(OFFSET($R$3,0,0,'Données projet'!$E$9+1,1))-AVERAGE(OFFSET($H$3,0,0,'Données projet'!$E$9+1,1))</f>
        <v>342.91408684769942</v>
      </c>
      <c r="T83" s="59">
        <f t="shared" si="88"/>
        <v>209.92380505963234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2.1500000000000002E-2</v>
      </c>
      <c r="Y83" s="16">
        <f>IF(ISNA(VLOOKUP(A83,'Données projet'!$A$35:$I$55,7,0)),0%,VLOOKUP(A83,'Données projet'!$A$35:$I$55,7,0))</f>
        <v>0.1</v>
      </c>
      <c r="Z83" s="21">
        <f>EXP(-LN(2)/35)*Z82+(1-EXP(-LN(2)/35))/(LN(2)/35)*V83*W83*VLOOKUP('Données projet'!$B$9,Paramètres!$A$1:$I$89,3,0)*0.475*44/12</f>
        <v>53.081479939325988</v>
      </c>
      <c r="AA83" s="21">
        <f>EXP(-LN(2)/25)*AA82+(1-EXP(-LN(2)/25))/(LN(2)/25)*Calculateur!V83*Calculateur!X83*VLOOKUP('Données projet'!$B$9,Paramètres!$A$1:$I$89,3,0)*0.475*44/12</f>
        <v>5.2376030330916219</v>
      </c>
      <c r="AB83" s="21">
        <f>EXP(-LN(2)/2)*AB82+(1-EXP(-LN(2)/2))/(LN(2)/2)*V83*Y83*VLOOKUP('Données projet'!$B$9,Paramètres!$A$1:$I$89,3,0)*0.475*44/12</f>
        <v>3.2750860828581949</v>
      </c>
      <c r="AC83" s="22">
        <f t="shared" si="57"/>
        <v>61.594169055275806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432.99999999999989</v>
      </c>
      <c r="AJ83" s="13">
        <f>AI83*VLOOKUP('Données projet'!$B$10,Paramètres!$A$1:$I$89,3,0)*VLOOKUP('Données projet'!$B$10,Paramètres!$A$1:$I$89,5,0)</f>
        <v>290.45639999999992</v>
      </c>
      <c r="AK83" s="13">
        <f t="shared" si="89"/>
        <v>69.172009514864612</v>
      </c>
      <c r="AL83" s="20">
        <f t="shared" si="58"/>
        <v>626.3528132383891</v>
      </c>
      <c r="AM83" s="59">
        <f t="shared" si="59"/>
        <v>919.68614657172247</v>
      </c>
      <c r="AN83" s="59">
        <f ca="1">AVERAGE(OFFSET($AM$3,0,0,'Données projet'!$E$10+1,1))-AVERAGE(OFFSET($H$3,0,0,'Données projet'!$E$10+1,1))</f>
        <v>296.25231821504275</v>
      </c>
      <c r="AO83" s="59">
        <f t="shared" si="90"/>
        <v>316.20936902390275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39.310651878566226</v>
      </c>
      <c r="AV83" s="21">
        <f>EXP(-LN(2)/25)*AV82+(1-EXP(-LN(2)/25))/(LN(2)/25)*Calculateur!AQ83*Calculateur!AS83*VLOOKUP('Données projet'!$B$10,Paramètres!$A$1:$I$89,3,0)*0.475*44/12</f>
        <v>2.7634175367177392</v>
      </c>
      <c r="AW83" s="21">
        <f>EXP(-LN(2)/2)*AW82+(1-EXP(-LN(2)/2))/(LN(2)/2)*AQ83*AT83*VLOOKUP('Données projet'!$B$10,Paramètres!$A$1:$I$89,3,0)*0.475*44/12</f>
        <v>3.5768290697415092E-2</v>
      </c>
      <c r="AX83" s="21">
        <f t="shared" si="60"/>
        <v>42.109837705981377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329.99999999999994</v>
      </c>
      <c r="BE83" s="13">
        <f>BD83*VLOOKUP('Données projet'!$B$11,Paramètres!$A$1:$I$89,3,0)*VLOOKUP('Données projet'!$B$11,Paramètres!$A$1:$I$89,5,0)</f>
        <v>262.548</v>
      </c>
      <c r="BF83" s="13">
        <f t="shared" si="91"/>
        <v>63.265199933079444</v>
      </c>
      <c r="BG83" s="20">
        <f t="shared" si="61"/>
        <v>567.45798988344666</v>
      </c>
      <c r="BH83" s="59">
        <f t="shared" si="62"/>
        <v>860.79132321678003</v>
      </c>
      <c r="BI83" s="59">
        <f ca="1">AVERAGE(OFFSET($BH$3,0,0,'Données projet'!$E$11+1,1))-AVERAGE(OFFSET($H$3,0,0,'Données projet'!$E$11+1,1))</f>
        <v>244.50301885429764</v>
      </c>
      <c r="BJ83" s="59">
        <f t="shared" si="92"/>
        <v>248.77995374147798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0.42400000000000004</v>
      </c>
      <c r="BN83" s="16">
        <f>IF(ISNA(VLOOKUP(A83,'Données projet'!$A$87:$I$107,6,0)),0%,VLOOKUP(A83,'Données projet'!$A$87:$I$107,6,0)*VLOOKUP('Données projet'!$B$11,Paramètres!$A$1:$I$89,7,0))</f>
        <v>2.12E-2</v>
      </c>
      <c r="BO83" s="16">
        <f>IF(ISNA(VLOOKUP(A83,'Données projet'!$A$87:$I$107,7,0)),0%,VLOOKUP(A83,'Données projet'!$A$87:$I$107,7,0))</f>
        <v>0.06</v>
      </c>
      <c r="BP83" s="21">
        <f>EXP(-LN(2)/35)*BP82+(1-EXP(-LN(2)/35))/(LN(2)/35)*BL83*BM83*VLOOKUP('Données projet'!$B$11,Paramètres!$A$1:$I$89,3,0)*0.475*44/12</f>
        <v>38.261576729241483</v>
      </c>
      <c r="BQ83" s="21">
        <f>EXP(-LN(2)/25)*BQ82+(1-EXP(-LN(2)/25))/(LN(2)/25)*Calculateur!BL83*Calculateur!BN83*VLOOKUP('Données projet'!$B$11,Paramètres!$A$1:$I$89,3,0)*0.475*44/12</f>
        <v>3.0162844690956176</v>
      </c>
      <c r="BR83" s="21">
        <f>EXP(-LN(2)/2)*BR82+(1-EXP(-LN(2)/2))/(LN(2)/2)*BL83*BO83*VLOOKUP('Données projet'!$B$11,Paramètres!$A$1:$I$89,3,0)*0.475*44/12</f>
        <v>0.61597910182736237</v>
      </c>
      <c r="BS83" s="22">
        <f t="shared" si="63"/>
        <v>41.893840300164463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1">
        <f t="shared" si="86"/>
        <v>19.862470414169785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67">
        <f t="shared" si="56"/>
        <v>451.1702559713458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302.98320000000007</v>
      </c>
      <c r="P84" s="13">
        <f t="shared" si="87"/>
        <v>71.801496173397709</v>
      </c>
      <c r="Q84" s="20">
        <f t="shared" si="54"/>
        <v>652.75001250200114</v>
      </c>
      <c r="R84" s="59">
        <f t="shared" si="55"/>
        <v>946.08334583533451</v>
      </c>
      <c r="S84" s="59">
        <f ca="1">AVERAGE(OFFSET($R$3,0,0,'Données projet'!$E$9+1,1))-AVERAGE(OFFSET($H$3,0,0,'Données projet'!$E$9+1,1))</f>
        <v>342.91408684769942</v>
      </c>
      <c r="T84" s="59">
        <f t="shared" si="88"/>
        <v>209.92380505963234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52.040584494221655</v>
      </c>
      <c r="AA84" s="21">
        <f>EXP(-LN(2)/25)*AA83+(1-EXP(-LN(2)/25))/(LN(2)/25)*Calculateur!V84*Calculateur!X84*VLOOKUP('Données projet'!$B$9,Paramètres!$A$1:$I$89,3,0)*0.475*44/12</f>
        <v>5.0943805027181588</v>
      </c>
      <c r="AB84" s="21">
        <f>EXP(-LN(2)/2)*AB83+(1-EXP(-LN(2)/2))/(LN(2)/2)*V84*Y84*VLOOKUP('Données projet'!$B$9,Paramètres!$A$1:$I$89,3,0)*0.475*44/12</f>
        <v>2.3158355781587168</v>
      </c>
      <c r="AC84" s="22">
        <f t="shared" si="57"/>
        <v>59.450800575098533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432.99999999999989</v>
      </c>
      <c r="AJ84" s="13">
        <f>AI84*VLOOKUP('Données projet'!$B$10,Paramètres!$A$1:$I$89,3,0)*VLOOKUP('Données projet'!$B$10,Paramètres!$A$1:$I$89,5,0)</f>
        <v>290.45639999999992</v>
      </c>
      <c r="AK84" s="13">
        <f t="shared" si="89"/>
        <v>69.172009514864612</v>
      </c>
      <c r="AL84" s="20">
        <f t="shared" si="58"/>
        <v>626.3528132383891</v>
      </c>
      <c r="AM84" s="59">
        <f t="shared" si="59"/>
        <v>919.68614657172247</v>
      </c>
      <c r="AN84" s="59">
        <f ca="1">AVERAGE(OFFSET($AM$3,0,0,'Données projet'!$E$10+1,1))-AVERAGE(OFFSET($H$3,0,0,'Données projet'!$E$10+1,1))</f>
        <v>296.25231821504275</v>
      </c>
      <c r="AO84" s="59">
        <f t="shared" si="90"/>
        <v>316.20936902390275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38.539793972357643</v>
      </c>
      <c r="AV84" s="21">
        <f>EXP(-LN(2)/25)*AV83+(1-EXP(-LN(2)/25))/(LN(2)/25)*Calculateur!AQ84*Calculateur!AS84*VLOOKUP('Données projet'!$B$10,Paramètres!$A$1:$I$89,3,0)*0.475*44/12</f>
        <v>2.6878517388543801</v>
      </c>
      <c r="AW84" s="21">
        <f>EXP(-LN(2)/2)*AW83+(1-EXP(-LN(2)/2))/(LN(2)/2)*AQ84*AT84*VLOOKUP('Données projet'!$B$10,Paramètres!$A$1:$I$89,3,0)*0.475*44/12</f>
        <v>2.5292000903593917E-2</v>
      </c>
      <c r="AX84" s="21">
        <f t="shared" si="60"/>
        <v>41.25293771211561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318.99999999999994</v>
      </c>
      <c r="BE84" s="13">
        <f>BD84*VLOOKUP('Données projet'!$B$11,Paramètres!$A$1:$I$89,3,0)*VLOOKUP('Données projet'!$B$11,Paramètres!$A$1:$I$89,5,0)</f>
        <v>253.79639999999995</v>
      </c>
      <c r="BF84" s="13">
        <f t="shared" si="91"/>
        <v>61.398168322280704</v>
      </c>
      <c r="BG84" s="20">
        <f t="shared" si="61"/>
        <v>548.9638731613054</v>
      </c>
      <c r="BH84" s="59">
        <f t="shared" si="62"/>
        <v>842.29720649463866</v>
      </c>
      <c r="BI84" s="59">
        <f ca="1">AVERAGE(OFFSET($BH$3,0,0,'Données projet'!$E$11+1,1))-AVERAGE(OFFSET($H$3,0,0,'Données projet'!$E$11+1,1))</f>
        <v>244.50301885429764</v>
      </c>
      <c r="BJ84" s="59">
        <f t="shared" si="92"/>
        <v>248.77995374147798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37.511290546838502</v>
      </c>
      <c r="BQ84" s="21">
        <f>EXP(-LN(2)/25)*BQ83+(1-EXP(-LN(2)/25))/(LN(2)/25)*Calculateur!BL84*Calculateur!BN84*VLOOKUP('Données projet'!$B$11,Paramètres!$A$1:$I$89,3,0)*0.475*44/12</f>
        <v>2.9338040116686916</v>
      </c>
      <c r="BR84" s="21">
        <f>EXP(-LN(2)/2)*BR83+(1-EXP(-LN(2)/2))/(LN(2)/2)*BL84*BO84*VLOOKUP('Données projet'!$B$11,Paramètres!$A$1:$I$89,3,0)*0.475*44/12</f>
        <v>0.43556299997132686</v>
      </c>
      <c r="BS84" s="22">
        <f t="shared" si="63"/>
        <v>40.880657558478518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1">
        <f t="shared" si="86"/>
        <v>20.078988020012666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67">
        <f t="shared" si="56"/>
        <v>453.06887746818882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309.87840000000006</v>
      </c>
      <c r="P85" s="13">
        <f t="shared" si="87"/>
        <v>73.243434672131556</v>
      </c>
      <c r="Q85" s="20">
        <f t="shared" si="54"/>
        <v>667.27052872062916</v>
      </c>
      <c r="R85" s="59">
        <f t="shared" si="55"/>
        <v>960.60386205396253</v>
      </c>
      <c r="S85" s="59">
        <f ca="1">AVERAGE(OFFSET($R$3,0,0,'Données projet'!$E$9+1,1))-AVERAGE(OFFSET($H$3,0,0,'Données projet'!$E$9+1,1))</f>
        <v>342.91408684769942</v>
      </c>
      <c r="T85" s="59">
        <f t="shared" si="88"/>
        <v>209.92380505963234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51.020100373912285</v>
      </c>
      <c r="AA85" s="21">
        <f>EXP(-LN(2)/25)*AA84+(1-EXP(-LN(2)/25))/(LN(2)/25)*Calculateur!V85*Calculateur!X85*VLOOKUP('Données projet'!$B$9,Paramètres!$A$1:$I$89,3,0)*0.475*44/12</f>
        <v>4.9550743999695035</v>
      </c>
      <c r="AB85" s="21">
        <f>EXP(-LN(2)/2)*AB84+(1-EXP(-LN(2)/2))/(LN(2)/2)*V85*Y85*VLOOKUP('Données projet'!$B$9,Paramètres!$A$1:$I$89,3,0)*0.475*44/12</f>
        <v>1.6375430414290977</v>
      </c>
      <c r="AC85" s="22">
        <f t="shared" si="57"/>
        <v>57.612717815310887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432.99999999999989</v>
      </c>
      <c r="AJ85" s="13">
        <f>AI85*VLOOKUP('Données projet'!$B$10,Paramètres!$A$1:$I$89,3,0)*VLOOKUP('Données projet'!$B$10,Paramètres!$A$1:$I$89,5,0)</f>
        <v>290.45639999999992</v>
      </c>
      <c r="AK85" s="13">
        <f t="shared" si="89"/>
        <v>69.172009514864612</v>
      </c>
      <c r="AL85" s="20">
        <f t="shared" si="58"/>
        <v>626.3528132383891</v>
      </c>
      <c r="AM85" s="59">
        <f t="shared" si="59"/>
        <v>919.68614657172247</v>
      </c>
      <c r="AN85" s="59">
        <f ca="1">AVERAGE(OFFSET($AM$3,0,0,'Données projet'!$E$10+1,1))-AVERAGE(OFFSET($H$3,0,0,'Données projet'!$E$10+1,1))</f>
        <v>296.25231821504275</v>
      </c>
      <c r="AO85" s="59">
        <f t="shared" si="90"/>
        <v>316.20936902390275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37.784052119512914</v>
      </c>
      <c r="AV85" s="21">
        <f>EXP(-LN(2)/25)*AV84+(1-EXP(-LN(2)/25))/(LN(2)/25)*Calculateur!AQ85*Calculateur!AS85*VLOOKUP('Données projet'!$B$10,Paramètres!$A$1:$I$89,3,0)*0.475*44/12</f>
        <v>2.6143522917074273</v>
      </c>
      <c r="AW85" s="21">
        <f>EXP(-LN(2)/2)*AW84+(1-EXP(-LN(2)/2))/(LN(2)/2)*AQ85*AT85*VLOOKUP('Données projet'!$B$10,Paramètres!$A$1:$I$89,3,0)*0.475*44/12</f>
        <v>1.7884145348707546E-2</v>
      </c>
      <c r="AX85" s="21">
        <f t="shared" si="60"/>
        <v>40.41628855656905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318.99999999999994</v>
      </c>
      <c r="BE85" s="13">
        <f>BD85*VLOOKUP('Données projet'!$B$11,Paramètres!$A$1:$I$89,3,0)*VLOOKUP('Données projet'!$B$11,Paramètres!$A$1:$I$89,5,0)</f>
        <v>253.79639999999995</v>
      </c>
      <c r="BF85" s="13">
        <f t="shared" si="91"/>
        <v>61.398168322280704</v>
      </c>
      <c r="BG85" s="20">
        <f t="shared" si="61"/>
        <v>548.9638731613054</v>
      </c>
      <c r="BH85" s="59">
        <f t="shared" si="62"/>
        <v>842.29720649463866</v>
      </c>
      <c r="BI85" s="59">
        <f ca="1">AVERAGE(OFFSET($BH$3,0,0,'Données projet'!$E$11+1,1))-AVERAGE(OFFSET($H$3,0,0,'Données projet'!$E$11+1,1))</f>
        <v>244.50301885429764</v>
      </c>
      <c r="BJ85" s="59">
        <f t="shared" si="92"/>
        <v>248.77995374147798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36.775717018843061</v>
      </c>
      <c r="BQ85" s="21">
        <f>EXP(-LN(2)/25)*BQ84+(1-EXP(-LN(2)/25))/(LN(2)/25)*Calculateur!BL85*Calculateur!BN85*VLOOKUP('Données projet'!$B$11,Paramètres!$A$1:$I$89,3,0)*0.475*44/12</f>
        <v>2.8535789866875634</v>
      </c>
      <c r="BR85" s="21">
        <f>EXP(-LN(2)/2)*BR84+(1-EXP(-LN(2)/2))/(LN(2)/2)*BL85*BO85*VLOOKUP('Données projet'!$B$11,Paramètres!$A$1:$I$89,3,0)*0.475*44/12</f>
        <v>0.30798955091368124</v>
      </c>
      <c r="BS85" s="22">
        <f t="shared" si="63"/>
        <v>39.937285556444309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1">
        <f t="shared" si="86"/>
        <v>20.295198486462844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67">
        <f t="shared" si="56"/>
        <v>454.96696403058957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316.77360000000004</v>
      </c>
      <c r="P86" s="13">
        <f t="shared" si="87"/>
        <v>74.681642981668006</v>
      </c>
      <c r="Q86" s="20">
        <f t="shared" si="54"/>
        <v>681.78454819307183</v>
      </c>
      <c r="R86" s="59">
        <f t="shared" si="55"/>
        <v>975.1178815264052</v>
      </c>
      <c r="S86" s="59">
        <f ca="1">AVERAGE(OFFSET($R$3,0,0,'Données projet'!$E$9+1,1))-AVERAGE(OFFSET($H$3,0,0,'Données projet'!$E$9+1,1))</f>
        <v>342.91408684769942</v>
      </c>
      <c r="T86" s="59">
        <f t="shared" si="88"/>
        <v>209.92380505963234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50.019627324768329</v>
      </c>
      <c r="AA86" s="21">
        <f>EXP(-LN(2)/25)*AA85+(1-EXP(-LN(2)/25))/(LN(2)/25)*Calculateur!V86*Calculateur!X86*VLOOKUP('Données projet'!$B$9,Paramètres!$A$1:$I$89,3,0)*0.475*44/12</f>
        <v>4.8195776299262993</v>
      </c>
      <c r="AB86" s="21">
        <f>EXP(-LN(2)/2)*AB85+(1-EXP(-LN(2)/2))/(LN(2)/2)*V86*Y86*VLOOKUP('Données projet'!$B$9,Paramètres!$A$1:$I$89,3,0)*0.475*44/12</f>
        <v>1.1579177890793586</v>
      </c>
      <c r="AC86" s="22">
        <f t="shared" si="57"/>
        <v>55.997122743773986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432.99999999999989</v>
      </c>
      <c r="AJ86" s="13">
        <f>AI86*VLOOKUP('Données projet'!$B$10,Paramètres!$A$1:$I$89,3,0)*VLOOKUP('Données projet'!$B$10,Paramètres!$A$1:$I$89,5,0)</f>
        <v>290.45639999999992</v>
      </c>
      <c r="AK86" s="13">
        <f t="shared" si="89"/>
        <v>69.172009514864612</v>
      </c>
      <c r="AL86" s="20">
        <f t="shared" si="58"/>
        <v>626.3528132383891</v>
      </c>
      <c r="AM86" s="59">
        <f t="shared" si="59"/>
        <v>919.68614657172247</v>
      </c>
      <c r="AN86" s="59">
        <f ca="1">AVERAGE(OFFSET($AM$3,0,0,'Données projet'!$E$10+1,1))-AVERAGE(OFFSET($H$3,0,0,'Données projet'!$E$10+1,1))</f>
        <v>296.25231821504275</v>
      </c>
      <c r="AO86" s="59">
        <f t="shared" si="90"/>
        <v>316.20936902390275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37.043129903445454</v>
      </c>
      <c r="AV86" s="21">
        <f>EXP(-LN(2)/25)*AV85+(1-EXP(-LN(2)/25))/(LN(2)/25)*Calculateur!AQ86*Calculateur!AS86*VLOOKUP('Données projet'!$B$10,Paramètres!$A$1:$I$89,3,0)*0.475*44/12</f>
        <v>2.5428626908078757</v>
      </c>
      <c r="AW86" s="21">
        <f>EXP(-LN(2)/2)*AW85+(1-EXP(-LN(2)/2))/(LN(2)/2)*AQ86*AT86*VLOOKUP('Données projet'!$B$10,Paramètres!$A$1:$I$89,3,0)*0.475*44/12</f>
        <v>1.2646000451796958E-2</v>
      </c>
      <c r="AX86" s="21">
        <f t="shared" si="60"/>
        <v>39.598638594705122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318.99999999999994</v>
      </c>
      <c r="BE86" s="13">
        <f>BD86*VLOOKUP('Données projet'!$B$11,Paramètres!$A$1:$I$89,3,0)*VLOOKUP('Données projet'!$B$11,Paramètres!$A$1:$I$89,5,0)</f>
        <v>253.79639999999995</v>
      </c>
      <c r="BF86" s="13">
        <f t="shared" si="91"/>
        <v>61.398168322280704</v>
      </c>
      <c r="BG86" s="20">
        <f t="shared" si="61"/>
        <v>548.9638731613054</v>
      </c>
      <c r="BH86" s="59">
        <f t="shared" si="62"/>
        <v>842.29720649463866</v>
      </c>
      <c r="BI86" s="59">
        <f ca="1">AVERAGE(OFFSET($BH$3,0,0,'Données projet'!$E$11+1,1))-AVERAGE(OFFSET($H$3,0,0,'Données projet'!$E$11+1,1))</f>
        <v>244.50301885429764</v>
      </c>
      <c r="BJ86" s="59">
        <f t="shared" si="92"/>
        <v>248.77995374147798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36.054567639076055</v>
      </c>
      <c r="BQ86" s="21">
        <f>EXP(-LN(2)/25)*BQ85+(1-EXP(-LN(2)/25))/(LN(2)/25)*Calculateur!BL86*Calculateur!BN86*VLOOKUP('Données projet'!$B$11,Paramètres!$A$1:$I$89,3,0)*0.475*44/12</f>
        <v>2.775547719233395</v>
      </c>
      <c r="BR86" s="21">
        <f>EXP(-LN(2)/2)*BR85+(1-EXP(-LN(2)/2))/(LN(2)/2)*BL86*BO86*VLOOKUP('Données projet'!$B$11,Paramètres!$A$1:$I$89,3,0)*0.475*44/12</f>
        <v>0.21778149998566346</v>
      </c>
      <c r="BS86" s="22">
        <f t="shared" si="63"/>
        <v>39.047896858295111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1">
        <f t="shared" si="86"/>
        <v>20.511105942035563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67">
        <f t="shared" si="56"/>
        <v>456.86452284904533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323.66880000000009</v>
      </c>
      <c r="P87" s="13">
        <f t="shared" si="87"/>
        <v>76.11621164769852</v>
      </c>
      <c r="Q87" s="20">
        <f t="shared" si="54"/>
        <v>696.29222861974176</v>
      </c>
      <c r="R87" s="59">
        <f t="shared" si="55"/>
        <v>989.62556195307502</v>
      </c>
      <c r="S87" s="59">
        <f ca="1">AVERAGE(OFFSET($R$3,0,0,'Données projet'!$E$9+1,1))-AVERAGE(OFFSET($H$3,0,0,'Données projet'!$E$9+1,1))</f>
        <v>342.91408684769942</v>
      </c>
      <c r="T87" s="59">
        <f t="shared" si="88"/>
        <v>209.92380505963234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49.038772941889782</v>
      </c>
      <c r="AA87" s="21">
        <f>EXP(-LN(2)/25)*AA86+(1-EXP(-LN(2)/25))/(LN(2)/25)*Calculateur!V87*Calculateur!X87*VLOOKUP('Données projet'!$B$9,Paramètres!$A$1:$I$89,3,0)*0.475*44/12</f>
        <v>4.6877860261853925</v>
      </c>
      <c r="AB87" s="21">
        <f>EXP(-LN(2)/2)*AB86+(1-EXP(-LN(2)/2))/(LN(2)/2)*V87*Y87*VLOOKUP('Données projet'!$B$9,Paramètres!$A$1:$I$89,3,0)*0.475*44/12</f>
        <v>0.81877152071454895</v>
      </c>
      <c r="AC87" s="22">
        <f t="shared" si="57"/>
        <v>54.545330488789723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432.99999999999989</v>
      </c>
      <c r="AJ87" s="13">
        <f>AI87*VLOOKUP('Données projet'!$B$10,Paramètres!$A$1:$I$89,3,0)*VLOOKUP('Données projet'!$B$10,Paramètres!$A$1:$I$89,5,0)</f>
        <v>290.45639999999992</v>
      </c>
      <c r="AK87" s="13">
        <f t="shared" si="89"/>
        <v>69.172009514864612</v>
      </c>
      <c r="AL87" s="20">
        <f t="shared" si="58"/>
        <v>626.3528132383891</v>
      </c>
      <c r="AM87" s="59">
        <f t="shared" si="59"/>
        <v>919.68614657172247</v>
      </c>
      <c r="AN87" s="59">
        <f ca="1">AVERAGE(OFFSET($AM$3,0,0,'Données projet'!$E$10+1,1))-AVERAGE(OFFSET($H$3,0,0,'Données projet'!$E$10+1,1))</f>
        <v>296.25231821504275</v>
      </c>
      <c r="AO87" s="59">
        <f t="shared" si="90"/>
        <v>316.20936902390275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36.316736720117149</v>
      </c>
      <c r="AV87" s="21">
        <f>EXP(-LN(2)/25)*AV86+(1-EXP(-LN(2)/25))/(LN(2)/25)*Calculateur!AQ87*Calculateur!AS87*VLOOKUP('Données projet'!$B$10,Paramètres!$A$1:$I$89,3,0)*0.475*44/12</f>
        <v>2.4733279768043972</v>
      </c>
      <c r="AW87" s="21">
        <f>EXP(-LN(2)/2)*AW86+(1-EXP(-LN(2)/2))/(LN(2)/2)*AQ87*AT87*VLOOKUP('Données projet'!$B$10,Paramètres!$A$1:$I$89,3,0)*0.475*44/12</f>
        <v>8.942072674353773E-3</v>
      </c>
      <c r="AX87" s="21">
        <f t="shared" si="60"/>
        <v>38.799006769595898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318.99999999999994</v>
      </c>
      <c r="BE87" s="13">
        <f>BD87*VLOOKUP('Données projet'!$B$11,Paramètres!$A$1:$I$89,3,0)*VLOOKUP('Données projet'!$B$11,Paramètres!$A$1:$I$89,5,0)</f>
        <v>253.79639999999995</v>
      </c>
      <c r="BF87" s="13">
        <f t="shared" si="91"/>
        <v>61.398168322280704</v>
      </c>
      <c r="BG87" s="20">
        <f t="shared" si="61"/>
        <v>548.9638731613054</v>
      </c>
      <c r="BH87" s="59">
        <f t="shared" si="62"/>
        <v>842.29720649463866</v>
      </c>
      <c r="BI87" s="59">
        <f ca="1">AVERAGE(OFFSET($BH$3,0,0,'Données projet'!$E$11+1,1))-AVERAGE(OFFSET($H$3,0,0,'Données projet'!$E$11+1,1))</f>
        <v>244.50301885429764</v>
      </c>
      <c r="BJ87" s="59">
        <f t="shared" si="92"/>
        <v>248.77995374147798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35.347559558788589</v>
      </c>
      <c r="BQ87" s="21">
        <f>EXP(-LN(2)/25)*BQ86+(1-EXP(-LN(2)/25))/(LN(2)/25)*Calculateur!BL87*Calculateur!BN87*VLOOKUP('Données projet'!$B$11,Paramètres!$A$1:$I$89,3,0)*0.475*44/12</f>
        <v>2.6996502208912467</v>
      </c>
      <c r="BR87" s="21">
        <f>EXP(-LN(2)/2)*BR86+(1-EXP(-LN(2)/2))/(LN(2)/2)*BL87*BO87*VLOOKUP('Données projet'!$B$11,Paramètres!$A$1:$I$89,3,0)*0.475*44/12</f>
        <v>0.15399477545684065</v>
      </c>
      <c r="BS87" s="22">
        <f t="shared" si="63"/>
        <v>38.20120455513667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1">
        <f t="shared" si="86"/>
        <v>20.726714411291841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67">
        <f t="shared" si="56"/>
        <v>458.76156093300006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330.56400000000008</v>
      </c>
      <c r="P88" s="13">
        <f t="shared" si="87"/>
        <v>77.547227137682853</v>
      </c>
      <c r="Q88" s="20">
        <f t="shared" si="54"/>
        <v>710.79372059813113</v>
      </c>
      <c r="R88" s="59">
        <f t="shared" si="55"/>
        <v>1004.1270539314644</v>
      </c>
      <c r="S88" s="59">
        <f ca="1">AVERAGE(OFFSET($R$3,0,0,'Données projet'!$E$9+1,1))-AVERAGE(OFFSET($H$3,0,0,'Données projet'!$E$9+1,1))</f>
        <v>342.91408684769942</v>
      </c>
      <c r="T88" s="59">
        <f t="shared" si="88"/>
        <v>209.92380505963234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0.30099999999999999</v>
      </c>
      <c r="X88" s="16">
        <f>IF(ISNA(VLOOKUP(A88,'Données projet'!$A$35:$I$55,6,0)),0%,VLOOKUP(A88,'Données projet'!$A$35:$I$55,6,0)*VLOOKUP('Données projet'!$B$9,Paramètres!$A$1:$I$89,7,0))</f>
        <v>2.1500000000000002E-2</v>
      </c>
      <c r="Y88" s="16">
        <f>IF(ISNA(VLOOKUP(A88,'Données projet'!$A$35:$I$55,7,0)),0%,VLOOKUP(A88,'Données projet'!$A$35:$I$55,7,0))</f>
        <v>0.1</v>
      </c>
      <c r="Z88" s="21">
        <f>EXP(-LN(2)/35)*Z87+(1-EXP(-LN(2)/35))/(LN(2)/35)*V88*W88*VLOOKUP('Données projet'!$B$9,Paramètres!$A$1:$I$89,3,0)*0.475*44/12</f>
        <v>57.524493534922939</v>
      </c>
      <c r="AA88" s="21">
        <f>EXP(-LN(2)/25)*AA87+(1-EXP(-LN(2)/25))/(LN(2)/25)*Calculateur!V88*Calculateur!X88*VLOOKUP('Données projet'!$B$9,Paramètres!$A$1:$I$89,3,0)*0.475*44/12</f>
        <v>5.231751359237383</v>
      </c>
      <c r="AB88" s="21">
        <f>EXP(-LN(2)/2)*AB87+(1-EXP(-LN(2)/2))/(LN(2)/2)*V88*Y88*VLOOKUP('Données projet'!$B$9,Paramètres!$A$1:$I$89,3,0)*0.475*44/12</f>
        <v>3.2578205104872975</v>
      </c>
      <c r="AC88" s="22">
        <f t="shared" si="57"/>
        <v>66.014065404647624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432.99999999999989</v>
      </c>
      <c r="AJ88" s="13">
        <f>AI88*VLOOKUP('Données projet'!$B$10,Paramètres!$A$1:$I$89,3,0)*VLOOKUP('Données projet'!$B$10,Paramètres!$A$1:$I$89,5,0)</f>
        <v>290.45639999999992</v>
      </c>
      <c r="AK88" s="13">
        <f t="shared" si="89"/>
        <v>69.172009514864612</v>
      </c>
      <c r="AL88" s="20">
        <f t="shared" si="58"/>
        <v>626.3528132383891</v>
      </c>
      <c r="AM88" s="59">
        <f t="shared" si="59"/>
        <v>919.68614657172247</v>
      </c>
      <c r="AN88" s="59">
        <f ca="1">AVERAGE(OFFSET($AM$3,0,0,'Données projet'!$E$10+1,1))-AVERAGE(OFFSET($H$3,0,0,'Données projet'!$E$10+1,1))</f>
        <v>296.25231821504275</v>
      </c>
      <c r="AO88" s="59">
        <f t="shared" si="90"/>
        <v>316.20936902390275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35.604587664057817</v>
      </c>
      <c r="AV88" s="21">
        <f>EXP(-LN(2)/25)*AV87+(1-EXP(-LN(2)/25))/(LN(2)/25)*Calculateur!AQ88*Calculateur!AS88*VLOOKUP('Données projet'!$B$10,Paramètres!$A$1:$I$89,3,0)*0.475*44/12</f>
        <v>2.4056946932120153</v>
      </c>
      <c r="AW88" s="21">
        <f>EXP(-LN(2)/2)*AW87+(1-EXP(-LN(2)/2))/(LN(2)/2)*AQ88*AT88*VLOOKUP('Données projet'!$B$10,Paramètres!$A$1:$I$89,3,0)*0.475*44/12</f>
        <v>6.3230002258984792E-3</v>
      </c>
      <c r="AX88" s="21">
        <f t="shared" si="60"/>
        <v>38.016605357495727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318.99999999999994</v>
      </c>
      <c r="BE88" s="13">
        <f>BD88*VLOOKUP('Données projet'!$B$11,Paramètres!$A$1:$I$89,3,0)*VLOOKUP('Données projet'!$B$11,Paramètres!$A$1:$I$89,5,0)</f>
        <v>253.79639999999995</v>
      </c>
      <c r="BF88" s="13">
        <f t="shared" si="91"/>
        <v>61.398168322280704</v>
      </c>
      <c r="BG88" s="20">
        <f t="shared" si="61"/>
        <v>548.9638731613054</v>
      </c>
      <c r="BH88" s="59">
        <f t="shared" si="62"/>
        <v>842.29720649463866</v>
      </c>
      <c r="BI88" s="59">
        <f ca="1">AVERAGE(OFFSET($BH$3,0,0,'Données projet'!$E$11+1,1))-AVERAGE(OFFSET($H$3,0,0,'Données projet'!$E$11+1,1))</f>
        <v>244.50301885429764</v>
      </c>
      <c r="BJ88" s="59">
        <f t="shared" si="92"/>
        <v>248.77995374147798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34.654415475723212</v>
      </c>
      <c r="BQ88" s="21">
        <f>EXP(-LN(2)/25)*BQ87+(1-EXP(-LN(2)/25))/(LN(2)/25)*Calculateur!BL88*Calculateur!BN88*VLOOKUP('Données projet'!$B$11,Paramètres!$A$1:$I$89,3,0)*0.475*44/12</f>
        <v>2.6258281436325408</v>
      </c>
      <c r="BR88" s="21">
        <f>EXP(-LN(2)/2)*BR87+(1-EXP(-LN(2)/2))/(LN(2)/2)*BL88*BO88*VLOOKUP('Données projet'!$B$11,Paramètres!$A$1:$I$89,3,0)*0.475*44/12</f>
        <v>0.10889074999283174</v>
      </c>
      <c r="BS88" s="22">
        <f t="shared" si="63"/>
        <v>37.389134369348582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1">
        <f t="shared" si="86"/>
        <v>20.942027818647599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67">
        <f t="shared" si="56"/>
        <v>460.65808511747798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308.66160000000008</v>
      </c>
      <c r="P89" s="13">
        <f t="shared" si="87"/>
        <v>72.98924863505313</v>
      </c>
      <c r="Q89" s="20">
        <f t="shared" si="54"/>
        <v>664.70856137271755</v>
      </c>
      <c r="R89" s="59">
        <f t="shared" si="55"/>
        <v>958.04189470605093</v>
      </c>
      <c r="S89" s="59">
        <f ca="1">AVERAGE(OFFSET($R$3,0,0,'Données projet'!$E$9+1,1))-AVERAGE(OFFSET($H$3,0,0,'Données projet'!$E$9+1,1))</f>
        <v>342.91408684769942</v>
      </c>
      <c r="T89" s="59">
        <f t="shared" si="88"/>
        <v>209.92380505963234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56.396473303179654</v>
      </c>
      <c r="AA89" s="21">
        <f>EXP(-LN(2)/25)*AA88+(1-EXP(-LN(2)/25))/(LN(2)/25)*Calculateur!V89*Calculateur!X89*VLOOKUP('Données projet'!$B$9,Paramètres!$A$1:$I$89,3,0)*0.475*44/12</f>
        <v>5.0886888431931903</v>
      </c>
      <c r="AB89" s="21">
        <f>EXP(-LN(2)/2)*AB88+(1-EXP(-LN(2)/2))/(LN(2)/2)*V89*Y89*VLOOKUP('Données projet'!$B$9,Paramètres!$A$1:$I$89,3,0)*0.475*44/12</f>
        <v>2.303626974854188</v>
      </c>
      <c r="AC89" s="22">
        <f t="shared" si="57"/>
        <v>63.788789121227033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432.99999999999989</v>
      </c>
      <c r="AJ89" s="13">
        <f>AI89*VLOOKUP('Données projet'!$B$10,Paramètres!$A$1:$I$89,3,0)*VLOOKUP('Données projet'!$B$10,Paramètres!$A$1:$I$89,5,0)</f>
        <v>290.45639999999992</v>
      </c>
      <c r="AK89" s="13">
        <f t="shared" si="89"/>
        <v>69.172009514864612</v>
      </c>
      <c r="AL89" s="20">
        <f t="shared" si="58"/>
        <v>626.3528132383891</v>
      </c>
      <c r="AM89" s="59">
        <f t="shared" si="59"/>
        <v>919.68614657172247</v>
      </c>
      <c r="AN89" s="59">
        <f ca="1">AVERAGE(OFFSET($AM$3,0,0,'Données projet'!$E$10+1,1))-AVERAGE(OFFSET($H$3,0,0,'Données projet'!$E$10+1,1))</f>
        <v>296.25231821504275</v>
      </c>
      <c r="AO89" s="59">
        <f t="shared" si="90"/>
        <v>316.20936902390275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34.906403416619774</v>
      </c>
      <c r="AV89" s="21">
        <f>EXP(-LN(2)/25)*AV88+(1-EXP(-LN(2)/25))/(LN(2)/25)*Calculateur!AQ89*Calculateur!AS89*VLOOKUP('Données projet'!$B$10,Paramètres!$A$1:$I$89,3,0)*0.475*44/12</f>
        <v>2.339910845316147</v>
      </c>
      <c r="AW89" s="21">
        <f>EXP(-LN(2)/2)*AW88+(1-EXP(-LN(2)/2))/(LN(2)/2)*AQ89*AT89*VLOOKUP('Données projet'!$B$10,Paramètres!$A$1:$I$89,3,0)*0.475*44/12</f>
        <v>4.4710363371768865E-3</v>
      </c>
      <c r="AX89" s="21">
        <f t="shared" si="60"/>
        <v>37.250785298273101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318.99999999999994</v>
      </c>
      <c r="BE89" s="13">
        <f>BD89*VLOOKUP('Données projet'!$B$11,Paramètres!$A$1:$I$89,3,0)*VLOOKUP('Données projet'!$B$11,Paramètres!$A$1:$I$89,5,0)</f>
        <v>253.79639999999995</v>
      </c>
      <c r="BF89" s="13">
        <f t="shared" si="91"/>
        <v>61.398168322280704</v>
      </c>
      <c r="BG89" s="20">
        <f t="shared" si="61"/>
        <v>548.9638731613054</v>
      </c>
      <c r="BH89" s="59">
        <f t="shared" si="62"/>
        <v>842.29720649463866</v>
      </c>
      <c r="BI89" s="59">
        <f ca="1">AVERAGE(OFFSET($BH$3,0,0,'Données projet'!$E$11+1,1))-AVERAGE(OFFSET($H$3,0,0,'Données projet'!$E$11+1,1))</f>
        <v>244.50301885429764</v>
      </c>
      <c r="BJ89" s="59">
        <f t="shared" si="92"/>
        <v>248.77995374147798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33.974863525350607</v>
      </c>
      <c r="BQ89" s="21">
        <f>EXP(-LN(2)/25)*BQ88+(1-EXP(-LN(2)/25))/(LN(2)/25)*Calculateur!BL89*Calculateur!BN89*VLOOKUP('Données projet'!$B$11,Paramètres!$A$1:$I$89,3,0)*0.475*44/12</f>
        <v>2.5540247349586083</v>
      </c>
      <c r="BR89" s="21">
        <f>EXP(-LN(2)/2)*BR88+(1-EXP(-LN(2)/2))/(LN(2)/2)*BL89*BO89*VLOOKUP('Données projet'!$B$11,Paramètres!$A$1:$I$89,3,0)*0.475*44/12</f>
        <v>7.6997387728420338E-2</v>
      </c>
      <c r="BS89" s="22">
        <f t="shared" si="63"/>
        <v>36.605885648037635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1">
        <f t="shared" si="86"/>
        <v>21.157049992000456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67">
        <f t="shared" si="56"/>
        <v>462.55410206940087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315.15120000000002</v>
      </c>
      <c r="P90" s="13">
        <f t="shared" si="87"/>
        <v>74.343571754005879</v>
      </c>
      <c r="Q90" s="20">
        <f t="shared" si="54"/>
        <v>678.37006080489357</v>
      </c>
      <c r="R90" s="59">
        <f t="shared" si="55"/>
        <v>971.70339413822694</v>
      </c>
      <c r="S90" s="59">
        <f ca="1">AVERAGE(OFFSET($R$3,0,0,'Données projet'!$E$9+1,1))-AVERAGE(OFFSET($H$3,0,0,'Données projet'!$E$9+1,1))</f>
        <v>342.91408684769942</v>
      </c>
      <c r="T90" s="59">
        <f t="shared" si="88"/>
        <v>209.92380505963234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55.290572860156452</v>
      </c>
      <c r="AA90" s="21">
        <f>EXP(-LN(2)/25)*AA89+(1-EXP(-LN(2)/25))/(LN(2)/25)*Calculateur!V90*Calculateur!X90*VLOOKUP('Données projet'!$B$9,Paramètres!$A$1:$I$89,3,0)*0.475*44/12</f>
        <v>4.949538379173557</v>
      </c>
      <c r="AB90" s="21">
        <f>EXP(-LN(2)/2)*AB89+(1-EXP(-LN(2)/2))/(LN(2)/2)*V90*Y90*VLOOKUP('Données projet'!$B$9,Paramètres!$A$1:$I$89,3,0)*0.475*44/12</f>
        <v>1.6289102552436487</v>
      </c>
      <c r="AC90" s="22">
        <f t="shared" si="57"/>
        <v>61.869021494573651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432.99999999999989</v>
      </c>
      <c r="AJ90" s="13">
        <f>AI90*VLOOKUP('Données projet'!$B$10,Paramètres!$A$1:$I$89,3,0)*VLOOKUP('Données projet'!$B$10,Paramètres!$A$1:$I$89,5,0)</f>
        <v>290.45639999999992</v>
      </c>
      <c r="AK90" s="13">
        <f t="shared" si="89"/>
        <v>69.172009514864612</v>
      </c>
      <c r="AL90" s="20">
        <f t="shared" si="58"/>
        <v>626.3528132383891</v>
      </c>
      <c r="AM90" s="59">
        <f t="shared" si="59"/>
        <v>919.68614657172247</v>
      </c>
      <c r="AN90" s="59">
        <f ca="1">AVERAGE(OFFSET($AM$3,0,0,'Données projet'!$E$10+1,1))-AVERAGE(OFFSET($H$3,0,0,'Données projet'!$E$10+1,1))</f>
        <v>296.25231821504275</v>
      </c>
      <c r="AO90" s="59">
        <f t="shared" si="90"/>
        <v>316.20936902390275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34.221910136423652</v>
      </c>
      <c r="AV90" s="21">
        <f>EXP(-LN(2)/25)*AV89+(1-EXP(-LN(2)/25))/(LN(2)/25)*Calculateur!AQ90*Calculateur!AS90*VLOOKUP('Données projet'!$B$10,Paramètres!$A$1:$I$89,3,0)*0.475*44/12</f>
        <v>2.2759258602004135</v>
      </c>
      <c r="AW90" s="21">
        <f>EXP(-LN(2)/2)*AW89+(1-EXP(-LN(2)/2))/(LN(2)/2)*AQ90*AT90*VLOOKUP('Données projet'!$B$10,Paramètres!$A$1:$I$89,3,0)*0.475*44/12</f>
        <v>3.1615001129492396E-3</v>
      </c>
      <c r="AX90" s="21">
        <f t="shared" si="60"/>
        <v>36.500997496737021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318.99999999999994</v>
      </c>
      <c r="BE90" s="13">
        <f>BD90*VLOOKUP('Données projet'!$B$11,Paramètres!$A$1:$I$89,3,0)*VLOOKUP('Données projet'!$B$11,Paramètres!$A$1:$I$89,5,0)</f>
        <v>253.79639999999995</v>
      </c>
      <c r="BF90" s="13">
        <f t="shared" si="91"/>
        <v>61.398168322280704</v>
      </c>
      <c r="BG90" s="20">
        <f t="shared" si="61"/>
        <v>548.9638731613054</v>
      </c>
      <c r="BH90" s="59">
        <f t="shared" si="62"/>
        <v>842.29720649463866</v>
      </c>
      <c r="BI90" s="59">
        <f ca="1">AVERAGE(OFFSET($BH$3,0,0,'Données projet'!$E$11+1,1))-AVERAGE(OFFSET($H$3,0,0,'Données projet'!$E$11+1,1))</f>
        <v>244.50301885429764</v>
      </c>
      <c r="BJ90" s="59">
        <f t="shared" si="92"/>
        <v>248.77995374147798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33.308637174239045</v>
      </c>
      <c r="BQ90" s="21">
        <f>EXP(-LN(2)/25)*BQ89+(1-EXP(-LN(2)/25))/(LN(2)/25)*Calculateur!BL90*Calculateur!BN90*VLOOKUP('Données projet'!$B$11,Paramètres!$A$1:$I$89,3,0)*0.475*44/12</f>
        <v>2.4841847942708415</v>
      </c>
      <c r="BR90" s="21">
        <f>EXP(-LN(2)/2)*BR89+(1-EXP(-LN(2)/2))/(LN(2)/2)*BL90*BO90*VLOOKUP('Données projet'!$B$11,Paramètres!$A$1:$I$89,3,0)*0.475*44/12</f>
        <v>5.4445374996415885E-2</v>
      </c>
      <c r="BS90" s="22">
        <f t="shared" si="63"/>
        <v>35.847267343506303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1">
        <f t="shared" si="86"/>
        <v>21.371784666185135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67">
        <f t="shared" si="56"/>
        <v>464.44961829360585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321.64080000000001</v>
      </c>
      <c r="P91" s="13">
        <f t="shared" si="87"/>
        <v>75.694652325793228</v>
      </c>
      <c r="Q91" s="20">
        <f t="shared" si="54"/>
        <v>692.0259128007566</v>
      </c>
      <c r="R91" s="59">
        <f t="shared" si="55"/>
        <v>985.35924613408997</v>
      </c>
      <c r="S91" s="59">
        <f ca="1">AVERAGE(OFFSET($R$3,0,0,'Données projet'!$E$9+1,1))-AVERAGE(OFFSET($H$3,0,0,'Données projet'!$E$9+1,1))</f>
        <v>342.91408684769942</v>
      </c>
      <c r="T91" s="59">
        <f t="shared" si="88"/>
        <v>209.92380505963234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54.20635845028827</v>
      </c>
      <c r="AA91" s="21">
        <f>EXP(-LN(2)/25)*AA90+(1-EXP(-LN(2)/25))/(LN(2)/25)*Calculateur!V91*Calculateur!X91*VLOOKUP('Données projet'!$B$9,Paramètres!$A$1:$I$89,3,0)*0.475*44/12</f>
        <v>4.8141929919101454</v>
      </c>
      <c r="AB91" s="21">
        <f>EXP(-LN(2)/2)*AB90+(1-EXP(-LN(2)/2))/(LN(2)/2)*V91*Y91*VLOOKUP('Données projet'!$B$9,Paramètres!$A$1:$I$89,3,0)*0.475*44/12</f>
        <v>1.151813487427094</v>
      </c>
      <c r="AC91" s="22">
        <f t="shared" si="57"/>
        <v>60.172364929625509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432.99999999999989</v>
      </c>
      <c r="AJ91" s="13">
        <f>AI91*VLOOKUP('Données projet'!$B$10,Paramètres!$A$1:$I$89,3,0)*VLOOKUP('Données projet'!$B$10,Paramètres!$A$1:$I$89,5,0)</f>
        <v>290.45639999999992</v>
      </c>
      <c r="AK91" s="13">
        <f t="shared" si="89"/>
        <v>69.172009514864612</v>
      </c>
      <c r="AL91" s="20">
        <f t="shared" si="58"/>
        <v>626.3528132383891</v>
      </c>
      <c r="AM91" s="59">
        <f t="shared" si="59"/>
        <v>919.68614657172247</v>
      </c>
      <c r="AN91" s="59">
        <f ca="1">AVERAGE(OFFSET($AM$3,0,0,'Données projet'!$E$10+1,1))-AVERAGE(OFFSET($H$3,0,0,'Données projet'!$E$10+1,1))</f>
        <v>296.25231821504275</v>
      </c>
      <c r="AO91" s="59">
        <f t="shared" si="90"/>
        <v>316.20936902390275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33.550839351952497</v>
      </c>
      <c r="AV91" s="21">
        <f>EXP(-LN(2)/25)*AV90+(1-EXP(-LN(2)/25))/(LN(2)/25)*Calculateur!AQ91*Calculateur!AS91*VLOOKUP('Données projet'!$B$10,Paramètres!$A$1:$I$89,3,0)*0.475*44/12</f>
        <v>2.2136905478674938</v>
      </c>
      <c r="AW91" s="21">
        <f>EXP(-LN(2)/2)*AW90+(1-EXP(-LN(2)/2))/(LN(2)/2)*AQ91*AT91*VLOOKUP('Données projet'!$B$10,Paramètres!$A$1:$I$89,3,0)*0.475*44/12</f>
        <v>2.2355181685884433E-3</v>
      </c>
      <c r="AX91" s="21">
        <f t="shared" si="60"/>
        <v>35.76676541798858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318.99999999999994</v>
      </c>
      <c r="BE91" s="13">
        <f>BD91*VLOOKUP('Données projet'!$B$11,Paramètres!$A$1:$I$89,3,0)*VLOOKUP('Données projet'!$B$11,Paramètres!$A$1:$I$89,5,0)</f>
        <v>253.79639999999995</v>
      </c>
      <c r="BF91" s="13">
        <f t="shared" si="91"/>
        <v>61.398168322280704</v>
      </c>
      <c r="BG91" s="20">
        <f t="shared" si="61"/>
        <v>548.9638731613054</v>
      </c>
      <c r="BH91" s="59">
        <f t="shared" si="62"/>
        <v>842.29720649463866</v>
      </c>
      <c r="BI91" s="59">
        <f ca="1">AVERAGE(OFFSET($BH$3,0,0,'Données projet'!$E$11+1,1))-AVERAGE(OFFSET($H$3,0,0,'Données projet'!$E$11+1,1))</f>
        <v>244.50301885429764</v>
      </c>
      <c r="BJ91" s="59">
        <f t="shared" si="92"/>
        <v>248.77995374147798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32.655475115514832</v>
      </c>
      <c r="BQ91" s="21">
        <f>EXP(-LN(2)/25)*BQ90+(1-EXP(-LN(2)/25))/(LN(2)/25)*Calculateur!BL91*Calculateur!BN91*VLOOKUP('Données projet'!$B$11,Paramètres!$A$1:$I$89,3,0)*0.475*44/12</f>
        <v>2.4162546304339045</v>
      </c>
      <c r="BR91" s="21">
        <f>EXP(-LN(2)/2)*BR90+(1-EXP(-LN(2)/2))/(LN(2)/2)*BL91*BO91*VLOOKUP('Données projet'!$B$11,Paramètres!$A$1:$I$89,3,0)*0.475*44/12</f>
        <v>3.8498693864210176E-2</v>
      </c>
      <c r="BS91" s="22">
        <f t="shared" si="63"/>
        <v>35.11022843981295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1">
        <f t="shared" si="86"/>
        <v>21.586235486267142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67">
        <f t="shared" si="56"/>
        <v>466.34464013858201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328.13039999999995</v>
      </c>
      <c r="P92" s="13">
        <f t="shared" si="87"/>
        <v>77.042563313388285</v>
      </c>
      <c r="Q92" s="20">
        <f t="shared" si="54"/>
        <v>705.67624443748446</v>
      </c>
      <c r="R92" s="59">
        <f t="shared" si="55"/>
        <v>999.00957777081771</v>
      </c>
      <c r="S92" s="59">
        <f ca="1">AVERAGE(OFFSET($R$3,0,0,'Données projet'!$E$9+1,1))-AVERAGE(OFFSET($H$3,0,0,'Données projet'!$E$9+1,1))</f>
        <v>342.91408684769942</v>
      </c>
      <c r="T92" s="59">
        <f t="shared" si="88"/>
        <v>209.92380505963234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53.143404823692109</v>
      </c>
      <c r="AA92" s="21">
        <f>EXP(-LN(2)/25)*AA91+(1-EXP(-LN(2)/25))/(LN(2)/25)*Calculateur!V92*Calculateur!X92*VLOOKUP('Données projet'!$B$9,Paramètres!$A$1:$I$89,3,0)*0.475*44/12</f>
        <v>4.6825486313789559</v>
      </c>
      <c r="AB92" s="21">
        <f>EXP(-LN(2)/2)*AB91+(1-EXP(-LN(2)/2))/(LN(2)/2)*V92*Y92*VLOOKUP('Données projet'!$B$9,Paramètres!$A$1:$I$89,3,0)*0.475*44/12</f>
        <v>0.81445512762182437</v>
      </c>
      <c r="AC92" s="22">
        <f t="shared" si="57"/>
        <v>58.640408582692892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432.99999999999989</v>
      </c>
      <c r="AJ92" s="13">
        <f>AI92*VLOOKUP('Données projet'!$B$10,Paramètres!$A$1:$I$89,3,0)*VLOOKUP('Données projet'!$B$10,Paramètres!$A$1:$I$89,5,0)</f>
        <v>290.45639999999992</v>
      </c>
      <c r="AK92" s="13">
        <f t="shared" si="89"/>
        <v>69.172009514864612</v>
      </c>
      <c r="AL92" s="20">
        <f t="shared" si="58"/>
        <v>626.3528132383891</v>
      </c>
      <c r="AM92" s="59">
        <f t="shared" si="59"/>
        <v>919.68614657172247</v>
      </c>
      <c r="AN92" s="59">
        <f ca="1">AVERAGE(OFFSET($AM$3,0,0,'Données projet'!$E$10+1,1))-AVERAGE(OFFSET($H$3,0,0,'Données projet'!$E$10+1,1))</f>
        <v>296.25231821504275</v>
      </c>
      <c r="AO92" s="59">
        <f t="shared" si="90"/>
        <v>316.20936902390275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32.892927856252065</v>
      </c>
      <c r="AV92" s="21">
        <f>EXP(-LN(2)/25)*AV91+(1-EXP(-LN(2)/25))/(LN(2)/25)*Calculateur!AQ92*Calculateur!AS92*VLOOKUP('Données projet'!$B$10,Paramètres!$A$1:$I$89,3,0)*0.475*44/12</f>
        <v>2.1531570634231305</v>
      </c>
      <c r="AW92" s="21">
        <f>EXP(-LN(2)/2)*AW91+(1-EXP(-LN(2)/2))/(LN(2)/2)*AQ92*AT92*VLOOKUP('Données projet'!$B$10,Paramètres!$A$1:$I$89,3,0)*0.475*44/12</f>
        <v>1.5807500564746198E-3</v>
      </c>
      <c r="AX92" s="21">
        <f t="shared" si="60"/>
        <v>35.047665669731671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318.99999999999994</v>
      </c>
      <c r="BE92" s="13">
        <f>BD92*VLOOKUP('Données projet'!$B$11,Paramètres!$A$1:$I$89,3,0)*VLOOKUP('Données projet'!$B$11,Paramètres!$A$1:$I$89,5,0)</f>
        <v>253.79639999999995</v>
      </c>
      <c r="BF92" s="13">
        <f t="shared" si="91"/>
        <v>61.398168322280704</v>
      </c>
      <c r="BG92" s="20">
        <f t="shared" si="61"/>
        <v>548.9638731613054</v>
      </c>
      <c r="BH92" s="59">
        <f t="shared" si="62"/>
        <v>842.29720649463866</v>
      </c>
      <c r="BI92" s="59">
        <f ca="1">AVERAGE(OFFSET($BH$3,0,0,'Données projet'!$E$11+1,1))-AVERAGE(OFFSET($H$3,0,0,'Données projet'!$E$11+1,1))</f>
        <v>244.50301885429764</v>
      </c>
      <c r="BJ92" s="59">
        <f t="shared" si="92"/>
        <v>248.77995374147798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32.01512116637268</v>
      </c>
      <c r="BQ92" s="21">
        <f>EXP(-LN(2)/25)*BQ91+(1-EXP(-LN(2)/25))/(LN(2)/25)*Calculateur!BL92*Calculateur!BN92*VLOOKUP('Données projet'!$B$11,Paramètres!$A$1:$I$89,3,0)*0.475*44/12</f>
        <v>2.3501820204993806</v>
      </c>
      <c r="BR92" s="21">
        <f>EXP(-LN(2)/2)*BR91+(1-EXP(-LN(2)/2))/(LN(2)/2)*BL92*BO92*VLOOKUP('Données projet'!$B$11,Paramètres!$A$1:$I$89,3,0)*0.475*44/12</f>
        <v>2.7222687498207946E-2</v>
      </c>
      <c r="BS92" s="22">
        <f t="shared" si="63"/>
        <v>34.392525874370271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1">
        <f t="shared" si="86"/>
        <v>21.800406010684462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67">
        <f t="shared" si="56"/>
        <v>468.23917380194217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334.61999999999995</v>
      </c>
      <c r="P93" s="13">
        <f t="shared" si="87"/>
        <v>78.387374628661505</v>
      </c>
      <c r="Q93" s="20">
        <f t="shared" si="54"/>
        <v>719.32117747825203</v>
      </c>
      <c r="R93" s="59">
        <f t="shared" si="55"/>
        <v>1012.6545108115854</v>
      </c>
      <c r="S93" s="59">
        <f ca="1">AVERAGE(OFFSET($R$3,0,0,'Données projet'!$E$9+1,1))-AVERAGE(OFFSET($H$3,0,0,'Données projet'!$E$9+1,1))</f>
        <v>342.91408684769942</v>
      </c>
      <c r="T93" s="59">
        <f t="shared" si="88"/>
        <v>209.92380505963234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0.34400000000000003</v>
      </c>
      <c r="X93" s="16">
        <f>IF(ISNA(VLOOKUP(A93,'Données projet'!$A$35:$I$55,6,0)),0%,VLOOKUP(A93,'Données projet'!$A$35:$I$55,6,0)*VLOOKUP('Données projet'!$B$9,Paramètres!$A$1:$I$89,7,0))</f>
        <v>1.72E-2</v>
      </c>
      <c r="Y93" s="16">
        <f>IF(ISNA(VLOOKUP(A93,'Données projet'!$A$35:$I$55,7,0)),0%,VLOOKUP(A93,'Données projet'!$A$35:$I$55,7,0))</f>
        <v>0.06</v>
      </c>
      <c r="Z93" s="21">
        <f>EXP(-LN(2)/35)*Z92+(1-EXP(-LN(2)/35))/(LN(2)/35)*V93*W93*VLOOKUP('Données projet'!$B$9,Paramètres!$A$1:$I$89,3,0)*0.475*44/12</f>
        <v>62.89825623477644</v>
      </c>
      <c r="AA93" s="21">
        <f>EXP(-LN(2)/25)*AA92+(1-EXP(-LN(2)/25))/(LN(2)/25)*Calculateur!V93*Calculateur!X93*VLOOKUP('Données projet'!$B$9,Paramètres!$A$1:$I$89,3,0)*0.475*44/12</f>
        <v>5.0922265635757542</v>
      </c>
      <c r="AB93" s="21">
        <f>EXP(-LN(2)/2)*AB92+(1-EXP(-LN(2)/2))/(LN(2)/2)*V93*Y93*VLOOKUP('Données projet'!$B$9,Paramètres!$A$1:$I$89,3,0)*0.475*44/12</f>
        <v>2.1832237132821177</v>
      </c>
      <c r="AC93" s="22">
        <f t="shared" si="57"/>
        <v>70.173706511634308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432.99999999999989</v>
      </c>
      <c r="AJ93" s="13">
        <f>AI93*VLOOKUP('Données projet'!$B$10,Paramètres!$A$1:$I$89,3,0)*VLOOKUP('Données projet'!$B$10,Paramètres!$A$1:$I$89,5,0)</f>
        <v>290.45639999999992</v>
      </c>
      <c r="AK93" s="13">
        <f t="shared" si="89"/>
        <v>69.172009514864612</v>
      </c>
      <c r="AL93" s="20">
        <f t="shared" si="58"/>
        <v>626.3528132383891</v>
      </c>
      <c r="AM93" s="59">
        <f t="shared" si="59"/>
        <v>919.68614657172247</v>
      </c>
      <c r="AN93" s="59">
        <f ca="1">AVERAGE(OFFSET($AM$3,0,0,'Données projet'!$E$10+1,1))-AVERAGE(OFFSET($H$3,0,0,'Données projet'!$E$10+1,1))</f>
        <v>296.25231821504275</v>
      </c>
      <c r="AO93" s="59">
        <f t="shared" si="90"/>
        <v>316.20936902390275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32.247917603695925</v>
      </c>
      <c r="AV93" s="21">
        <f>EXP(-LN(2)/25)*AV92+(1-EXP(-LN(2)/25))/(LN(2)/25)*Calculateur!AQ93*Calculateur!AS93*VLOOKUP('Données projet'!$B$10,Paramètres!$A$1:$I$89,3,0)*0.475*44/12</f>
        <v>2.0942788702942163</v>
      </c>
      <c r="AW93" s="21">
        <f>EXP(-LN(2)/2)*AW92+(1-EXP(-LN(2)/2))/(LN(2)/2)*AQ93*AT93*VLOOKUP('Données projet'!$B$10,Paramètres!$A$1:$I$89,3,0)*0.475*44/12</f>
        <v>1.1177590842942216E-3</v>
      </c>
      <c r="AX93" s="21">
        <f t="shared" si="60"/>
        <v>34.343314233074437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318.99999999999994</v>
      </c>
      <c r="BE93" s="13">
        <f>BD93*VLOOKUP('Données projet'!$B$11,Paramètres!$A$1:$I$89,3,0)*VLOOKUP('Données projet'!$B$11,Paramètres!$A$1:$I$89,5,0)</f>
        <v>253.79639999999995</v>
      </c>
      <c r="BF93" s="13">
        <f t="shared" si="91"/>
        <v>61.398168322280704</v>
      </c>
      <c r="BG93" s="20">
        <f t="shared" si="61"/>
        <v>548.9638731613054</v>
      </c>
      <c r="BH93" s="59">
        <f t="shared" si="62"/>
        <v>842.29720649463866</v>
      </c>
      <c r="BI93" s="59">
        <f ca="1">AVERAGE(OFFSET($BH$3,0,0,'Données projet'!$E$11+1,1))-AVERAGE(OFFSET($H$3,0,0,'Données projet'!$E$11+1,1))</f>
        <v>244.50301885429764</v>
      </c>
      <c r="BJ93" s="59">
        <f t="shared" si="92"/>
        <v>248.77995374147798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31.387324167595864</v>
      </c>
      <c r="BQ93" s="21">
        <f>EXP(-LN(2)/25)*BQ92+(1-EXP(-LN(2)/25))/(LN(2)/25)*Calculateur!BL93*Calculateur!BN93*VLOOKUP('Données projet'!$B$11,Paramètres!$A$1:$I$89,3,0)*0.475*44/12</f>
        <v>2.2859161695581238</v>
      </c>
      <c r="BR93" s="21">
        <f>EXP(-LN(2)/2)*BR92+(1-EXP(-LN(2)/2))/(LN(2)/2)*BL93*BO93*VLOOKUP('Données projet'!$B$11,Paramètres!$A$1:$I$89,3,0)*0.475*44/12</f>
        <v>1.9249346932105092E-2</v>
      </c>
      <c r="BS93" s="22">
        <f t="shared" si="63"/>
        <v>33.692489684086091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1">
        <f t="shared" si="86"/>
        <v>22.014299714245357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67">
        <f t="shared" si="56"/>
        <v>470.13322533564406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312.51479999999992</v>
      </c>
      <c r="P94" s="13">
        <f t="shared" si="87"/>
        <v>73.793773289024969</v>
      </c>
      <c r="Q94" s="20">
        <f t="shared" si="54"/>
        <v>672.82076514505172</v>
      </c>
      <c r="R94" s="59">
        <f t="shared" si="55"/>
        <v>966.15409847838509</v>
      </c>
      <c r="S94" s="59">
        <f ca="1">AVERAGE(OFFSET($R$3,0,0,'Données projet'!$E$9+1,1))-AVERAGE(OFFSET($H$3,0,0,'Données projet'!$E$9+1,1))</f>
        <v>342.91408684769942</v>
      </c>
      <c r="T94" s="59">
        <f t="shared" si="88"/>
        <v>209.92380505963234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61.664859794160634</v>
      </c>
      <c r="AA94" s="21">
        <f>EXP(-LN(2)/25)*AA93+(1-EXP(-LN(2)/25))/(LN(2)/25)*Calculateur!V94*Calculateur!X94*VLOOKUP('Données projet'!$B$9,Paramètres!$A$1:$I$89,3,0)*0.475*44/12</f>
        <v>4.9529793604062187</v>
      </c>
      <c r="AB94" s="21">
        <f>EXP(-LN(2)/2)*AB93+(1-EXP(-LN(2)/2))/(LN(2)/2)*V94*Y94*VLOOKUP('Données projet'!$B$9,Paramètres!$A$1:$I$89,3,0)*0.475*44/12</f>
        <v>1.5437722925090602</v>
      </c>
      <c r="AC94" s="22">
        <f t="shared" si="57"/>
        <v>68.161611447075913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432.99999999999989</v>
      </c>
      <c r="AJ94" s="13">
        <f>AI94*VLOOKUP('Données projet'!$B$10,Paramètres!$A$1:$I$89,3,0)*VLOOKUP('Données projet'!$B$10,Paramètres!$A$1:$I$89,5,0)</f>
        <v>290.45639999999992</v>
      </c>
      <c r="AK94" s="13">
        <f t="shared" si="89"/>
        <v>69.172009514864612</v>
      </c>
      <c r="AL94" s="20">
        <f t="shared" si="58"/>
        <v>626.3528132383891</v>
      </c>
      <c r="AM94" s="59">
        <f t="shared" si="59"/>
        <v>919.68614657172247</v>
      </c>
      <c r="AN94" s="59">
        <f ca="1">AVERAGE(OFFSET($AM$3,0,0,'Données projet'!$E$10+1,1))-AVERAGE(OFFSET($H$3,0,0,'Données projet'!$E$10+1,1))</f>
        <v>296.25231821504275</v>
      </c>
      <c r="AO94" s="59">
        <f t="shared" si="90"/>
        <v>316.20936902390275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31.615555608775004</v>
      </c>
      <c r="AV94" s="21">
        <f>EXP(-LN(2)/25)*AV93+(1-EXP(-LN(2)/25))/(LN(2)/25)*Calculateur!AQ94*Calculateur!AS94*VLOOKUP('Données projet'!$B$10,Paramètres!$A$1:$I$89,3,0)*0.475*44/12</f>
        <v>2.037010704452682</v>
      </c>
      <c r="AW94" s="21">
        <f>EXP(-LN(2)/2)*AW93+(1-EXP(-LN(2)/2))/(LN(2)/2)*AQ94*AT94*VLOOKUP('Données projet'!$B$10,Paramètres!$A$1:$I$89,3,0)*0.475*44/12</f>
        <v>7.903750282373099E-4</v>
      </c>
      <c r="AX94" s="21">
        <f t="shared" si="60"/>
        <v>33.653356688255926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318.99999999999994</v>
      </c>
      <c r="BE94" s="13">
        <f>BD94*VLOOKUP('Données projet'!$B$11,Paramètres!$A$1:$I$89,3,0)*VLOOKUP('Données projet'!$B$11,Paramètres!$A$1:$I$89,5,0)</f>
        <v>253.79639999999995</v>
      </c>
      <c r="BF94" s="13">
        <f t="shared" si="91"/>
        <v>61.398168322280704</v>
      </c>
      <c r="BG94" s="20">
        <f t="shared" si="61"/>
        <v>548.9638731613054</v>
      </c>
      <c r="BH94" s="59">
        <f t="shared" si="62"/>
        <v>842.29720649463866</v>
      </c>
      <c r="BI94" s="59">
        <f ca="1">AVERAGE(OFFSET($BH$3,0,0,'Données projet'!$E$11+1,1))-AVERAGE(OFFSET($H$3,0,0,'Données projet'!$E$11+1,1))</f>
        <v>244.50301885429764</v>
      </c>
      <c r="BJ94" s="59">
        <f t="shared" si="92"/>
        <v>248.77995374147798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30.7718378850467</v>
      </c>
      <c r="BQ94" s="21">
        <f>EXP(-LN(2)/25)*BQ93+(1-EXP(-LN(2)/25))/(LN(2)/25)*Calculateur!BL94*Calculateur!BN94*VLOOKUP('Données projet'!$B$11,Paramètres!$A$1:$I$89,3,0)*0.475*44/12</f>
        <v>2.2234076716904503</v>
      </c>
      <c r="BR94" s="21">
        <f>EXP(-LN(2)/2)*BR93+(1-EXP(-LN(2)/2))/(LN(2)/2)*BL94*BO94*VLOOKUP('Données projet'!$B$11,Paramètres!$A$1:$I$89,3,0)*0.475*44/12</f>
        <v>1.3611343749103976E-2</v>
      </c>
      <c r="BS94" s="22">
        <f t="shared" si="63"/>
        <v>33.008856900486258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1">
        <f t="shared" si="86"/>
        <v>22.227919990990831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67">
        <f t="shared" si="56"/>
        <v>472.0268006509757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318.80159999999995</v>
      </c>
      <c r="P95" s="13">
        <f t="shared" si="87"/>
        <v>75.103948812522063</v>
      </c>
      <c r="Q95" s="20">
        <f t="shared" si="54"/>
        <v>686.05216418180908</v>
      </c>
      <c r="R95" s="59">
        <f t="shared" si="55"/>
        <v>979.38549751514233</v>
      </c>
      <c r="S95" s="59">
        <f ca="1">AVERAGE(OFFSET($R$3,0,0,'Données projet'!$E$9+1,1))-AVERAGE(OFFSET($H$3,0,0,'Données projet'!$E$9+1,1))</f>
        <v>342.91408684769942</v>
      </c>
      <c r="T95" s="59">
        <f t="shared" si="88"/>
        <v>209.92380505963234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60.455649505447759</v>
      </c>
      <c r="AA95" s="21">
        <f>EXP(-LN(2)/25)*AA94+(1-EXP(-LN(2)/25))/(LN(2)/25)*Calculateur!V95*Calculateur!X95*VLOOKUP('Données projet'!$B$9,Paramètres!$A$1:$I$89,3,0)*0.475*44/12</f>
        <v>4.8175398793300461</v>
      </c>
      <c r="AB95" s="21">
        <f>EXP(-LN(2)/2)*AB94+(1-EXP(-LN(2)/2))/(LN(2)/2)*V95*Y95*VLOOKUP('Données projet'!$B$9,Paramètres!$A$1:$I$89,3,0)*0.475*44/12</f>
        <v>1.0916118566410589</v>
      </c>
      <c r="AC95" s="22">
        <f t="shared" si="57"/>
        <v>66.36480124141886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432.99999999999989</v>
      </c>
      <c r="AJ95" s="13">
        <f>AI95*VLOOKUP('Données projet'!$B$10,Paramètres!$A$1:$I$89,3,0)*VLOOKUP('Données projet'!$B$10,Paramètres!$A$1:$I$89,5,0)</f>
        <v>290.45639999999992</v>
      </c>
      <c r="AK95" s="13">
        <f t="shared" si="89"/>
        <v>69.172009514864612</v>
      </c>
      <c r="AL95" s="20">
        <f t="shared" si="58"/>
        <v>626.3528132383891</v>
      </c>
      <c r="AM95" s="59">
        <f t="shared" si="59"/>
        <v>919.68614657172247</v>
      </c>
      <c r="AN95" s="59">
        <f ca="1">AVERAGE(OFFSET($AM$3,0,0,'Données projet'!$E$10+1,1))-AVERAGE(OFFSET($H$3,0,0,'Données projet'!$E$10+1,1))</f>
        <v>296.25231821504275</v>
      </c>
      <c r="AO95" s="59">
        <f t="shared" si="90"/>
        <v>316.20936902390275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30.995593846871753</v>
      </c>
      <c r="AV95" s="21">
        <f>EXP(-LN(2)/25)*AV94+(1-EXP(-LN(2)/25))/(LN(2)/25)*Calculateur!AQ95*Calculateur!AS95*VLOOKUP('Données projet'!$B$10,Paramètres!$A$1:$I$89,3,0)*0.475*44/12</f>
        <v>1.9813085396176862</v>
      </c>
      <c r="AW95" s="21">
        <f>EXP(-LN(2)/2)*AW94+(1-EXP(-LN(2)/2))/(LN(2)/2)*AQ95*AT95*VLOOKUP('Données projet'!$B$10,Paramètres!$A$1:$I$89,3,0)*0.475*44/12</f>
        <v>5.5887954214711081E-4</v>
      </c>
      <c r="AX95" s="21">
        <f t="shared" si="60"/>
        <v>32.97746126603159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318.99999999999994</v>
      </c>
      <c r="BE95" s="13">
        <f>BD95*VLOOKUP('Données projet'!$B$11,Paramètres!$A$1:$I$89,3,0)*VLOOKUP('Données projet'!$B$11,Paramètres!$A$1:$I$89,5,0)</f>
        <v>253.79639999999995</v>
      </c>
      <c r="BF95" s="13">
        <f t="shared" si="91"/>
        <v>61.398168322280704</v>
      </c>
      <c r="BG95" s="20">
        <f t="shared" si="61"/>
        <v>548.9638731613054</v>
      </c>
      <c r="BH95" s="59">
        <f t="shared" si="62"/>
        <v>842.29720649463866</v>
      </c>
      <c r="BI95" s="59">
        <f ca="1">AVERAGE(OFFSET($BH$3,0,0,'Données projet'!$E$11+1,1))-AVERAGE(OFFSET($H$3,0,0,'Données projet'!$E$11+1,1))</f>
        <v>244.50301885429764</v>
      </c>
      <c r="BJ95" s="59">
        <f t="shared" si="92"/>
        <v>248.77995374147798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30.168420913088763</v>
      </c>
      <c r="BQ95" s="21">
        <f>EXP(-LN(2)/25)*BQ94+(1-EXP(-LN(2)/25))/(LN(2)/25)*Calculateur!BL95*Calculateur!BN95*VLOOKUP('Données projet'!$B$11,Paramètres!$A$1:$I$89,3,0)*0.475*44/12</f>
        <v>2.162608471984147</v>
      </c>
      <c r="BR95" s="21">
        <f>EXP(-LN(2)/2)*BR94+(1-EXP(-LN(2)/2))/(LN(2)/2)*BL95*BO95*VLOOKUP('Données projet'!$B$11,Paramètres!$A$1:$I$89,3,0)*0.475*44/12</f>
        <v>9.6246734660525475E-3</v>
      </c>
      <c r="BS95" s="22">
        <f t="shared" si="63"/>
        <v>32.340654058538959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1">
        <f t="shared" si="86"/>
        <v>22.441270156928979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67">
        <f t="shared" si="56"/>
        <v>473.91990552331799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325.08839999999992</v>
      </c>
      <c r="P96" s="13">
        <f t="shared" si="87"/>
        <v>76.411120176279823</v>
      </c>
      <c r="Q96" s="20">
        <f t="shared" si="54"/>
        <v>699.27833097368728</v>
      </c>
      <c r="R96" s="59">
        <f t="shared" si="55"/>
        <v>992.61166430702065</v>
      </c>
      <c r="S96" s="59">
        <f ca="1">AVERAGE(OFFSET($R$3,0,0,'Données projet'!$E$9+1,1))-AVERAGE(OFFSET($H$3,0,0,'Données projet'!$E$9+1,1))</f>
        <v>342.91408684769942</v>
      </c>
      <c r="T96" s="59">
        <f t="shared" si="88"/>
        <v>209.92380505963234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59.270151092951089</v>
      </c>
      <c r="AA96" s="21">
        <f>EXP(-LN(2)/25)*AA95+(1-EXP(-LN(2)/25))/(LN(2)/25)*Calculateur!V96*Calculateur!X96*VLOOKUP('Données projet'!$B$9,Paramètres!$A$1:$I$89,3,0)*0.475*44/12</f>
        <v>4.6858039979863548</v>
      </c>
      <c r="AB96" s="21">
        <f>EXP(-LN(2)/2)*AB95+(1-EXP(-LN(2)/2))/(LN(2)/2)*V96*Y96*VLOOKUP('Données projet'!$B$9,Paramètres!$A$1:$I$89,3,0)*0.475*44/12</f>
        <v>0.77188614625453011</v>
      </c>
      <c r="AC96" s="22">
        <f t="shared" si="57"/>
        <v>64.727841237191967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432.99999999999989</v>
      </c>
      <c r="AJ96" s="13">
        <f>AI96*VLOOKUP('Données projet'!$B$10,Paramètres!$A$1:$I$89,3,0)*VLOOKUP('Données projet'!$B$10,Paramètres!$A$1:$I$89,5,0)</f>
        <v>290.45639999999992</v>
      </c>
      <c r="AK96" s="13">
        <f t="shared" si="89"/>
        <v>69.172009514864612</v>
      </c>
      <c r="AL96" s="20">
        <f t="shared" si="58"/>
        <v>626.3528132383891</v>
      </c>
      <c r="AM96" s="59">
        <f t="shared" si="59"/>
        <v>919.68614657172247</v>
      </c>
      <c r="AN96" s="59">
        <f ca="1">AVERAGE(OFFSET($AM$3,0,0,'Données projet'!$E$10+1,1))-AVERAGE(OFFSET($H$3,0,0,'Données projet'!$E$10+1,1))</f>
        <v>296.25231821504275</v>
      </c>
      <c r="AO96" s="59">
        <f t="shared" si="90"/>
        <v>316.20936902390275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30.387789156980087</v>
      </c>
      <c r="AV96" s="21">
        <f>EXP(-LN(2)/25)*AV95+(1-EXP(-LN(2)/25))/(LN(2)/25)*Calculateur!AQ96*Calculateur!AS96*VLOOKUP('Données projet'!$B$10,Paramètres!$A$1:$I$89,3,0)*0.475*44/12</f>
        <v>1.9271295534093529</v>
      </c>
      <c r="AW96" s="21">
        <f>EXP(-LN(2)/2)*AW95+(1-EXP(-LN(2)/2))/(LN(2)/2)*AQ96*AT96*VLOOKUP('Données projet'!$B$10,Paramètres!$A$1:$I$89,3,0)*0.475*44/12</f>
        <v>3.9518751411865495E-4</v>
      </c>
      <c r="AX96" s="21">
        <f t="shared" si="60"/>
        <v>32.315313897903557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318.99999999999994</v>
      </c>
      <c r="BE96" s="13">
        <f>BD96*VLOOKUP('Données projet'!$B$11,Paramètres!$A$1:$I$89,3,0)*VLOOKUP('Données projet'!$B$11,Paramètres!$A$1:$I$89,5,0)</f>
        <v>253.79639999999995</v>
      </c>
      <c r="BF96" s="13">
        <f t="shared" si="91"/>
        <v>61.398168322280704</v>
      </c>
      <c r="BG96" s="20">
        <f t="shared" si="61"/>
        <v>548.9638731613054</v>
      </c>
      <c r="BH96" s="59">
        <f t="shared" si="62"/>
        <v>842.29720649463866</v>
      </c>
      <c r="BI96" s="59">
        <f ca="1">AVERAGE(OFFSET($BH$3,0,0,'Données projet'!$E$11+1,1))-AVERAGE(OFFSET($H$3,0,0,'Données projet'!$E$11+1,1))</f>
        <v>244.50301885429764</v>
      </c>
      <c r="BJ96" s="59">
        <f t="shared" si="92"/>
        <v>248.77995374147798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29.57683657990291</v>
      </c>
      <c r="BQ96" s="21">
        <f>EXP(-LN(2)/25)*BQ95+(1-EXP(-LN(2)/25))/(LN(2)/25)*Calculateur!BL96*Calculateur!BN96*VLOOKUP('Données projet'!$B$11,Paramètres!$A$1:$I$89,3,0)*0.475*44/12</f>
        <v>2.1034718295911037</v>
      </c>
      <c r="BR96" s="21">
        <f>EXP(-LN(2)/2)*BR95+(1-EXP(-LN(2)/2))/(LN(2)/2)*BL96*BO96*VLOOKUP('Données projet'!$B$11,Paramètres!$A$1:$I$89,3,0)*0.475*44/12</f>
        <v>6.8056718745519891E-3</v>
      </c>
      <c r="BS96" s="22">
        <f t="shared" si="63"/>
        <v>31.687114081368566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1">
        <f t="shared" si="86"/>
        <v>22.654353452648408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67">
        <f t="shared" si="56"/>
        <v>475.81254559669605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331.37519999999989</v>
      </c>
      <c r="P97" s="13">
        <f t="shared" si="87"/>
        <v>77.715352174616896</v>
      </c>
      <c r="Q97" s="20">
        <f t="shared" si="54"/>
        <v>712.49937837079085</v>
      </c>
      <c r="R97" s="59">
        <f t="shared" si="55"/>
        <v>1005.8327117041242</v>
      </c>
      <c r="S97" s="59">
        <f ca="1">AVERAGE(OFFSET($R$3,0,0,'Données projet'!$E$9+1,1))-AVERAGE(OFFSET($H$3,0,0,'Données projet'!$E$9+1,1))</f>
        <v>342.91408684769942</v>
      </c>
      <c r="T97" s="59">
        <f t="shared" si="88"/>
        <v>209.92380505963234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58.107899581240851</v>
      </c>
      <c r="AA97" s="21">
        <f>EXP(-LN(2)/25)*AA96+(1-EXP(-LN(2)/25))/(LN(2)/25)*Calculateur!V97*Calculateur!X97*VLOOKUP('Données projet'!$B$9,Paramètres!$A$1:$I$89,3,0)*0.475*44/12</f>
        <v>4.557670441245695</v>
      </c>
      <c r="AB97" s="21">
        <f>EXP(-LN(2)/2)*AB96+(1-EXP(-LN(2)/2))/(LN(2)/2)*V97*Y97*VLOOKUP('Données projet'!$B$9,Paramètres!$A$1:$I$89,3,0)*0.475*44/12</f>
        <v>0.54580592832052943</v>
      </c>
      <c r="AC97" s="22">
        <f t="shared" si="57"/>
        <v>63.211375950807081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432.99999999999989</v>
      </c>
      <c r="AJ97" s="13">
        <f>AI97*VLOOKUP('Données projet'!$B$10,Paramètres!$A$1:$I$89,3,0)*VLOOKUP('Données projet'!$B$10,Paramètres!$A$1:$I$89,5,0)</f>
        <v>290.45639999999992</v>
      </c>
      <c r="AK97" s="13">
        <f t="shared" si="89"/>
        <v>69.172009514864612</v>
      </c>
      <c r="AL97" s="20">
        <f t="shared" si="58"/>
        <v>626.3528132383891</v>
      </c>
      <c r="AM97" s="59">
        <f t="shared" si="59"/>
        <v>919.68614657172247</v>
      </c>
      <c r="AN97" s="59">
        <f ca="1">AVERAGE(OFFSET($AM$3,0,0,'Données projet'!$E$10+1,1))-AVERAGE(OFFSET($H$3,0,0,'Données projet'!$E$10+1,1))</f>
        <v>296.25231821504275</v>
      </c>
      <c r="AO97" s="59">
        <f t="shared" si="90"/>
        <v>316.20936902390275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29.791903146332942</v>
      </c>
      <c r="AV97" s="21">
        <f>EXP(-LN(2)/25)*AV96+(1-EXP(-LN(2)/25))/(LN(2)/25)*Calculateur!AQ97*Calculateur!AS97*VLOOKUP('Données projet'!$B$10,Paramètres!$A$1:$I$89,3,0)*0.475*44/12</f>
        <v>1.8744320944280355</v>
      </c>
      <c r="AW97" s="21">
        <f>EXP(-LN(2)/2)*AW96+(1-EXP(-LN(2)/2))/(LN(2)/2)*AQ97*AT97*VLOOKUP('Données projet'!$B$10,Paramètres!$A$1:$I$89,3,0)*0.475*44/12</f>
        <v>2.7943977107355541E-4</v>
      </c>
      <c r="AX97" s="21">
        <f t="shared" si="60"/>
        <v>31.666614680532049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318.99999999999994</v>
      </c>
      <c r="BE97" s="13">
        <f>BD97*VLOOKUP('Données projet'!$B$11,Paramètres!$A$1:$I$89,3,0)*VLOOKUP('Données projet'!$B$11,Paramètres!$A$1:$I$89,5,0)</f>
        <v>253.79639999999995</v>
      </c>
      <c r="BF97" s="13">
        <f t="shared" si="91"/>
        <v>61.398168322280704</v>
      </c>
      <c r="BG97" s="20">
        <f t="shared" si="61"/>
        <v>548.9638731613054</v>
      </c>
      <c r="BH97" s="59">
        <f t="shared" si="62"/>
        <v>842.29720649463866</v>
      </c>
      <c r="BI97" s="59">
        <f ca="1">AVERAGE(OFFSET($BH$3,0,0,'Données projet'!$E$11+1,1))-AVERAGE(OFFSET($H$3,0,0,'Données projet'!$E$11+1,1))</f>
        <v>244.50301885429764</v>
      </c>
      <c r="BJ97" s="59">
        <f t="shared" si="92"/>
        <v>248.77995374147798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28.996852854660016</v>
      </c>
      <c r="BQ97" s="21">
        <f>EXP(-LN(2)/25)*BQ96+(1-EXP(-LN(2)/25))/(LN(2)/25)*Calculateur!BL97*Calculateur!BN97*VLOOKUP('Données projet'!$B$11,Paramètres!$A$1:$I$89,3,0)*0.475*44/12</f>
        <v>2.0459522817941589</v>
      </c>
      <c r="BR97" s="21">
        <f>EXP(-LN(2)/2)*BR96+(1-EXP(-LN(2)/2))/(LN(2)/2)*BL97*BO97*VLOOKUP('Données projet'!$B$11,Paramètres!$A$1:$I$89,3,0)*0.475*44/12</f>
        <v>4.8123367330262746E-3</v>
      </c>
      <c r="BS97" s="22">
        <f t="shared" si="63"/>
        <v>31.047617473187199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1">
        <f t="shared" si="86"/>
        <v>22.867173045817324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67">
        <f t="shared" si="56"/>
        <v>477.70472638813186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337.66199999999992</v>
      </c>
      <c r="P98" s="13">
        <f t="shared" si="87"/>
        <v>79.016707002632685</v>
      </c>
      <c r="Q98" s="20">
        <f t="shared" si="54"/>
        <v>725.71541469625174</v>
      </c>
      <c r="R98" s="59">
        <f t="shared" si="55"/>
        <v>1019.0487480295851</v>
      </c>
      <c r="S98" s="59">
        <f ca="1">AVERAGE(OFFSET($R$3,0,0,'Données projet'!$E$9+1,1))-AVERAGE(OFFSET($H$3,0,0,'Données projet'!$E$9+1,1))</f>
        <v>342.91408684769942</v>
      </c>
      <c r="T98" s="59">
        <f t="shared" si="88"/>
        <v>209.92380505963234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0.34400000000000003</v>
      </c>
      <c r="X98" s="16">
        <f>IF(ISNA(VLOOKUP(A98,'Données projet'!$A$35:$I$55,6,0)),0%,VLOOKUP(A98,'Données projet'!$A$35:$I$55,6,0)*VLOOKUP('Données projet'!$B$9,Paramètres!$A$1:$I$89,7,0))</f>
        <v>1.72E-2</v>
      </c>
      <c r="Y98" s="16">
        <f>IF(ISNA(VLOOKUP(A98,'Données projet'!$A$35:$I$55,7,0)),0%,VLOOKUP(A98,'Données projet'!$A$35:$I$55,7,0))</f>
        <v>0.06</v>
      </c>
      <c r="Z98" s="21">
        <f>EXP(-LN(2)/35)*Z97+(1-EXP(-LN(2)/35))/(LN(2)/35)*V98*W98*VLOOKUP('Données projet'!$B$9,Paramètres!$A$1:$I$89,3,0)*0.475*44/12</f>
        <v>67.765400278172464</v>
      </c>
      <c r="AA98" s="21">
        <f>EXP(-LN(2)/25)*AA97+(1-EXP(-LN(2)/25))/(LN(2)/25)*Calculateur!V98*Calculateur!X98*VLOOKUP('Données projet'!$B$9,Paramètres!$A$1:$I$89,3,0)*0.475*44/12</f>
        <v>4.9707631741187459</v>
      </c>
      <c r="AB98" s="21">
        <f>EXP(-LN(2)/2)*AB97+(1-EXP(-LN(2)/2))/(LN(2)/2)*V98*Y98*VLOOKUP('Données projet'!$B$9,Paramètres!$A$1:$I$89,3,0)*0.475*44/12</f>
        <v>1.993260042695836</v>
      </c>
      <c r="AC98" s="22">
        <f t="shared" si="57"/>
        <v>74.729423494987046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432.99999999999989</v>
      </c>
      <c r="AJ98" s="13">
        <f>AI98*VLOOKUP('Données projet'!$B$10,Paramètres!$A$1:$I$89,3,0)*VLOOKUP('Données projet'!$B$10,Paramètres!$A$1:$I$89,5,0)</f>
        <v>290.45639999999992</v>
      </c>
      <c r="AK98" s="13">
        <f t="shared" si="89"/>
        <v>69.172009514864612</v>
      </c>
      <c r="AL98" s="20">
        <f t="shared" si="58"/>
        <v>626.3528132383891</v>
      </c>
      <c r="AM98" s="59">
        <f t="shared" si="59"/>
        <v>919.68614657172247</v>
      </c>
      <c r="AN98" s="59">
        <f ca="1">AVERAGE(OFFSET($AM$3,0,0,'Données projet'!$E$10+1,1))-AVERAGE(OFFSET($H$3,0,0,'Données projet'!$E$10+1,1))</f>
        <v>296.25231821504275</v>
      </c>
      <c r="AO98" s="59">
        <f t="shared" si="90"/>
        <v>316.20936902390275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29.207702096900007</v>
      </c>
      <c r="AV98" s="21">
        <f>EXP(-LN(2)/25)*AV97+(1-EXP(-LN(2)/25))/(LN(2)/25)*Calculateur!AQ98*Calculateur!AS98*VLOOKUP('Données projet'!$B$10,Paramètres!$A$1:$I$89,3,0)*0.475*44/12</f>
        <v>1.823175650233801</v>
      </c>
      <c r="AW98" s="21">
        <f>EXP(-LN(2)/2)*AW97+(1-EXP(-LN(2)/2))/(LN(2)/2)*AQ98*AT98*VLOOKUP('Données projet'!$B$10,Paramètres!$A$1:$I$89,3,0)*0.475*44/12</f>
        <v>1.9759375705932748E-4</v>
      </c>
      <c r="AX98" s="21">
        <f t="shared" si="60"/>
        <v>31.031075340890865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318.99999999999994</v>
      </c>
      <c r="BE98" s="13">
        <f>BD98*VLOOKUP('Données projet'!$B$11,Paramètres!$A$1:$I$89,3,0)*VLOOKUP('Données projet'!$B$11,Paramètres!$A$1:$I$89,5,0)</f>
        <v>253.79639999999995</v>
      </c>
      <c r="BF98" s="13">
        <f t="shared" si="91"/>
        <v>61.398168322280704</v>
      </c>
      <c r="BG98" s="20">
        <f t="shared" si="61"/>
        <v>548.9638731613054</v>
      </c>
      <c r="BH98" s="59">
        <f t="shared" si="62"/>
        <v>842.29720649463866</v>
      </c>
      <c r="BI98" s="59">
        <f ca="1">AVERAGE(OFFSET($BH$3,0,0,'Données projet'!$E$11+1,1))-AVERAGE(OFFSET($H$3,0,0,'Données projet'!$E$11+1,1))</f>
        <v>244.50301885429764</v>
      </c>
      <c r="BJ98" s="59">
        <f t="shared" si="92"/>
        <v>248.77995374147798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28.428242256513993</v>
      </c>
      <c r="BQ98" s="21">
        <f>EXP(-LN(2)/25)*BQ97+(1-EXP(-LN(2)/25))/(LN(2)/25)*Calculateur!BL98*Calculateur!BN98*VLOOKUP('Données projet'!$B$11,Paramètres!$A$1:$I$89,3,0)*0.475*44/12</f>
        <v>1.9900056090565432</v>
      </c>
      <c r="BR98" s="21">
        <f>EXP(-LN(2)/2)*BR97+(1-EXP(-LN(2)/2))/(LN(2)/2)*BL98*BO98*VLOOKUP('Données projet'!$B$11,Paramètres!$A$1:$I$89,3,0)*0.475*44/12</f>
        <v>3.402835937275995E-3</v>
      </c>
      <c r="BS98" s="22">
        <f t="shared" si="63"/>
        <v>30.421650701507811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1">
        <f t="shared" si="86"/>
        <v>23.079732033574274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67">
        <f t="shared" si="56"/>
        <v>479.59645329180853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314.94839999999994</v>
      </c>
      <c r="P99" s="13">
        <f t="shared" si="87"/>
        <v>74.301298626081149</v>
      </c>
      <c r="Q99" s="20">
        <f t="shared" ref="Q99:Q130" si="107">(O99+P99)*0.475*44/12</f>
        <v>677.94322510709128</v>
      </c>
      <c r="R99" s="59">
        <f t="shared" si="55"/>
        <v>971.27655844042465</v>
      </c>
      <c r="S99" s="59">
        <f ca="1">AVERAGE(OFFSET($R$3,0,0,'Données projet'!$E$9+1,1))-AVERAGE(OFFSET($H$3,0,0,'Données projet'!$E$9+1,1))</f>
        <v>342.91408684769942</v>
      </c>
      <c r="T99" s="59">
        <f t="shared" si="88"/>
        <v>209.92380505963234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66.436562111530392</v>
      </c>
      <c r="AA99" s="21">
        <f>EXP(-LN(2)/25)*AA98+(1-EXP(-LN(2)/25))/(LN(2)/25)*Calculateur!V99*Calculateur!X99*VLOOKUP('Données projet'!$B$9,Paramètres!$A$1:$I$89,3,0)*0.475*44/12</f>
        <v>4.8348373937213944</v>
      </c>
      <c r="AB99" s="21">
        <f>EXP(-LN(2)/2)*AB98+(1-EXP(-LN(2)/2))/(LN(2)/2)*V99*Y99*VLOOKUP('Données projet'!$B$9,Paramètres!$A$1:$I$89,3,0)*0.475*44/12</f>
        <v>1.409447692858413</v>
      </c>
      <c r="AC99" s="22">
        <f t="shared" si="57"/>
        <v>72.6808471981102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432.99999999999989</v>
      </c>
      <c r="AJ99" s="13">
        <f>AI99*VLOOKUP('Données projet'!$B$10,Paramètres!$A$1:$I$89,3,0)*VLOOKUP('Données projet'!$B$10,Paramètres!$A$1:$I$89,5,0)</f>
        <v>290.45639999999992</v>
      </c>
      <c r="AK99" s="13">
        <f t="shared" si="89"/>
        <v>69.172009514864612</v>
      </c>
      <c r="AL99" s="20">
        <f t="shared" si="58"/>
        <v>626.3528132383891</v>
      </c>
      <c r="AM99" s="59">
        <f t="shared" si="59"/>
        <v>919.68614657172247</v>
      </c>
      <c r="AN99" s="59">
        <f ca="1">AVERAGE(OFFSET($AM$3,0,0,'Données projet'!$E$10+1,1))-AVERAGE(OFFSET($H$3,0,0,'Données projet'!$E$10+1,1))</f>
        <v>296.25231821504275</v>
      </c>
      <c r="AO99" s="59">
        <f t="shared" si="90"/>
        <v>316.20936902390275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28.634956873718998</v>
      </c>
      <c r="AV99" s="21">
        <f>EXP(-LN(2)/25)*AV98+(1-EXP(-LN(2)/25))/(LN(2)/25)*Calculateur!AQ99*Calculateur!AS99*VLOOKUP('Données projet'!$B$10,Paramètres!$A$1:$I$89,3,0)*0.475*44/12</f>
        <v>1.7733208162015173</v>
      </c>
      <c r="AW99" s="21">
        <f>EXP(-LN(2)/2)*AW98+(1-EXP(-LN(2)/2))/(LN(2)/2)*AQ99*AT99*VLOOKUP('Données projet'!$B$10,Paramètres!$A$1:$I$89,3,0)*0.475*44/12</f>
        <v>1.397198855367777E-4</v>
      </c>
      <c r="AX99" s="21">
        <f t="shared" si="60"/>
        <v>30.408417409806052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318.99999999999994</v>
      </c>
      <c r="BE99" s="13">
        <f>BD99*VLOOKUP('Données projet'!$B$11,Paramètres!$A$1:$I$89,3,0)*VLOOKUP('Données projet'!$B$11,Paramètres!$A$1:$I$89,5,0)</f>
        <v>253.79639999999995</v>
      </c>
      <c r="BF99" s="13">
        <f t="shared" si="91"/>
        <v>61.398168322280704</v>
      </c>
      <c r="BG99" s="20">
        <f t="shared" si="61"/>
        <v>548.9638731613054</v>
      </c>
      <c r="BH99" s="59">
        <f t="shared" si="62"/>
        <v>842.29720649463866</v>
      </c>
      <c r="BI99" s="59">
        <f ca="1">AVERAGE(OFFSET($BH$3,0,0,'Données projet'!$E$11+1,1))-AVERAGE(OFFSET($H$3,0,0,'Données projet'!$E$11+1,1))</f>
        <v>244.50301885429764</v>
      </c>
      <c r="BJ99" s="59">
        <f t="shared" si="92"/>
        <v>248.77995374147798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27.870781765379395</v>
      </c>
      <c r="BQ99" s="21">
        <f>EXP(-LN(2)/25)*BQ98+(1-EXP(-LN(2)/25))/(LN(2)/25)*Calculateur!BL99*Calculateur!BN99*VLOOKUP('Données projet'!$B$11,Paramètres!$A$1:$I$89,3,0)*0.475*44/12</f>
        <v>1.9355888010270452</v>
      </c>
      <c r="BR99" s="21">
        <f>EXP(-LN(2)/2)*BR98+(1-EXP(-LN(2)/2))/(LN(2)/2)*BL99*BO99*VLOOKUP('Données projet'!$B$11,Paramètres!$A$1:$I$89,3,0)*0.475*44/12</f>
        <v>2.4061683665131373E-3</v>
      </c>
      <c r="BS99" s="22">
        <f t="shared" si="63"/>
        <v>29.808776734772952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1">
        <f t="shared" si="86"/>
        <v>23.292033444816514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67">
        <f t="shared" si="56"/>
        <v>481.48773158305545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320.62679999999995</v>
      </c>
      <c r="P100" s="13">
        <f t="shared" si="87"/>
        <v>75.483756735990909</v>
      </c>
      <c r="Q100" s="20">
        <f t="shared" si="107"/>
        <v>689.89255298185071</v>
      </c>
      <c r="R100" s="59">
        <f t="shared" si="55"/>
        <v>983.22588631518397</v>
      </c>
      <c r="S100" s="59">
        <f ca="1">AVERAGE(OFFSET($R$3,0,0,'Données projet'!$E$9+1,1))-AVERAGE(OFFSET($H$3,0,0,'Données projet'!$E$9+1,1))</f>
        <v>342.91408684769942</v>
      </c>
      <c r="T100" s="59">
        <f t="shared" si="88"/>
        <v>209.92380505963234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65.133781650824929</v>
      </c>
      <c r="AA100" s="21">
        <f>EXP(-LN(2)/25)*AA99+(1-EXP(-LN(2)/25))/(LN(2)/25)*Calculateur!V100*Calculateur!X100*VLOOKUP('Données projet'!$B$9,Paramètres!$A$1:$I$89,3,0)*0.475*44/12</f>
        <v>4.7026285109370347</v>
      </c>
      <c r="AB100" s="21">
        <f>EXP(-LN(2)/2)*AB99+(1-EXP(-LN(2)/2))/(LN(2)/2)*V100*Y100*VLOOKUP('Données projet'!$B$9,Paramètres!$A$1:$I$89,3,0)*0.475*44/12</f>
        <v>0.99663002134791812</v>
      </c>
      <c r="AC100" s="22">
        <f t="shared" si="57"/>
        <v>70.833040183109873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432.99999999999989</v>
      </c>
      <c r="AJ100" s="13">
        <f>AI100*VLOOKUP('Données projet'!$B$10,Paramètres!$A$1:$I$89,3,0)*VLOOKUP('Données projet'!$B$10,Paramètres!$A$1:$I$89,5,0)</f>
        <v>290.45639999999992</v>
      </c>
      <c r="AK100" s="13">
        <f t="shared" si="89"/>
        <v>69.172009514864612</v>
      </c>
      <c r="AL100" s="20">
        <f t="shared" si="58"/>
        <v>626.3528132383891</v>
      </c>
      <c r="AM100" s="59">
        <f t="shared" si="59"/>
        <v>919.68614657172247</v>
      </c>
      <c r="AN100" s="59">
        <f ca="1">AVERAGE(OFFSET($AM$3,0,0,'Données projet'!$E$10+1,1))-AVERAGE(OFFSET($H$3,0,0,'Données projet'!$E$10+1,1))</f>
        <v>296.25231821504275</v>
      </c>
      <c r="AO100" s="59">
        <f t="shared" si="90"/>
        <v>316.20936902390275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28.073442835024476</v>
      </c>
      <c r="AV100" s="21">
        <f>EXP(-LN(2)/25)*AV99+(1-EXP(-LN(2)/25))/(LN(2)/25)*Calculateur!AQ100*Calculateur!AS100*VLOOKUP('Données projet'!$B$10,Paramètres!$A$1:$I$89,3,0)*0.475*44/12</f>
        <v>1.7248292652275981</v>
      </c>
      <c r="AW100" s="21">
        <f>EXP(-LN(2)/2)*AW99+(1-EXP(-LN(2)/2))/(LN(2)/2)*AQ100*AT100*VLOOKUP('Données projet'!$B$10,Paramètres!$A$1:$I$89,3,0)*0.475*44/12</f>
        <v>9.8796878529663738E-5</v>
      </c>
      <c r="AX100" s="21">
        <f t="shared" si="60"/>
        <v>29.798370897130603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318.99999999999994</v>
      </c>
      <c r="BE100" s="13">
        <f>BD100*VLOOKUP('Données projet'!$B$11,Paramètres!$A$1:$I$89,3,0)*VLOOKUP('Données projet'!$B$11,Paramètres!$A$1:$I$89,5,0)</f>
        <v>253.79639999999995</v>
      </c>
      <c r="BF100" s="13">
        <f t="shared" si="91"/>
        <v>61.398168322280704</v>
      </c>
      <c r="BG100" s="20">
        <f t="shared" si="61"/>
        <v>548.9638731613054</v>
      </c>
      <c r="BH100" s="59">
        <f t="shared" si="62"/>
        <v>842.29720649463866</v>
      </c>
      <c r="BI100" s="59">
        <f ca="1">AVERAGE(OFFSET($BH$3,0,0,'Données projet'!$E$11+1,1))-AVERAGE(OFFSET($H$3,0,0,'Données projet'!$E$11+1,1))</f>
        <v>244.50301885429764</v>
      </c>
      <c r="BJ100" s="59">
        <f t="shared" si="92"/>
        <v>248.77995374147798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27.324252734458621</v>
      </c>
      <c r="BQ100" s="21">
        <f>EXP(-LN(2)/25)*BQ99+(1-EXP(-LN(2)/25))/(LN(2)/25)*Calculateur!BL100*Calculateur!BN100*VLOOKUP('Données projet'!$B$11,Paramètres!$A$1:$I$89,3,0)*0.475*44/12</f>
        <v>1.8826600234747695</v>
      </c>
      <c r="BR100" s="21">
        <f>EXP(-LN(2)/2)*BR99+(1-EXP(-LN(2)/2))/(LN(2)/2)*BL100*BO100*VLOOKUP('Données projet'!$B$11,Paramètres!$A$1:$I$89,3,0)*0.475*44/12</f>
        <v>1.7014179686379975E-3</v>
      </c>
      <c r="BS100" s="22">
        <f t="shared" si="63"/>
        <v>29.208614175902028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1">
        <f t="shared" si="86"/>
        <v>23.504080242391282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67">
        <f t="shared" si="56"/>
        <v>483.37856642216479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326.30520000000001</v>
      </c>
      <c r="P101" s="13">
        <f t="shared" si="87"/>
        <v>76.663779608302349</v>
      </c>
      <c r="Q101" s="20">
        <f t="shared" si="107"/>
        <v>701.83763948445983</v>
      </c>
      <c r="R101" s="59">
        <f t="shared" si="55"/>
        <v>995.1709728177932</v>
      </c>
      <c r="S101" s="59">
        <f ca="1">AVERAGE(OFFSET($R$3,0,0,'Données projet'!$E$9+1,1))-AVERAGE(OFFSET($H$3,0,0,'Données projet'!$E$9+1,1))</f>
        <v>342.91408684769942</v>
      </c>
      <c r="T101" s="59">
        <f t="shared" si="88"/>
        <v>209.92380505963234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63.856547920336276</v>
      </c>
      <c r="AA101" s="21">
        <f>EXP(-LN(2)/25)*AA100+(1-EXP(-LN(2)/25))/(LN(2)/25)*Calculateur!V101*Calculateur!X101*VLOOKUP('Données projet'!$B$9,Paramètres!$A$1:$I$89,3,0)*0.475*44/12</f>
        <v>4.5740348870049763</v>
      </c>
      <c r="AB101" s="21">
        <f>EXP(-LN(2)/2)*AB100+(1-EXP(-LN(2)/2))/(LN(2)/2)*V101*Y101*VLOOKUP('Données projet'!$B$9,Paramètres!$A$1:$I$89,3,0)*0.475*44/12</f>
        <v>0.7047238464292066</v>
      </c>
      <c r="AC101" s="22">
        <f t="shared" si="57"/>
        <v>69.135306653770456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432.99999999999989</v>
      </c>
      <c r="AJ101" s="13">
        <f>AI101*VLOOKUP('Données projet'!$B$10,Paramètres!$A$1:$I$89,3,0)*VLOOKUP('Données projet'!$B$10,Paramètres!$A$1:$I$89,5,0)</f>
        <v>290.45639999999992</v>
      </c>
      <c r="AK101" s="13">
        <f t="shared" si="89"/>
        <v>69.172009514864612</v>
      </c>
      <c r="AL101" s="20">
        <f t="shared" si="58"/>
        <v>626.3528132383891</v>
      </c>
      <c r="AM101" s="59">
        <f t="shared" si="59"/>
        <v>919.68614657172247</v>
      </c>
      <c r="AN101" s="59">
        <f ca="1">AVERAGE(OFFSET($AM$3,0,0,'Données projet'!$E$10+1,1))-AVERAGE(OFFSET($H$3,0,0,'Données projet'!$E$10+1,1))</f>
        <v>296.25231821504275</v>
      </c>
      <c r="AO101" s="59">
        <f t="shared" si="90"/>
        <v>316.20936902390275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27.522939744139009</v>
      </c>
      <c r="AV101" s="21">
        <f>EXP(-LN(2)/25)*AV100+(1-EXP(-LN(2)/25))/(LN(2)/25)*Calculateur!AQ101*Calculateur!AS101*VLOOKUP('Données projet'!$B$10,Paramètres!$A$1:$I$89,3,0)*0.475*44/12</f>
        <v>1.6776637182651204</v>
      </c>
      <c r="AW101" s="21">
        <f>EXP(-LN(2)/2)*AW100+(1-EXP(-LN(2)/2))/(LN(2)/2)*AQ101*AT101*VLOOKUP('Données projet'!$B$10,Paramètres!$A$1:$I$89,3,0)*0.475*44/12</f>
        <v>6.9859942768388852E-5</v>
      </c>
      <c r="AX101" s="21">
        <f t="shared" si="60"/>
        <v>29.200673322346898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318.99999999999994</v>
      </c>
      <c r="BE101" s="13">
        <f>BD101*VLOOKUP('Données projet'!$B$11,Paramètres!$A$1:$I$89,3,0)*VLOOKUP('Données projet'!$B$11,Paramètres!$A$1:$I$89,5,0)</f>
        <v>253.79639999999995</v>
      </c>
      <c r="BF101" s="13">
        <f t="shared" si="91"/>
        <v>61.398168322280704</v>
      </c>
      <c r="BG101" s="20">
        <f t="shared" si="61"/>
        <v>548.9638731613054</v>
      </c>
      <c r="BH101" s="59">
        <f t="shared" si="62"/>
        <v>842.29720649463866</v>
      </c>
      <c r="BI101" s="59">
        <f ca="1">AVERAGE(OFFSET($BH$3,0,0,'Données projet'!$E$11+1,1))-AVERAGE(OFFSET($H$3,0,0,'Données projet'!$E$11+1,1))</f>
        <v>244.50301885429764</v>
      </c>
      <c r="BJ101" s="59">
        <f t="shared" si="92"/>
        <v>248.77995374147798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26.788440804484409</v>
      </c>
      <c r="BQ101" s="21">
        <f>EXP(-LN(2)/25)*BQ100+(1-EXP(-LN(2)/25))/(LN(2)/25)*Calculateur!BL101*Calculateur!BN101*VLOOKUP('Données projet'!$B$11,Paramètres!$A$1:$I$89,3,0)*0.475*44/12</f>
        <v>1.8311785861280641</v>
      </c>
      <c r="BR101" s="21">
        <f>EXP(-LN(2)/2)*BR100+(1-EXP(-LN(2)/2))/(LN(2)/2)*BL101*BO101*VLOOKUP('Données projet'!$B$11,Paramètres!$A$1:$I$89,3,0)*0.475*44/12</f>
        <v>1.2030841832565687E-3</v>
      </c>
      <c r="BS101" s="22">
        <f t="shared" si="63"/>
        <v>28.62082247479573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1">
        <f t="shared" si="86"/>
        <v>23.715875325195146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67">
        <f t="shared" si="56"/>
        <v>485.26896285804821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331.98360000000002</v>
      </c>
      <c r="P102" s="13">
        <f t="shared" si="87"/>
        <v>77.841414511052207</v>
      </c>
      <c r="Q102" s="20">
        <f t="shared" si="107"/>
        <v>713.77856694008267</v>
      </c>
      <c r="R102" s="59">
        <f t="shared" si="55"/>
        <v>1007.111900273416</v>
      </c>
      <c r="S102" s="59">
        <f ca="1">AVERAGE(OFFSET($R$3,0,0,'Données projet'!$E$9+1,1))-AVERAGE(OFFSET($H$3,0,0,'Données projet'!$E$9+1,1))</f>
        <v>342.91408684769942</v>
      </c>
      <c r="T102" s="59">
        <f t="shared" si="88"/>
        <v>209.92380505963234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62.604359964266855</v>
      </c>
      <c r="AA102" s="21">
        <f>EXP(-LN(2)/25)*AA101+(1-EXP(-LN(2)/25))/(LN(2)/25)*Calculateur!V102*Calculateur!X102*VLOOKUP('Données projet'!$B$9,Paramètres!$A$1:$I$89,3,0)*0.475*44/12</f>
        <v>4.448957662481785</v>
      </c>
      <c r="AB102" s="21">
        <f>EXP(-LN(2)/2)*AB101+(1-EXP(-LN(2)/2))/(LN(2)/2)*V102*Y102*VLOOKUP('Données projet'!$B$9,Paramètres!$A$1:$I$89,3,0)*0.475*44/12</f>
        <v>0.49831501067395917</v>
      </c>
      <c r="AC102" s="22">
        <f t="shared" si="57"/>
        <v>67.5516326374226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432.99999999999989</v>
      </c>
      <c r="AJ102" s="13">
        <f>AI102*VLOOKUP('Données projet'!$B$10,Paramètres!$A$1:$I$89,3,0)*VLOOKUP('Données projet'!$B$10,Paramètres!$A$1:$I$89,5,0)</f>
        <v>290.45639999999992</v>
      </c>
      <c r="AK102" s="13">
        <f t="shared" si="89"/>
        <v>69.172009514864612</v>
      </c>
      <c r="AL102" s="20">
        <f t="shared" si="58"/>
        <v>626.3528132383891</v>
      </c>
      <c r="AM102" s="59">
        <f t="shared" si="59"/>
        <v>919.68614657172247</v>
      </c>
      <c r="AN102" s="59">
        <f ca="1">AVERAGE(OFFSET($AM$3,0,0,'Données projet'!$E$10+1,1))-AVERAGE(OFFSET($H$3,0,0,'Données projet'!$E$10+1,1))</f>
        <v>296.25231821504275</v>
      </c>
      <c r="AO102" s="59">
        <f t="shared" si="90"/>
        <v>316.20936902390275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26.983231683092075</v>
      </c>
      <c r="AV102" s="21">
        <f>EXP(-LN(2)/25)*AV101+(1-EXP(-LN(2)/25))/(LN(2)/25)*Calculateur!AQ102*Calculateur!AS102*VLOOKUP('Données projet'!$B$10,Paramètres!$A$1:$I$89,3,0)*0.475*44/12</f>
        <v>1.6317879156646602</v>
      </c>
      <c r="AW102" s="21">
        <f>EXP(-LN(2)/2)*AW101+(1-EXP(-LN(2)/2))/(LN(2)/2)*AQ102*AT102*VLOOKUP('Données projet'!$B$10,Paramètres!$A$1:$I$89,3,0)*0.475*44/12</f>
        <v>4.9398439264831869E-5</v>
      </c>
      <c r="AX102" s="21">
        <f t="shared" si="60"/>
        <v>28.615068997196001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318.99999999999994</v>
      </c>
      <c r="BE102" s="13">
        <f>BD102*VLOOKUP('Données projet'!$B$11,Paramètres!$A$1:$I$89,3,0)*VLOOKUP('Données projet'!$B$11,Paramètres!$A$1:$I$89,5,0)</f>
        <v>253.79639999999995</v>
      </c>
      <c r="BF102" s="13">
        <f t="shared" si="91"/>
        <v>61.398168322280704</v>
      </c>
      <c r="BG102" s="20">
        <f t="shared" si="61"/>
        <v>548.9638731613054</v>
      </c>
      <c r="BH102" s="59">
        <f t="shared" si="62"/>
        <v>842.29720649463866</v>
      </c>
      <c r="BI102" s="59">
        <f ca="1">AVERAGE(OFFSET($BH$3,0,0,'Données projet'!$E$11+1,1))-AVERAGE(OFFSET($H$3,0,0,'Données projet'!$E$11+1,1))</f>
        <v>244.50301885429764</v>
      </c>
      <c r="BJ102" s="59">
        <f t="shared" si="92"/>
        <v>248.77995374147798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26.263135819643985</v>
      </c>
      <c r="BQ102" s="21">
        <f>EXP(-LN(2)/25)*BQ101+(1-EXP(-LN(2)/25))/(LN(2)/25)*Calculateur!BL102*Calculateur!BN102*VLOOKUP('Données projet'!$B$11,Paramètres!$A$1:$I$89,3,0)*0.475*44/12</f>
        <v>1.7811049113928956</v>
      </c>
      <c r="BR102" s="21">
        <f>EXP(-LN(2)/2)*BR101+(1-EXP(-LN(2)/2))/(LN(2)/2)*BL102*BO102*VLOOKUP('Données projet'!$B$11,Paramètres!$A$1:$I$89,3,0)*0.475*44/12</f>
        <v>8.5070898431899875E-4</v>
      </c>
      <c r="BS102" s="22">
        <f t="shared" si="63"/>
        <v>28.045091440021199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1">
        <f t="shared" si="86"/>
        <v>23.927421530185931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67">
        <f t="shared" si="56"/>
        <v>487.15892583174048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337.66200000000003</v>
      </c>
      <c r="P103" s="13">
        <f t="shared" si="87"/>
        <v>79.016707002632685</v>
      </c>
      <c r="Q103" s="20">
        <f t="shared" si="107"/>
        <v>725.71541469625208</v>
      </c>
      <c r="R103" s="59">
        <f t="shared" si="55"/>
        <v>1019.0487480295853</v>
      </c>
      <c r="S103" s="59">
        <f ca="1">AVERAGE(OFFSET($R$3,0,0,'Données projet'!$E$9+1,1))-AVERAGE(OFFSET($H$3,0,0,'Données projet'!$E$9+1,1))</f>
        <v>342.91408684769942</v>
      </c>
      <c r="T103" s="59">
        <f t="shared" si="88"/>
        <v>209.92380505963234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1.72E-2</v>
      </c>
      <c r="Y103" s="16">
        <f>IF(ISNA(VLOOKUP(A103,'Données projet'!$A$35:$I$55,7,0)),0%,VLOOKUP(A103,'Données projet'!$A$35:$I$55,7,0))</f>
        <v>0.06</v>
      </c>
      <c r="Z103" s="21">
        <f>EXP(-LN(2)/35)*Z102+(1-EXP(-LN(2)/35))/(LN(2)/35)*V103*W103*VLOOKUP('Données projet'!$B$9,Paramètres!$A$1:$I$89,3,0)*0.475*44/12</f>
        <v>71.788082059750181</v>
      </c>
      <c r="AA103" s="21">
        <f>EXP(-LN(2)/25)*AA102+(1-EXP(-LN(2)/25))/(LN(2)/25)*Calculateur!V103*Calculateur!X103*VLOOKUP('Données projet'!$B$9,Paramètres!$A$1:$I$89,3,0)*0.475*44/12</f>
        <v>4.8458187780511492</v>
      </c>
      <c r="AB103" s="21">
        <f>EXP(-LN(2)/2)*AB102+(1-EXP(-LN(2)/2))/(LN(2)/2)*V103*Y103*VLOOKUP('Données projet'!$B$9,Paramètres!$A$1:$I$89,3,0)*0.475*44/12</f>
        <v>1.9022747152985824</v>
      </c>
      <c r="AC103" s="22">
        <f t="shared" si="57"/>
        <v>78.536175553099923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432.99999999999989</v>
      </c>
      <c r="AJ103" s="13">
        <f>AI103*VLOOKUP('Données projet'!$B$10,Paramètres!$A$1:$I$89,3,0)*VLOOKUP('Données projet'!$B$10,Paramètres!$A$1:$I$89,5,0)</f>
        <v>290.45639999999992</v>
      </c>
      <c r="AK103" s="13">
        <f t="shared" si="89"/>
        <v>69.172009514864612</v>
      </c>
      <c r="AL103" s="20">
        <f t="shared" si="58"/>
        <v>626.3528132383891</v>
      </c>
      <c r="AM103" s="59">
        <f t="shared" si="59"/>
        <v>919.68614657172247</v>
      </c>
      <c r="AN103" s="59">
        <f ca="1">AVERAGE(OFFSET($AM$3,0,0,'Données projet'!$E$10+1,1))-AVERAGE(OFFSET($H$3,0,0,'Données projet'!$E$10+1,1))</f>
        <v>296.25231821504275</v>
      </c>
      <c r="AO103" s="59">
        <f t="shared" si="90"/>
        <v>316.20936902390275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26.454106967932859</v>
      </c>
      <c r="AV103" s="21">
        <f>EXP(-LN(2)/25)*AV102+(1-EXP(-LN(2)/25))/(LN(2)/25)*Calculateur!AQ103*Calculateur!AS103*VLOOKUP('Données projet'!$B$10,Paramètres!$A$1:$I$89,3,0)*0.475*44/12</f>
        <v>1.5871665892988132</v>
      </c>
      <c r="AW103" s="21">
        <f>EXP(-LN(2)/2)*AW102+(1-EXP(-LN(2)/2))/(LN(2)/2)*AQ103*AT103*VLOOKUP('Données projet'!$B$10,Paramètres!$A$1:$I$89,3,0)*0.475*44/12</f>
        <v>3.4929971384194426E-5</v>
      </c>
      <c r="AX103" s="21">
        <f t="shared" si="60"/>
        <v>28.041308487203057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318.99999999999994</v>
      </c>
      <c r="BE103" s="13">
        <f>BD103*VLOOKUP('Données projet'!$B$11,Paramètres!$A$1:$I$89,3,0)*VLOOKUP('Données projet'!$B$11,Paramètres!$A$1:$I$89,5,0)</f>
        <v>253.79639999999995</v>
      </c>
      <c r="BF103" s="13">
        <f t="shared" si="91"/>
        <v>61.398168322280704</v>
      </c>
      <c r="BG103" s="20">
        <f t="shared" si="61"/>
        <v>548.9638731613054</v>
      </c>
      <c r="BH103" s="59">
        <f t="shared" si="62"/>
        <v>842.29720649463866</v>
      </c>
      <c r="BI103" s="59">
        <f ca="1">AVERAGE(OFFSET($BH$3,0,0,'Données projet'!$E$11+1,1))-AVERAGE(OFFSET($H$3,0,0,'Données projet'!$E$11+1,1))</f>
        <v>244.50301885429764</v>
      </c>
      <c r="BJ103" s="59">
        <f t="shared" si="92"/>
        <v>248.77995374147798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25.748131745151877</v>
      </c>
      <c r="BQ103" s="21">
        <f>EXP(-LN(2)/25)*BQ102+(1-EXP(-LN(2)/25))/(LN(2)/25)*Calculateur!BL103*Calculateur!BN103*VLOOKUP('Données projet'!$B$11,Paramètres!$A$1:$I$89,3,0)*0.475*44/12</f>
        <v>1.7324005039266204</v>
      </c>
      <c r="BR103" s="21">
        <f>EXP(-LN(2)/2)*BR102+(1-EXP(-LN(2)/2))/(LN(2)/2)*BL103*BO103*VLOOKUP('Données projet'!$B$11,Paramètres!$A$1:$I$89,3,0)*0.475*44/12</f>
        <v>6.0154209162828433E-4</v>
      </c>
      <c r="BS103" s="22">
        <f t="shared" si="63"/>
        <v>27.481133791170127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1">
        <f t="shared" si="86"/>
        <v>24.138721634312098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67">
        <f t="shared" si="56"/>
        <v>489.04846017976024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315.75959999999998</v>
      </c>
      <c r="P104" s="13">
        <f t="shared" si="87"/>
        <v>74.470372149154613</v>
      </c>
      <c r="Q104" s="20">
        <f t="shared" si="107"/>
        <v>679.6505348264443</v>
      </c>
      <c r="R104" s="59">
        <f t="shared" si="55"/>
        <v>972.98386815977756</v>
      </c>
      <c r="S104" s="59">
        <f ca="1">AVERAGE(OFFSET($R$3,0,0,'Données projet'!$E$9+1,1))-AVERAGE(OFFSET($H$3,0,0,'Données projet'!$E$9+1,1))</f>
        <v>342.91408684769942</v>
      </c>
      <c r="T104" s="59">
        <f t="shared" si="88"/>
        <v>209.92380505963234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70.380361556964985</v>
      </c>
      <c r="AA104" s="21">
        <f>EXP(-LN(2)/25)*AA103+(1-EXP(-LN(2)/25))/(LN(2)/25)*Calculateur!V104*Calculateur!X104*VLOOKUP('Données projet'!$B$9,Paramètres!$A$1:$I$89,3,0)*0.475*44/12</f>
        <v>4.7133096087348063</v>
      </c>
      <c r="AB104" s="21">
        <f>EXP(-LN(2)/2)*AB103+(1-EXP(-LN(2)/2))/(LN(2)/2)*V104*Y104*VLOOKUP('Données projet'!$B$9,Paramètres!$A$1:$I$89,3,0)*0.475*44/12</f>
        <v>1.3451113508673367</v>
      </c>
      <c r="AC104" s="22">
        <f t="shared" si="57"/>
        <v>76.43878251656713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432.99999999999989</v>
      </c>
      <c r="AJ104" s="13">
        <f>AI104*VLOOKUP('Données projet'!$B$10,Paramètres!$A$1:$I$89,3,0)*VLOOKUP('Données projet'!$B$10,Paramètres!$A$1:$I$89,5,0)</f>
        <v>290.45639999999992</v>
      </c>
      <c r="AK104" s="13">
        <f t="shared" si="89"/>
        <v>69.172009514864612</v>
      </c>
      <c r="AL104" s="20">
        <f t="shared" si="58"/>
        <v>626.3528132383891</v>
      </c>
      <c r="AM104" s="59">
        <f t="shared" si="59"/>
        <v>919.68614657172247</v>
      </c>
      <c r="AN104" s="59">
        <f ca="1">AVERAGE(OFFSET($AM$3,0,0,'Données projet'!$E$10+1,1))-AVERAGE(OFFSET($H$3,0,0,'Données projet'!$E$10+1,1))</f>
        <v>296.25231821504275</v>
      </c>
      <c r="AO104" s="59">
        <f t="shared" si="90"/>
        <v>316.20936902390275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25.935358065703706</v>
      </c>
      <c r="AV104" s="21">
        <f>EXP(-LN(2)/25)*AV103+(1-EXP(-LN(2)/25))/(LN(2)/25)*Calculateur!AQ104*Calculateur!AS104*VLOOKUP('Données projet'!$B$10,Paramètres!$A$1:$I$89,3,0)*0.475*44/12</f>
        <v>1.5437654354489736</v>
      </c>
      <c r="AW104" s="21">
        <f>EXP(-LN(2)/2)*AW103+(1-EXP(-LN(2)/2))/(LN(2)/2)*AQ104*AT104*VLOOKUP('Données projet'!$B$10,Paramètres!$A$1:$I$89,3,0)*0.475*44/12</f>
        <v>2.4699219632415935E-5</v>
      </c>
      <c r="AX104" s="21">
        <f t="shared" si="60"/>
        <v>27.479148200372315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318.99999999999994</v>
      </c>
      <c r="BE104" s="13">
        <f>BD104*VLOOKUP('Données projet'!$B$11,Paramètres!$A$1:$I$89,3,0)*VLOOKUP('Données projet'!$B$11,Paramètres!$A$1:$I$89,5,0)</f>
        <v>253.79639999999995</v>
      </c>
      <c r="BF104" s="13">
        <f t="shared" si="91"/>
        <v>61.398168322280704</v>
      </c>
      <c r="BG104" s="20">
        <f t="shared" si="61"/>
        <v>548.9638731613054</v>
      </c>
      <c r="BH104" s="59">
        <f t="shared" si="62"/>
        <v>842.29720649463866</v>
      </c>
      <c r="BI104" s="59">
        <f ca="1">AVERAGE(OFFSET($BH$3,0,0,'Données projet'!$E$11+1,1))-AVERAGE(OFFSET($H$3,0,0,'Données projet'!$E$11+1,1))</f>
        <v>244.50301885429764</v>
      </c>
      <c r="BJ104" s="59">
        <f t="shared" si="92"/>
        <v>248.77995374147798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25.243226586439093</v>
      </c>
      <c r="BQ104" s="21">
        <f>EXP(-LN(2)/25)*BQ103+(1-EXP(-LN(2)/25))/(LN(2)/25)*Calculateur!BL104*Calculateur!BN104*VLOOKUP('Données projet'!$B$11,Paramètres!$A$1:$I$89,3,0)*0.475*44/12</f>
        <v>1.685027921043764</v>
      </c>
      <c r="BR104" s="21">
        <f>EXP(-LN(2)/2)*BR103+(1-EXP(-LN(2)/2))/(LN(2)/2)*BL104*BO104*VLOOKUP('Données projet'!$B$11,Paramètres!$A$1:$I$89,3,0)*0.475*44/12</f>
        <v>4.2535449215949937E-4</v>
      </c>
      <c r="BS104" s="22">
        <f t="shared" si="63"/>
        <v>26.928679861975017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1">
        <f t="shared" si="86"/>
        <v>24.349778356363352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67">
        <f t="shared" si="56"/>
        <v>490.93757063733278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321.23519999999996</v>
      </c>
      <c r="P105" s="13">
        <f t="shared" si="87"/>
        <v>75.610303390297929</v>
      </c>
      <c r="Q105" s="20">
        <f t="shared" si="107"/>
        <v>691.17258507143549</v>
      </c>
      <c r="R105" s="59">
        <f t="shared" si="55"/>
        <v>984.50591840476886</v>
      </c>
      <c r="S105" s="59">
        <f ca="1">AVERAGE(OFFSET($R$3,0,0,'Données projet'!$E$9+1,1))-AVERAGE(OFFSET($H$3,0,0,'Données projet'!$E$9+1,1))</f>
        <v>342.91408684769942</v>
      </c>
      <c r="T105" s="59">
        <f t="shared" si="88"/>
        <v>209.92380505963234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69.000245594614682</v>
      </c>
      <c r="AA105" s="21">
        <f>EXP(-LN(2)/25)*AA104+(1-EXP(-LN(2)/25))/(LN(2)/25)*Calculateur!V105*Calculateur!X105*VLOOKUP('Données projet'!$B$9,Paramètres!$A$1:$I$89,3,0)*0.475*44/12</f>
        <v>4.5844239096217727</v>
      </c>
      <c r="AB105" s="21">
        <f>EXP(-LN(2)/2)*AB104+(1-EXP(-LN(2)/2))/(LN(2)/2)*V105*Y105*VLOOKUP('Données projet'!$B$9,Paramètres!$A$1:$I$89,3,0)*0.475*44/12</f>
        <v>0.9511373576492913</v>
      </c>
      <c r="AC105" s="22">
        <f t="shared" si="57"/>
        <v>74.535806861885746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432.99999999999989</v>
      </c>
      <c r="AJ105" s="13">
        <f>AI105*VLOOKUP('Données projet'!$B$10,Paramètres!$A$1:$I$89,3,0)*VLOOKUP('Données projet'!$B$10,Paramètres!$A$1:$I$89,5,0)</f>
        <v>290.45639999999992</v>
      </c>
      <c r="AK105" s="13">
        <f t="shared" si="89"/>
        <v>69.172009514864612</v>
      </c>
      <c r="AL105" s="20">
        <f t="shared" si="58"/>
        <v>626.3528132383891</v>
      </c>
      <c r="AM105" s="59">
        <f t="shared" si="59"/>
        <v>919.68614657172247</v>
      </c>
      <c r="AN105" s="59">
        <f ca="1">AVERAGE(OFFSET($AM$3,0,0,'Données projet'!$E$10+1,1))-AVERAGE(OFFSET($H$3,0,0,'Données projet'!$E$10+1,1))</f>
        <v>296.25231821504275</v>
      </c>
      <c r="AO105" s="59">
        <f t="shared" si="90"/>
        <v>316.20936902390275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25.426781513041679</v>
      </c>
      <c r="AV105" s="21">
        <f>EXP(-LN(2)/25)*AV104+(1-EXP(-LN(2)/25))/(LN(2)/25)*Calculateur!AQ105*Calculateur!AS105*VLOOKUP('Données projet'!$B$10,Paramètres!$A$1:$I$89,3,0)*0.475*44/12</f>
        <v>1.5015510884335255</v>
      </c>
      <c r="AW105" s="21">
        <f>EXP(-LN(2)/2)*AW104+(1-EXP(-LN(2)/2))/(LN(2)/2)*AQ105*AT105*VLOOKUP('Données projet'!$B$10,Paramètres!$A$1:$I$89,3,0)*0.475*44/12</f>
        <v>1.7464985692097213E-5</v>
      </c>
      <c r="AX105" s="21">
        <f t="shared" si="60"/>
        <v>26.928350066460897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318.99999999999994</v>
      </c>
      <c r="BE105" s="13">
        <f>BD105*VLOOKUP('Données projet'!$B$11,Paramètres!$A$1:$I$89,3,0)*VLOOKUP('Données projet'!$B$11,Paramètres!$A$1:$I$89,5,0)</f>
        <v>253.79639999999995</v>
      </c>
      <c r="BF105" s="13">
        <f t="shared" si="91"/>
        <v>61.398168322280704</v>
      </c>
      <c r="BG105" s="20">
        <f t="shared" si="61"/>
        <v>548.9638731613054</v>
      </c>
      <c r="BH105" s="59">
        <f t="shared" si="62"/>
        <v>842.29720649463866</v>
      </c>
      <c r="BI105" s="59">
        <f ca="1">AVERAGE(OFFSET($BH$3,0,0,'Données projet'!$E$11+1,1))-AVERAGE(OFFSET($H$3,0,0,'Données projet'!$E$11+1,1))</f>
        <v>244.50301885429764</v>
      </c>
      <c r="BJ105" s="59">
        <f t="shared" si="92"/>
        <v>248.77995374147798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24.748222309926927</v>
      </c>
      <c r="BQ105" s="21">
        <f>EXP(-LN(2)/25)*BQ104+(1-EXP(-LN(2)/25))/(LN(2)/25)*Calculateur!BL105*Calculateur!BN105*VLOOKUP('Données projet'!$B$11,Paramètres!$A$1:$I$89,3,0)*0.475*44/12</f>
        <v>1.6389507439310551</v>
      </c>
      <c r="BR105" s="21">
        <f>EXP(-LN(2)/2)*BR104+(1-EXP(-LN(2)/2))/(LN(2)/2)*BL105*BO105*VLOOKUP('Données projet'!$B$11,Paramètres!$A$1:$I$89,3,0)*0.475*44/12</f>
        <v>3.0077104581414216E-4</v>
      </c>
      <c r="BS105" s="22">
        <f t="shared" si="63"/>
        <v>26.387473824903797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1">
        <f t="shared" si="86"/>
        <v>24.560594358746627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67">
        <f t="shared" si="56"/>
        <v>492.82626184148364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326.71079999999995</v>
      </c>
      <c r="P106" s="13">
        <f t="shared" si="87"/>
        <v>76.747975030799893</v>
      </c>
      <c r="Q106" s="20">
        <f t="shared" si="107"/>
        <v>702.69069984530972</v>
      </c>
      <c r="R106" s="59">
        <f t="shared" si="55"/>
        <v>996.02403317864309</v>
      </c>
      <c r="S106" s="59">
        <f ca="1">AVERAGE(OFFSET($R$3,0,0,'Données projet'!$E$9+1,1))-AVERAGE(OFFSET($H$3,0,0,'Données projet'!$E$9+1,1))</f>
        <v>342.91408684769942</v>
      </c>
      <c r="T106" s="59">
        <f t="shared" si="88"/>
        <v>209.92380505963234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67.64719286449845</v>
      </c>
      <c r="AA106" s="21">
        <f>EXP(-LN(2)/25)*AA105+(1-EXP(-LN(2)/25))/(LN(2)/25)*Calculateur!V106*Calculateur!X106*VLOOKUP('Données projet'!$B$9,Paramètres!$A$1:$I$89,3,0)*0.475*44/12</f>
        <v>4.4590625967287894</v>
      </c>
      <c r="AB106" s="21">
        <f>EXP(-LN(2)/2)*AB105+(1-EXP(-LN(2)/2))/(LN(2)/2)*V106*Y106*VLOOKUP('Données projet'!$B$9,Paramètres!$A$1:$I$89,3,0)*0.475*44/12</f>
        <v>0.67255567543366845</v>
      </c>
      <c r="AC106" s="22">
        <f t="shared" si="57"/>
        <v>72.778811136660906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432.99999999999989</v>
      </c>
      <c r="AJ106" s="13">
        <f>AI106*VLOOKUP('Données projet'!$B$10,Paramètres!$A$1:$I$89,3,0)*VLOOKUP('Données projet'!$B$10,Paramètres!$A$1:$I$89,5,0)</f>
        <v>290.45639999999992</v>
      </c>
      <c r="AK106" s="13">
        <f t="shared" si="89"/>
        <v>69.172009514864612</v>
      </c>
      <c r="AL106" s="20">
        <f t="shared" si="58"/>
        <v>626.3528132383891</v>
      </c>
      <c r="AM106" s="59">
        <f t="shared" si="59"/>
        <v>919.68614657172247</v>
      </c>
      <c r="AN106" s="59">
        <f ca="1">AVERAGE(OFFSET($AM$3,0,0,'Données projet'!$E$10+1,1))-AVERAGE(OFFSET($H$3,0,0,'Données projet'!$E$10+1,1))</f>
        <v>296.25231821504275</v>
      </c>
      <c r="AO106" s="59">
        <f t="shared" si="90"/>
        <v>316.20936902390275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24.928177836376285</v>
      </c>
      <c r="AV106" s="21">
        <f>EXP(-LN(2)/25)*AV105+(1-EXP(-LN(2)/25))/(LN(2)/25)*Calculateur!AQ106*Calculateur!AS106*VLOOKUP('Données projet'!$B$10,Paramètres!$A$1:$I$89,3,0)*0.475*44/12</f>
        <v>1.4604910949571708</v>
      </c>
      <c r="AW106" s="21">
        <f>EXP(-LN(2)/2)*AW105+(1-EXP(-LN(2)/2))/(LN(2)/2)*AQ106*AT106*VLOOKUP('Données projet'!$B$10,Paramètres!$A$1:$I$89,3,0)*0.475*44/12</f>
        <v>1.2349609816207967E-5</v>
      </c>
      <c r="AX106" s="21">
        <f t="shared" si="60"/>
        <v>26.38868128094327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318.99999999999994</v>
      </c>
      <c r="BE106" s="13">
        <f>BD106*VLOOKUP('Données projet'!$B$11,Paramètres!$A$1:$I$89,3,0)*VLOOKUP('Données projet'!$B$11,Paramètres!$A$1:$I$89,5,0)</f>
        <v>253.79639999999995</v>
      </c>
      <c r="BF106" s="13">
        <f t="shared" si="91"/>
        <v>61.398168322280704</v>
      </c>
      <c r="BG106" s="20">
        <f t="shared" si="61"/>
        <v>548.9638731613054</v>
      </c>
      <c r="BH106" s="59">
        <f t="shared" si="62"/>
        <v>842.29720649463866</v>
      </c>
      <c r="BI106" s="59">
        <f ca="1">AVERAGE(OFFSET($BH$3,0,0,'Données projet'!$E$11+1,1))-AVERAGE(OFFSET($H$3,0,0,'Données projet'!$E$11+1,1))</f>
        <v>244.50301885429764</v>
      </c>
      <c r="BJ106" s="59">
        <f t="shared" si="92"/>
        <v>248.77995374147798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24.26292476535437</v>
      </c>
      <c r="BQ106" s="21">
        <f>EXP(-LN(2)/25)*BQ105+(1-EXP(-LN(2)/25))/(LN(2)/25)*Calculateur!BL106*Calculateur!BN106*VLOOKUP('Données projet'!$B$11,Paramètres!$A$1:$I$89,3,0)*0.475*44/12</f>
        <v>1.5941335496495868</v>
      </c>
      <c r="BR106" s="21">
        <f>EXP(-LN(2)/2)*BR105+(1-EXP(-LN(2)/2))/(LN(2)/2)*BL106*BO106*VLOOKUP('Données projet'!$B$11,Paramètres!$A$1:$I$89,3,0)*0.475*44/12</f>
        <v>2.1267724607974969E-4</v>
      </c>
      <c r="BS106" s="22">
        <f t="shared" si="63"/>
        <v>25.857270992250037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1">
        <f t="shared" si="86"/>
        <v>24.771172249191284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67">
        <f t="shared" si="56"/>
        <v>494.71453833400813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332.18639999999994</v>
      </c>
      <c r="P107" s="13">
        <f t="shared" si="87"/>
        <v>77.88342931194974</v>
      </c>
      <c r="Q107" s="20">
        <f t="shared" si="107"/>
        <v>714.20495271831226</v>
      </c>
      <c r="R107" s="59">
        <f t="shared" si="55"/>
        <v>1007.5382860516456</v>
      </c>
      <c r="S107" s="59">
        <f ca="1">AVERAGE(OFFSET($R$3,0,0,'Données projet'!$E$9+1,1))-AVERAGE(OFFSET($H$3,0,0,'Données projet'!$E$9+1,1))</f>
        <v>342.91408684769942</v>
      </c>
      <c r="T107" s="59">
        <f t="shared" si="88"/>
        <v>209.92380505963234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66.320672673139129</v>
      </c>
      <c r="AA107" s="21">
        <f>EXP(-LN(2)/25)*AA106+(1-EXP(-LN(2)/25))/(LN(2)/25)*Calculateur!V107*Calculateur!X107*VLOOKUP('Données projet'!$B$9,Paramètres!$A$1:$I$89,3,0)*0.475*44/12</f>
        <v>4.3371292955293299</v>
      </c>
      <c r="AB107" s="21">
        <f>EXP(-LN(2)/2)*AB106+(1-EXP(-LN(2)/2))/(LN(2)/2)*V107*Y107*VLOOKUP('Données projet'!$B$9,Paramètres!$A$1:$I$89,3,0)*0.475*44/12</f>
        <v>0.47556867882464571</v>
      </c>
      <c r="AC107" s="22">
        <f t="shared" si="57"/>
        <v>71.133370647493095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432.99999999999989</v>
      </c>
      <c r="AJ107" s="13">
        <f>AI107*VLOOKUP('Données projet'!$B$10,Paramètres!$A$1:$I$89,3,0)*VLOOKUP('Données projet'!$B$10,Paramètres!$A$1:$I$89,5,0)</f>
        <v>290.45639999999992</v>
      </c>
      <c r="AK107" s="13">
        <f t="shared" si="89"/>
        <v>69.172009514864612</v>
      </c>
      <c r="AL107" s="20">
        <f t="shared" si="58"/>
        <v>626.3528132383891</v>
      </c>
      <c r="AM107" s="59">
        <f t="shared" si="59"/>
        <v>919.68614657172247</v>
      </c>
      <c r="AN107" s="59">
        <f ca="1">AVERAGE(OFFSET($AM$3,0,0,'Données projet'!$E$10+1,1))-AVERAGE(OFFSET($H$3,0,0,'Données projet'!$E$10+1,1))</f>
        <v>296.25231821504275</v>
      </c>
      <c r="AO107" s="59">
        <f t="shared" si="90"/>
        <v>316.20936902390275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24.439351473692088</v>
      </c>
      <c r="AV107" s="21">
        <f>EXP(-LN(2)/25)*AV106+(1-EXP(-LN(2)/25))/(LN(2)/25)*Calculateur!AQ107*Calculateur!AS107*VLOOKUP('Données projet'!$B$10,Paramètres!$A$1:$I$89,3,0)*0.475*44/12</f>
        <v>1.4205538891616782</v>
      </c>
      <c r="AW107" s="21">
        <f>EXP(-LN(2)/2)*AW106+(1-EXP(-LN(2)/2))/(LN(2)/2)*AQ107*AT107*VLOOKUP('Données projet'!$B$10,Paramètres!$A$1:$I$89,3,0)*0.475*44/12</f>
        <v>8.7324928460486065E-6</v>
      </c>
      <c r="AX107" s="21">
        <f t="shared" si="60"/>
        <v>25.85991409534661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318.99999999999994</v>
      </c>
      <c r="BE107" s="13">
        <f>BD107*VLOOKUP('Données projet'!$B$11,Paramètres!$A$1:$I$89,3,0)*VLOOKUP('Données projet'!$B$11,Paramètres!$A$1:$I$89,5,0)</f>
        <v>253.79639999999995</v>
      </c>
      <c r="BF107" s="13">
        <f t="shared" si="91"/>
        <v>61.398168322280704</v>
      </c>
      <c r="BG107" s="20">
        <f t="shared" si="61"/>
        <v>548.9638731613054</v>
      </c>
      <c r="BH107" s="59">
        <f t="shared" si="62"/>
        <v>842.29720649463866</v>
      </c>
      <c r="BI107" s="59">
        <f ca="1">AVERAGE(OFFSET($BH$3,0,0,'Données projet'!$E$11+1,1))-AVERAGE(OFFSET($H$3,0,0,'Données projet'!$E$11+1,1))</f>
        <v>244.50301885429764</v>
      </c>
      <c r="BJ107" s="59">
        <f t="shared" si="92"/>
        <v>248.77995374147798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23.787143609628604</v>
      </c>
      <c r="BQ107" s="21">
        <f>EXP(-LN(2)/25)*BQ106+(1-EXP(-LN(2)/25))/(LN(2)/25)*Calculateur!BL107*Calculateur!BN107*VLOOKUP('Données projet'!$B$11,Paramètres!$A$1:$I$89,3,0)*0.475*44/12</f>
        <v>1.5505418839025789</v>
      </c>
      <c r="BR107" s="21">
        <f>EXP(-LN(2)/2)*BR106+(1-EXP(-LN(2)/2))/(LN(2)/2)*BL107*BO107*VLOOKUP('Données projet'!$B$11,Paramètres!$A$1:$I$89,3,0)*0.475*44/12</f>
        <v>1.5038552290707108E-4</v>
      </c>
      <c r="BS107" s="22">
        <f t="shared" si="63"/>
        <v>25.33783587905409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1">
        <f t="shared" si="86"/>
        <v>24.981514582386563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67">
        <f t="shared" si="56"/>
        <v>496.60240456432325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337.66199999999992</v>
      </c>
      <c r="P108" s="13">
        <f t="shared" si="87"/>
        <v>79.016707002632685</v>
      </c>
      <c r="Q108" s="20">
        <f t="shared" si="107"/>
        <v>725.71541469625174</v>
      </c>
      <c r="R108" s="59">
        <f t="shared" si="55"/>
        <v>1019.0487480295851</v>
      </c>
      <c r="S108" s="59">
        <f ca="1">AVERAGE(OFFSET($R$3,0,0,'Données projet'!$E$9+1,1))-AVERAGE(OFFSET($H$3,0,0,'Données projet'!$E$9+1,1))</f>
        <v>342.91408684769942</v>
      </c>
      <c r="T108" s="59">
        <f t="shared" si="88"/>
        <v>209.92380505963234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0.34400000000000003</v>
      </c>
      <c r="X108" s="16">
        <f>IF(ISNA(VLOOKUP(A108,'Données projet'!$A$35:$I$55,6,0)),0%,VLOOKUP(A108,'Données projet'!$A$35:$I$55,6,0)*VLOOKUP('Données projet'!$B$9,Paramètres!$A$1:$I$89,7,0))</f>
        <v>1.72E-2</v>
      </c>
      <c r="Y108" s="16">
        <f>IF(ISNA(VLOOKUP(A108,'Données projet'!$A$35:$I$55,7,0)),0%,VLOOKUP(A108,'Données projet'!$A$35:$I$55,7,0))</f>
        <v>0.06</v>
      </c>
      <c r="Z108" s="21">
        <f>EXP(-LN(2)/35)*Z107+(1-EXP(-LN(2)/35))/(LN(2)/35)*V108*W108*VLOOKUP('Données projet'!$B$9,Paramètres!$A$1:$I$89,3,0)*0.475*44/12</f>
        <v>75.045914387221245</v>
      </c>
      <c r="AA108" s="21">
        <f>EXP(-LN(2)/25)*AA107+(1-EXP(-LN(2)/25))/(LN(2)/25)*Calculateur!V108*Calculateur!X108*VLOOKUP('Données projet'!$B$9,Paramètres!$A$1:$I$89,3,0)*0.475*44/12</f>
        <v>4.7178439897178652</v>
      </c>
      <c r="AB108" s="21">
        <f>EXP(-LN(2)/2)*AB107+(1-EXP(-LN(2)/2))/(LN(2)/2)*V108*Y108*VLOOKUP('Données projet'!$B$9,Paramètres!$A$1:$I$89,3,0)*0.475*44/12</f>
        <v>1.8287864523162214</v>
      </c>
      <c r="AC108" s="22">
        <f t="shared" si="57"/>
        <v>81.592544829255331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432.99999999999989</v>
      </c>
      <c r="AJ108" s="13">
        <f>AI108*VLOOKUP('Données projet'!$B$10,Paramètres!$A$1:$I$89,3,0)*VLOOKUP('Données projet'!$B$10,Paramètres!$A$1:$I$89,5,0)</f>
        <v>290.45639999999992</v>
      </c>
      <c r="AK108" s="13">
        <f t="shared" si="89"/>
        <v>69.172009514864612</v>
      </c>
      <c r="AL108" s="20">
        <f t="shared" si="58"/>
        <v>626.3528132383891</v>
      </c>
      <c r="AM108" s="59">
        <f t="shared" si="59"/>
        <v>919.68614657172247</v>
      </c>
      <c r="AN108" s="59">
        <f ca="1">AVERAGE(OFFSET($AM$3,0,0,'Données projet'!$E$10+1,1))-AVERAGE(OFFSET($H$3,0,0,'Données projet'!$E$10+1,1))</f>
        <v>296.25231821504275</v>
      </c>
      <c r="AO108" s="59">
        <f t="shared" si="90"/>
        <v>316.20936902390275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23.960110697825488</v>
      </c>
      <c r="AV108" s="21">
        <f>EXP(-LN(2)/25)*AV107+(1-EXP(-LN(2)/25))/(LN(2)/25)*Calculateur!AQ108*Calculateur!AS108*VLOOKUP('Données projet'!$B$10,Paramètres!$A$1:$I$89,3,0)*0.475*44/12</f>
        <v>1.3817087683588698</v>
      </c>
      <c r="AW108" s="21">
        <f>EXP(-LN(2)/2)*AW107+(1-EXP(-LN(2)/2))/(LN(2)/2)*AQ108*AT108*VLOOKUP('Données projet'!$B$10,Paramètres!$A$1:$I$89,3,0)*0.475*44/12</f>
        <v>6.1748049081039836E-6</v>
      </c>
      <c r="AX108" s="21">
        <f t="shared" si="60"/>
        <v>25.341825640989267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318.99999999999994</v>
      </c>
      <c r="BE108" s="13">
        <f>BD108*VLOOKUP('Données projet'!$B$11,Paramètres!$A$1:$I$89,3,0)*VLOOKUP('Données projet'!$B$11,Paramètres!$A$1:$I$89,5,0)</f>
        <v>253.79639999999995</v>
      </c>
      <c r="BF108" s="13">
        <f t="shared" si="91"/>
        <v>61.398168322280704</v>
      </c>
      <c r="BG108" s="20">
        <f t="shared" si="61"/>
        <v>548.9638731613054</v>
      </c>
      <c r="BH108" s="59">
        <f t="shared" si="62"/>
        <v>842.29720649463866</v>
      </c>
      <c r="BI108" s="59">
        <f ca="1">AVERAGE(OFFSET($BH$3,0,0,'Données projet'!$E$11+1,1))-AVERAGE(OFFSET($H$3,0,0,'Données projet'!$E$11+1,1))</f>
        <v>244.50301885429764</v>
      </c>
      <c r="BJ108" s="59">
        <f t="shared" si="92"/>
        <v>248.77995374147798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23.320692232168771</v>
      </c>
      <c r="BQ108" s="21">
        <f>EXP(-LN(2)/25)*BQ107+(1-EXP(-LN(2)/25))/(LN(2)/25)*Calculateur!BL108*Calculateur!BN108*VLOOKUP('Données projet'!$B$11,Paramètres!$A$1:$I$89,3,0)*0.475*44/12</f>
        <v>1.508142234547809</v>
      </c>
      <c r="BR108" s="21">
        <f>EXP(-LN(2)/2)*BR107+(1-EXP(-LN(2)/2))/(LN(2)/2)*BL108*BO108*VLOOKUP('Données projet'!$B$11,Paramètres!$A$1:$I$89,3,0)*0.475*44/12</f>
        <v>1.0633862303987484E-4</v>
      </c>
      <c r="BS108" s="22">
        <f t="shared" si="63"/>
        <v>24.82894080533962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1">
        <f t="shared" si="86"/>
        <v>25.191623861555186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67">
        <f t="shared" si="56"/>
        <v>498.48986489220857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316.36799999999988</v>
      </c>
      <c r="P109" s="13">
        <f t="shared" si="87"/>
        <v>74.597144109003438</v>
      </c>
      <c r="Q109" s="20">
        <f t="shared" si="107"/>
        <v>680.93095932318067</v>
      </c>
      <c r="R109" s="59">
        <f t="shared" si="55"/>
        <v>974.26429265651404</v>
      </c>
      <c r="S109" s="59">
        <f ca="1">AVERAGE(OFFSET($R$3,0,0,'Données projet'!$E$9+1,1))-AVERAGE(OFFSET($H$3,0,0,'Données projet'!$E$9+1,1))</f>
        <v>342.91408684769942</v>
      </c>
      <c r="T109" s="59">
        <f t="shared" si="88"/>
        <v>209.92380505963234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73.574309779575856</v>
      </c>
      <c r="AA109" s="21">
        <f>EXP(-LN(2)/25)*AA108+(1-EXP(-LN(2)/25))/(LN(2)/25)*Calculateur!V109*Calculateur!X109*VLOOKUP('Données projet'!$B$9,Paramètres!$A$1:$I$89,3,0)*0.475*44/12</f>
        <v>4.5888342977183978</v>
      </c>
      <c r="AB109" s="21">
        <f>EXP(-LN(2)/2)*AB108+(1-EXP(-LN(2)/2))/(LN(2)/2)*V109*Y109*VLOOKUP('Données projet'!$B$9,Paramètres!$A$1:$I$89,3,0)*0.475*44/12</f>
        <v>1.2931473017748889</v>
      </c>
      <c r="AC109" s="22">
        <f t="shared" si="57"/>
        <v>79.456291379069143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432.99999999999989</v>
      </c>
      <c r="AJ109" s="13">
        <f>AI109*VLOOKUP('Données projet'!$B$10,Paramètres!$A$1:$I$89,3,0)*VLOOKUP('Données projet'!$B$10,Paramètres!$A$1:$I$89,5,0)</f>
        <v>290.45639999999992</v>
      </c>
      <c r="AK109" s="13">
        <f t="shared" si="89"/>
        <v>69.172009514864612</v>
      </c>
      <c r="AL109" s="20">
        <f t="shared" si="58"/>
        <v>626.3528132383891</v>
      </c>
      <c r="AM109" s="59">
        <f t="shared" si="59"/>
        <v>919.68614657172247</v>
      </c>
      <c r="AN109" s="59">
        <f ca="1">AVERAGE(OFFSET($AM$3,0,0,'Données projet'!$E$10+1,1))-AVERAGE(OFFSET($H$3,0,0,'Données projet'!$E$10+1,1))</f>
        <v>296.25231821504275</v>
      </c>
      <c r="AO109" s="59">
        <f t="shared" si="90"/>
        <v>316.20936902390275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23.49026754126562</v>
      </c>
      <c r="AV109" s="21">
        <f>EXP(-LN(2)/25)*AV108+(1-EXP(-LN(2)/25))/(LN(2)/25)*Calculateur!AQ109*Calculateur!AS109*VLOOKUP('Données projet'!$B$10,Paramètres!$A$1:$I$89,3,0)*0.475*44/12</f>
        <v>1.3439258694271903</v>
      </c>
      <c r="AW109" s="21">
        <f>EXP(-LN(2)/2)*AW108+(1-EXP(-LN(2)/2))/(LN(2)/2)*AQ109*AT109*VLOOKUP('Données projet'!$B$10,Paramètres!$A$1:$I$89,3,0)*0.475*44/12</f>
        <v>4.3662464230243032E-6</v>
      </c>
      <c r="AX109" s="21">
        <f t="shared" si="60"/>
        <v>24.834197776939234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318.99999999999994</v>
      </c>
      <c r="BE109" s="13">
        <f>BD109*VLOOKUP('Données projet'!$B$11,Paramètres!$A$1:$I$89,3,0)*VLOOKUP('Données projet'!$B$11,Paramètres!$A$1:$I$89,5,0)</f>
        <v>253.79639999999995</v>
      </c>
      <c r="BF109" s="13">
        <f t="shared" si="91"/>
        <v>61.398168322280704</v>
      </c>
      <c r="BG109" s="20">
        <f t="shared" si="61"/>
        <v>548.9638731613054</v>
      </c>
      <c r="BH109" s="59">
        <f t="shared" si="62"/>
        <v>842.29720649463866</v>
      </c>
      <c r="BI109" s="59">
        <f ca="1">AVERAGE(OFFSET($BH$3,0,0,'Données projet'!$E$11+1,1))-AVERAGE(OFFSET($H$3,0,0,'Données projet'!$E$11+1,1))</f>
        <v>244.50301885429764</v>
      </c>
      <c r="BJ109" s="59">
        <f t="shared" si="92"/>
        <v>248.77995374147798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22.863387681713679</v>
      </c>
      <c r="BQ109" s="21">
        <f>EXP(-LN(2)/25)*BQ108+(1-EXP(-LN(2)/25))/(LN(2)/25)*Calculateur!BL109*Calculateur!BN109*VLOOKUP('Données projet'!$B$11,Paramètres!$A$1:$I$89,3,0)*0.475*44/12</f>
        <v>1.466902005834346</v>
      </c>
      <c r="BR109" s="21">
        <f>EXP(-LN(2)/2)*BR108+(1-EXP(-LN(2)/2))/(LN(2)/2)*BL109*BO109*VLOOKUP('Données projet'!$B$11,Paramètres!$A$1:$I$89,3,0)*0.475*44/12</f>
        <v>7.5192761453535541E-5</v>
      </c>
      <c r="BS109" s="22">
        <f t="shared" si="63"/>
        <v>24.330364880309478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1">
        <f t="shared" si="86"/>
        <v>25.401502539965662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67">
        <f t="shared" si="56"/>
        <v>500.37692359044013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321.43799999999987</v>
      </c>
      <c r="P110" s="13">
        <f t="shared" si="87"/>
        <v>75.652479406660177</v>
      </c>
      <c r="Q110" s="20">
        <f t="shared" si="107"/>
        <v>691.59925163326625</v>
      </c>
      <c r="R110" s="59">
        <f t="shared" si="55"/>
        <v>984.93258496659951</v>
      </c>
      <c r="S110" s="59">
        <f ca="1">AVERAGE(OFFSET($R$3,0,0,'Données projet'!$E$9+1,1))-AVERAGE(OFFSET($H$3,0,0,'Données projet'!$E$9+1,1))</f>
        <v>342.91408684769942</v>
      </c>
      <c r="T110" s="59">
        <f t="shared" si="88"/>
        <v>209.92380505963234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72.131562440696214</v>
      </c>
      <c r="AA110" s="21">
        <f>EXP(-LN(2)/25)*AA109+(1-EXP(-LN(2)/25))/(LN(2)/25)*Calculateur!V110*Calculateur!X110*VLOOKUP('Données projet'!$B$9,Paramètres!$A$1:$I$89,3,0)*0.475*44/12</f>
        <v>4.4633523825309807</v>
      </c>
      <c r="AB110" s="21">
        <f>EXP(-LN(2)/2)*AB109+(1-EXP(-LN(2)/2))/(LN(2)/2)*V110*Y110*VLOOKUP('Données projet'!$B$9,Paramètres!$A$1:$I$89,3,0)*0.475*44/12</f>
        <v>0.91439322615811081</v>
      </c>
      <c r="AC110" s="22">
        <f t="shared" si="57"/>
        <v>77.509308049385311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432.99999999999989</v>
      </c>
      <c r="AJ110" s="13">
        <f>AI110*VLOOKUP('Données projet'!$B$10,Paramètres!$A$1:$I$89,3,0)*VLOOKUP('Données projet'!$B$10,Paramètres!$A$1:$I$89,5,0)</f>
        <v>290.45639999999992</v>
      </c>
      <c r="AK110" s="13">
        <f t="shared" si="89"/>
        <v>69.172009514864612</v>
      </c>
      <c r="AL110" s="20">
        <f t="shared" si="58"/>
        <v>626.3528132383891</v>
      </c>
      <c r="AM110" s="59">
        <f t="shared" si="59"/>
        <v>919.68614657172247</v>
      </c>
      <c r="AN110" s="59">
        <f ca="1">AVERAGE(OFFSET($AM$3,0,0,'Données projet'!$E$10+1,1))-AVERAGE(OFFSET($H$3,0,0,'Données projet'!$E$10+1,1))</f>
        <v>296.25231821504275</v>
      </c>
      <c r="AO110" s="59">
        <f t="shared" si="90"/>
        <v>316.20936902390275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23.029637722429865</v>
      </c>
      <c r="AV110" s="21">
        <f>EXP(-LN(2)/25)*AV109+(1-EXP(-LN(2)/25))/(LN(2)/25)*Calculateur!AQ110*Calculateur!AS110*VLOOKUP('Données projet'!$B$10,Paramètres!$A$1:$I$89,3,0)*0.475*44/12</f>
        <v>1.3071761458537139</v>
      </c>
      <c r="AW110" s="21">
        <f>EXP(-LN(2)/2)*AW109+(1-EXP(-LN(2)/2))/(LN(2)/2)*AQ110*AT110*VLOOKUP('Données projet'!$B$10,Paramètres!$A$1:$I$89,3,0)*0.475*44/12</f>
        <v>3.0874024540519918E-6</v>
      </c>
      <c r="AX110" s="21">
        <f t="shared" si="60"/>
        <v>24.336816955686032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318.99999999999994</v>
      </c>
      <c r="BE110" s="13">
        <f>BD110*VLOOKUP('Données projet'!$B$11,Paramètres!$A$1:$I$89,3,0)*VLOOKUP('Données projet'!$B$11,Paramètres!$A$1:$I$89,5,0)</f>
        <v>253.79639999999995</v>
      </c>
      <c r="BF110" s="13">
        <f t="shared" si="91"/>
        <v>61.398168322280704</v>
      </c>
      <c r="BG110" s="20">
        <f t="shared" si="61"/>
        <v>548.9638731613054</v>
      </c>
      <c r="BH110" s="59">
        <f t="shared" si="62"/>
        <v>842.29720649463866</v>
      </c>
      <c r="BI110" s="59">
        <f ca="1">AVERAGE(OFFSET($BH$3,0,0,'Données projet'!$E$11+1,1))-AVERAGE(OFFSET($H$3,0,0,'Données projet'!$E$11+1,1))</f>
        <v>244.50301885429764</v>
      </c>
      <c r="BJ110" s="59">
        <f t="shared" si="92"/>
        <v>248.77995374147798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22.415050594564775</v>
      </c>
      <c r="BQ110" s="21">
        <f>EXP(-LN(2)/25)*BQ109+(1-EXP(-LN(2)/25))/(LN(2)/25)*Calculateur!BL110*Calculateur!BN110*VLOOKUP('Données projet'!$B$11,Paramètres!$A$1:$I$89,3,0)*0.475*44/12</f>
        <v>1.4267894933437819</v>
      </c>
      <c r="BR110" s="21">
        <f>EXP(-LN(2)/2)*BR109+(1-EXP(-LN(2)/2))/(LN(2)/2)*BL110*BO110*VLOOKUP('Données projet'!$B$11,Paramètres!$A$1:$I$89,3,0)*0.475*44/12</f>
        <v>5.3169311519937422E-5</v>
      </c>
      <c r="BS110" s="22">
        <f t="shared" si="63"/>
        <v>23.841893257220079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1">
        <f t="shared" si="86"/>
        <v>25.611153022386461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67">
        <f t="shared" si="56"/>
        <v>502.26358484732305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326.50799999999987</v>
      </c>
      <c r="P111" s="13">
        <f t="shared" si="87"/>
        <v>76.705878841344258</v>
      </c>
      <c r="Q111" s="20">
        <f t="shared" si="107"/>
        <v>702.26417231534106</v>
      </c>
      <c r="R111" s="59">
        <f t="shared" si="55"/>
        <v>995.59750564867431</v>
      </c>
      <c r="S111" s="59">
        <f ca="1">AVERAGE(OFFSET($R$3,0,0,'Données projet'!$E$9+1,1))-AVERAGE(OFFSET($H$3,0,0,'Données projet'!$E$9+1,1))</f>
        <v>342.91408684769942</v>
      </c>
      <c r="T111" s="59">
        <f t="shared" si="88"/>
        <v>209.92380505963234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70.717106497143021</v>
      </c>
      <c r="AA111" s="21">
        <f>EXP(-LN(2)/25)*AA110+(1-EXP(-LN(2)/25))/(LN(2)/25)*Calculateur!V111*Calculateur!X111*VLOOKUP('Données projet'!$B$9,Paramètres!$A$1:$I$89,3,0)*0.475*44/12</f>
        <v>4.3413017769131708</v>
      </c>
      <c r="AB111" s="21">
        <f>EXP(-LN(2)/2)*AB110+(1-EXP(-LN(2)/2))/(LN(2)/2)*V111*Y111*VLOOKUP('Données projet'!$B$9,Paramètres!$A$1:$I$89,3,0)*0.475*44/12</f>
        <v>0.64657365088744456</v>
      </c>
      <c r="AC111" s="22">
        <f t="shared" si="57"/>
        <v>75.704981924943638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432.99999999999989</v>
      </c>
      <c r="AJ111" s="13">
        <f>AI111*VLOOKUP('Données projet'!$B$10,Paramètres!$A$1:$I$89,3,0)*VLOOKUP('Données projet'!$B$10,Paramètres!$A$1:$I$89,5,0)</f>
        <v>290.45639999999992</v>
      </c>
      <c r="AK111" s="13">
        <f t="shared" si="89"/>
        <v>69.172009514864612</v>
      </c>
      <c r="AL111" s="20">
        <f t="shared" si="58"/>
        <v>626.3528132383891</v>
      </c>
      <c r="AM111" s="59">
        <f t="shared" si="59"/>
        <v>919.68614657172247</v>
      </c>
      <c r="AN111" s="59">
        <f ca="1">AVERAGE(OFFSET($AM$3,0,0,'Données projet'!$E$10+1,1))-AVERAGE(OFFSET($H$3,0,0,'Données projet'!$E$10+1,1))</f>
        <v>296.25231821504275</v>
      </c>
      <c r="AO111" s="59">
        <f t="shared" si="90"/>
        <v>316.20936902390275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22.578040573385032</v>
      </c>
      <c r="AV111" s="21">
        <f>EXP(-LN(2)/25)*AV110+(1-EXP(-LN(2)/25))/(LN(2)/25)*Calculateur!AQ111*Calculateur!AS111*VLOOKUP('Données projet'!$B$10,Paramètres!$A$1:$I$89,3,0)*0.475*44/12</f>
        <v>1.2714313454039381</v>
      </c>
      <c r="AW111" s="21">
        <f>EXP(-LN(2)/2)*AW110+(1-EXP(-LN(2)/2))/(LN(2)/2)*AQ111*AT111*VLOOKUP('Données projet'!$B$10,Paramètres!$A$1:$I$89,3,0)*0.475*44/12</f>
        <v>2.1831232115121516E-6</v>
      </c>
      <c r="AX111" s="21">
        <f t="shared" si="60"/>
        <v>23.849474101912183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318.99999999999994</v>
      </c>
      <c r="BE111" s="13">
        <f>BD111*VLOOKUP('Données projet'!$B$11,Paramètres!$A$1:$I$89,3,0)*VLOOKUP('Données projet'!$B$11,Paramètres!$A$1:$I$89,5,0)</f>
        <v>253.79639999999995</v>
      </c>
      <c r="BF111" s="13">
        <f t="shared" si="91"/>
        <v>61.398168322280704</v>
      </c>
      <c r="BG111" s="20">
        <f t="shared" si="61"/>
        <v>548.9638731613054</v>
      </c>
      <c r="BH111" s="59">
        <f t="shared" si="62"/>
        <v>842.29720649463866</v>
      </c>
      <c r="BI111" s="59">
        <f ca="1">AVERAGE(OFFSET($BH$3,0,0,'Données projet'!$E$11+1,1))-AVERAGE(OFFSET($H$3,0,0,'Données projet'!$E$11+1,1))</f>
        <v>244.50301885429764</v>
      </c>
      <c r="BJ111" s="59">
        <f t="shared" si="92"/>
        <v>248.77995374147798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21.975505124236243</v>
      </c>
      <c r="BQ111" s="21">
        <f>EXP(-LN(2)/25)*BQ110+(1-EXP(-LN(2)/25))/(LN(2)/25)*Calculateur!BL111*Calculateur!BN111*VLOOKUP('Données projet'!$B$11,Paramètres!$A$1:$I$89,3,0)*0.475*44/12</f>
        <v>1.3877738596166977</v>
      </c>
      <c r="BR111" s="21">
        <f>EXP(-LN(2)/2)*BR110+(1-EXP(-LN(2)/2))/(LN(2)/2)*BL111*BO111*VLOOKUP('Données projet'!$B$11,Paramètres!$A$1:$I$89,3,0)*0.475*44/12</f>
        <v>3.759638072676777E-5</v>
      </c>
      <c r="BS111" s="22">
        <f t="shared" si="63"/>
        <v>23.363316580233665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1">
        <f t="shared" si="86"/>
        <v>25.820577666484969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67">
        <f t="shared" si="56"/>
        <v>504.1498527691279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331.57799999999992</v>
      </c>
      <c r="P112" s="13">
        <f t="shared" si="87"/>
        <v>77.75737594442586</v>
      </c>
      <c r="Q112" s="20">
        <f t="shared" si="107"/>
        <v>712.92577976987479</v>
      </c>
      <c r="R112" s="59">
        <f t="shared" si="55"/>
        <v>1006.2591131032082</v>
      </c>
      <c r="S112" s="59">
        <f ca="1">AVERAGE(OFFSET($R$3,0,0,'Données projet'!$E$9+1,1))-AVERAGE(OFFSET($H$3,0,0,'Données projet'!$E$9+1,1))</f>
        <v>342.91408684769942</v>
      </c>
      <c r="T112" s="59">
        <f t="shared" si="88"/>
        <v>209.92380505963234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69.330387171909962</v>
      </c>
      <c r="AA112" s="21">
        <f>EXP(-LN(2)/25)*AA111+(1-EXP(-LN(2)/25))/(LN(2)/25)*Calculateur!V112*Calculateur!X112*VLOOKUP('Données projet'!$B$9,Paramètres!$A$1:$I$89,3,0)*0.475*44/12</f>
        <v>4.222588651524342</v>
      </c>
      <c r="AB112" s="21">
        <f>EXP(-LN(2)/2)*AB111+(1-EXP(-LN(2)/2))/(LN(2)/2)*V112*Y112*VLOOKUP('Données projet'!$B$9,Paramètres!$A$1:$I$89,3,0)*0.475*44/12</f>
        <v>0.45719661307905546</v>
      </c>
      <c r="AC112" s="22">
        <f t="shared" si="57"/>
        <v>74.010172436513358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432.99999999999989</v>
      </c>
      <c r="AJ112" s="13">
        <f>AI112*VLOOKUP('Données projet'!$B$10,Paramètres!$A$1:$I$89,3,0)*VLOOKUP('Données projet'!$B$10,Paramètres!$A$1:$I$89,5,0)</f>
        <v>290.45639999999992</v>
      </c>
      <c r="AK112" s="13">
        <f t="shared" si="89"/>
        <v>69.172009514864612</v>
      </c>
      <c r="AL112" s="20">
        <f t="shared" si="58"/>
        <v>626.3528132383891</v>
      </c>
      <c r="AM112" s="59">
        <f t="shared" si="59"/>
        <v>919.68614657172247</v>
      </c>
      <c r="AN112" s="59">
        <f ca="1">AVERAGE(OFFSET($AM$3,0,0,'Données projet'!$E$10+1,1))-AVERAGE(OFFSET($H$3,0,0,'Données projet'!$E$10+1,1))</f>
        <v>296.25231821504275</v>
      </c>
      <c r="AO112" s="59">
        <f t="shared" si="90"/>
        <v>316.20936902390275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22.135298968985904</v>
      </c>
      <c r="AV112" s="21">
        <f>EXP(-LN(2)/25)*AV111+(1-EXP(-LN(2)/25))/(LN(2)/25)*Calculateur!AQ112*Calculateur!AS112*VLOOKUP('Données projet'!$B$10,Paramètres!$A$1:$I$89,3,0)*0.475*44/12</f>
        <v>1.2366639884021988</v>
      </c>
      <c r="AW112" s="21">
        <f>EXP(-LN(2)/2)*AW111+(1-EXP(-LN(2)/2))/(LN(2)/2)*AQ112*AT112*VLOOKUP('Données projet'!$B$10,Paramètres!$A$1:$I$89,3,0)*0.475*44/12</f>
        <v>1.5437012270259959E-6</v>
      </c>
      <c r="AX112" s="21">
        <f t="shared" si="60"/>
        <v>23.37196450108933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318.99999999999994</v>
      </c>
      <c r="BE112" s="13">
        <f>BD112*VLOOKUP('Données projet'!$B$11,Paramètres!$A$1:$I$89,3,0)*VLOOKUP('Données projet'!$B$11,Paramètres!$A$1:$I$89,5,0)</f>
        <v>253.79639999999995</v>
      </c>
      <c r="BF112" s="13">
        <f t="shared" si="91"/>
        <v>61.398168322280704</v>
      </c>
      <c r="BG112" s="20">
        <f t="shared" si="61"/>
        <v>548.9638731613054</v>
      </c>
      <c r="BH112" s="59">
        <f t="shared" si="62"/>
        <v>842.29720649463866</v>
      </c>
      <c r="BI112" s="59">
        <f ca="1">AVERAGE(OFFSET($BH$3,0,0,'Données projet'!$E$11+1,1))-AVERAGE(OFFSET($H$3,0,0,'Données projet'!$E$11+1,1))</f>
        <v>244.50301885429764</v>
      </c>
      <c r="BJ112" s="59">
        <f t="shared" si="92"/>
        <v>248.77995374147798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21.544578872484585</v>
      </c>
      <c r="BQ112" s="21">
        <f>EXP(-LN(2)/25)*BQ111+(1-EXP(-LN(2)/25))/(LN(2)/25)*Calculateur!BL112*Calculateur!BN112*VLOOKUP('Données projet'!$B$11,Paramètres!$A$1:$I$89,3,0)*0.475*44/12</f>
        <v>1.3498251104456236</v>
      </c>
      <c r="BR112" s="21">
        <f>EXP(-LN(2)/2)*BR111+(1-EXP(-LN(2)/2))/(LN(2)/2)*BL112*BO112*VLOOKUP('Données projet'!$B$11,Paramètres!$A$1:$I$89,3,0)*0.475*44/12</f>
        <v>2.6584655759968711E-5</v>
      </c>
      <c r="BS112" s="22">
        <f t="shared" si="63"/>
        <v>22.894430567585971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1">
        <f t="shared" si="86"/>
        <v>26.029778784173352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67">
        <f t="shared" si="56"/>
        <v>506.03573138243519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336.64799999999991</v>
      </c>
      <c r="P113" s="13">
        <f t="shared" si="87"/>
        <v>78.807003163010307</v>
      </c>
      <c r="Q113" s="20">
        <f t="shared" si="107"/>
        <v>723.58413050890942</v>
      </c>
      <c r="R113" s="59">
        <f t="shared" si="55"/>
        <v>1016.9174638422428</v>
      </c>
      <c r="S113" s="59">
        <f ca="1">AVERAGE(OFFSET($R$3,0,0,'Données projet'!$E$9+1,1))-AVERAGE(OFFSET($H$3,0,0,'Données projet'!$E$9+1,1))</f>
        <v>342.91408684769942</v>
      </c>
      <c r="T113" s="59">
        <f t="shared" si="88"/>
        <v>209.92380505963234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1.72E-2</v>
      </c>
      <c r="Y113" s="16">
        <f>IF(ISNA(VLOOKUP(A113,'Données projet'!$A$35:$I$55,7,0)),0%,VLOOKUP(A113,'Données projet'!$A$35:$I$55,7,0))</f>
        <v>0.06</v>
      </c>
      <c r="Z113" s="21">
        <f>EXP(-LN(2)/35)*Z112+(1-EXP(-LN(2)/35))/(LN(2)/35)*V113*W113*VLOOKUP('Données projet'!$B$9,Paramètres!$A$1:$I$89,3,0)*0.475*44/12</f>
        <v>77.611004464508596</v>
      </c>
      <c r="AA113" s="21">
        <f>EXP(-LN(2)/25)*AA112+(1-EXP(-LN(2)/25))/(LN(2)/25)*Calculateur!V113*Calculateur!X113*VLOOKUP('Données projet'!$B$9,Paramètres!$A$1:$I$89,3,0)*0.475*44/12</f>
        <v>4.5872310916906809</v>
      </c>
      <c r="AB113" s="21">
        <f>EXP(-LN(2)/2)*AB112+(1-EXP(-LN(2)/2))/(LN(2)/2)*V113*Y113*VLOOKUP('Données projet'!$B$9,Paramètres!$A$1:$I$89,3,0)*0.475*44/12</f>
        <v>1.7583912625585181</v>
      </c>
      <c r="AC113" s="22">
        <f t="shared" si="57"/>
        <v>83.956626818757798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432.99999999999989</v>
      </c>
      <c r="AJ113" s="13">
        <f>AI113*VLOOKUP('Données projet'!$B$10,Paramètres!$A$1:$I$89,3,0)*VLOOKUP('Données projet'!$B$10,Paramètres!$A$1:$I$89,5,0)</f>
        <v>290.45639999999992</v>
      </c>
      <c r="AK113" s="13">
        <f t="shared" si="89"/>
        <v>69.172009514864612</v>
      </c>
      <c r="AL113" s="20">
        <f t="shared" si="58"/>
        <v>626.3528132383891</v>
      </c>
      <c r="AM113" s="59">
        <f t="shared" si="59"/>
        <v>919.68614657172247</v>
      </c>
      <c r="AN113" s="59">
        <f ca="1">AVERAGE(OFFSET($AM$3,0,0,'Données projet'!$E$10+1,1))-AVERAGE(OFFSET($H$3,0,0,'Données projet'!$E$10+1,1))</f>
        <v>296.25231821504275</v>
      </c>
      <c r="AO113" s="59">
        <f t="shared" si="90"/>
        <v>316.20936902390275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21.70123925740333</v>
      </c>
      <c r="AV113" s="21">
        <f>EXP(-LN(2)/25)*AV112+(1-EXP(-LN(2)/25))/(LN(2)/25)*Calculateur!AQ113*Calculateur!AS113*VLOOKUP('Données projet'!$B$10,Paramètres!$A$1:$I$89,3,0)*0.475*44/12</f>
        <v>1.2028473466060079</v>
      </c>
      <c r="AW113" s="21">
        <f>EXP(-LN(2)/2)*AW112+(1-EXP(-LN(2)/2))/(LN(2)/2)*AQ113*AT113*VLOOKUP('Données projet'!$B$10,Paramètres!$A$1:$I$89,3,0)*0.475*44/12</f>
        <v>1.0915616057560758E-6</v>
      </c>
      <c r="AX113" s="21">
        <f t="shared" si="60"/>
        <v>22.904087695570944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318.99999999999994</v>
      </c>
      <c r="BE113" s="13">
        <f>BD113*VLOOKUP('Données projet'!$B$11,Paramètres!$A$1:$I$89,3,0)*VLOOKUP('Données projet'!$B$11,Paramètres!$A$1:$I$89,5,0)</f>
        <v>253.79639999999995</v>
      </c>
      <c r="BF113" s="13">
        <f t="shared" si="91"/>
        <v>61.398168322280704</v>
      </c>
      <c r="BG113" s="20">
        <f t="shared" si="61"/>
        <v>548.9638731613054</v>
      </c>
      <c r="BH113" s="59">
        <f t="shared" si="62"/>
        <v>842.29720649463866</v>
      </c>
      <c r="BI113" s="59">
        <f ca="1">AVERAGE(OFFSET($BH$3,0,0,'Données projet'!$E$11+1,1))-AVERAGE(OFFSET($H$3,0,0,'Données projet'!$E$11+1,1))</f>
        <v>244.50301885429764</v>
      </c>
      <c r="BJ113" s="59">
        <f t="shared" si="92"/>
        <v>248.77995374147798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21.122102821690721</v>
      </c>
      <c r="BQ113" s="21">
        <f>EXP(-LN(2)/25)*BQ112+(1-EXP(-LN(2)/25))/(LN(2)/25)*Calculateur!BL113*Calculateur!BN113*VLOOKUP('Données projet'!$B$11,Paramètres!$A$1:$I$89,3,0)*0.475*44/12</f>
        <v>1.3129140718162706</v>
      </c>
      <c r="BR113" s="21">
        <f>EXP(-LN(2)/2)*BR112+(1-EXP(-LN(2)/2))/(LN(2)/2)*BL113*BO113*VLOOKUP('Données projet'!$B$11,Paramètres!$A$1:$I$89,3,0)*0.475*44/12</f>
        <v>1.8798190363383885E-5</v>
      </c>
      <c r="BS113" s="22">
        <f t="shared" si="63"/>
        <v>22.435035691697355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1">
        <f t="shared" si="86"/>
        <v>26.238758642904312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67">
        <f t="shared" si="56"/>
        <v>507.92122463639157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316.16519999999991</v>
      </c>
      <c r="P114" s="13">
        <f t="shared" si="87"/>
        <v>74.554889944758472</v>
      </c>
      <c r="Q114" s="20">
        <f t="shared" si="107"/>
        <v>680.50415665378762</v>
      </c>
      <c r="R114" s="59">
        <f t="shared" si="55"/>
        <v>973.83748998712099</v>
      </c>
      <c r="S114" s="59">
        <f ca="1">AVERAGE(OFFSET($R$3,0,0,'Données projet'!$E$9+1,1))-AVERAGE(OFFSET($H$3,0,0,'Données projet'!$E$9+1,1))</f>
        <v>342.91408684769942</v>
      </c>
      <c r="T114" s="59">
        <f t="shared" si="88"/>
        <v>209.92380505963234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76.089100004998059</v>
      </c>
      <c r="AA114" s="21">
        <f>EXP(-LN(2)/25)*AA113+(1-EXP(-LN(2)/25))/(LN(2)/25)*Calculateur!V114*Calculateur!X114*VLOOKUP('Données projet'!$B$9,Paramètres!$A$1:$I$89,3,0)*0.475*44/12</f>
        <v>4.4617930162564008</v>
      </c>
      <c r="AB114" s="21">
        <f>EXP(-LN(2)/2)*AB113+(1-EXP(-LN(2)/2))/(LN(2)/2)*V114*Y114*VLOOKUP('Données projet'!$B$9,Paramètres!$A$1:$I$89,3,0)*0.475*44/12</f>
        <v>1.2433703857343033</v>
      </c>
      <c r="AC114" s="22">
        <f t="shared" si="57"/>
        <v>81.794263406988776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432.99999999999989</v>
      </c>
      <c r="AJ114" s="13">
        <f>AI114*VLOOKUP('Données projet'!$B$10,Paramètres!$A$1:$I$89,3,0)*VLOOKUP('Données projet'!$B$10,Paramètres!$A$1:$I$89,5,0)</f>
        <v>290.45639999999992</v>
      </c>
      <c r="AK114" s="13">
        <f t="shared" si="89"/>
        <v>69.172009514864612</v>
      </c>
      <c r="AL114" s="20">
        <f t="shared" si="58"/>
        <v>626.3528132383891</v>
      </c>
      <c r="AM114" s="59">
        <f t="shared" si="59"/>
        <v>919.68614657172247</v>
      </c>
      <c r="AN114" s="59">
        <f ca="1">AVERAGE(OFFSET($AM$3,0,0,'Données projet'!$E$10+1,1))-AVERAGE(OFFSET($H$3,0,0,'Données projet'!$E$10+1,1))</f>
        <v>296.25231821504275</v>
      </c>
      <c r="AO114" s="59">
        <f t="shared" si="90"/>
        <v>316.20936902390275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21.275691192014605</v>
      </c>
      <c r="AV114" s="21">
        <f>EXP(-LN(2)/25)*AV113+(1-EXP(-LN(2)/25))/(LN(2)/25)*Calculateur!AQ114*Calculateur!AS114*VLOOKUP('Données projet'!$B$10,Paramètres!$A$1:$I$89,3,0)*0.475*44/12</f>
        <v>1.1699554226580737</v>
      </c>
      <c r="AW114" s="21">
        <f>EXP(-LN(2)/2)*AW113+(1-EXP(-LN(2)/2))/(LN(2)/2)*AQ114*AT114*VLOOKUP('Données projet'!$B$10,Paramètres!$A$1:$I$89,3,0)*0.475*44/12</f>
        <v>7.7185061351299795E-7</v>
      </c>
      <c r="AX114" s="21">
        <f t="shared" si="60"/>
        <v>22.445647386523291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318.99999999999994</v>
      </c>
      <c r="BE114" s="13">
        <f>BD114*VLOOKUP('Données projet'!$B$11,Paramètres!$A$1:$I$89,3,0)*VLOOKUP('Données projet'!$B$11,Paramètres!$A$1:$I$89,5,0)</f>
        <v>253.79639999999995</v>
      </c>
      <c r="BF114" s="13">
        <f t="shared" si="91"/>
        <v>61.398168322280704</v>
      </c>
      <c r="BG114" s="20">
        <f t="shared" si="61"/>
        <v>548.9638731613054</v>
      </c>
      <c r="BH114" s="59">
        <f t="shared" si="62"/>
        <v>842.29720649463866</v>
      </c>
      <c r="BI114" s="59">
        <f ca="1">AVERAGE(OFFSET($BH$3,0,0,'Données projet'!$E$11+1,1))-AVERAGE(OFFSET($H$3,0,0,'Données projet'!$E$11+1,1))</f>
        <v>244.50301885429764</v>
      </c>
      <c r="BJ114" s="59">
        <f t="shared" si="92"/>
        <v>248.77995374147798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20.707911268567976</v>
      </c>
      <c r="BQ114" s="21">
        <f>EXP(-LN(2)/25)*BQ113+(1-EXP(-LN(2)/25))/(LN(2)/25)*Calculateur!BL114*Calculateur!BN114*VLOOKUP('Données projet'!$B$11,Paramètres!$A$1:$I$89,3,0)*0.475*44/12</f>
        <v>1.2770123674793044</v>
      </c>
      <c r="BR114" s="21">
        <f>EXP(-LN(2)/2)*BR113+(1-EXP(-LN(2)/2))/(LN(2)/2)*BL114*BO114*VLOOKUP('Données projet'!$B$11,Paramètres!$A$1:$I$89,3,0)*0.475*44/12</f>
        <v>1.3292327879984355E-5</v>
      </c>
      <c r="BS114" s="22">
        <f t="shared" si="63"/>
        <v>21.984936928375159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1">
        <f t="shared" si="86"/>
        <v>26.447519466918756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67">
        <f t="shared" si="56"/>
        <v>509.80633640488338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321.03239999999988</v>
      </c>
      <c r="P115" s="13">
        <f t="shared" si="87"/>
        <v>75.568124274523356</v>
      </c>
      <c r="Q115" s="20">
        <f t="shared" si="107"/>
        <v>690.74591311146139</v>
      </c>
      <c r="R115" s="59">
        <f t="shared" si="55"/>
        <v>984.07924644479476</v>
      </c>
      <c r="S115" s="59">
        <f ca="1">AVERAGE(OFFSET($R$3,0,0,'Données projet'!$E$9+1,1))-AVERAGE(OFFSET($H$3,0,0,'Données projet'!$E$9+1,1))</f>
        <v>342.91408684769942</v>
      </c>
      <c r="T115" s="59">
        <f t="shared" si="88"/>
        <v>209.92380505963234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74.59703916366847</v>
      </c>
      <c r="AA115" s="21">
        <f>EXP(-LN(2)/25)*AA114+(1-EXP(-LN(2)/25))/(LN(2)/25)*Calculateur!V115*Calculateur!X115*VLOOKUP('Données projet'!$B$9,Paramètres!$A$1:$I$89,3,0)*0.475*44/12</f>
        <v>4.3397850515913721</v>
      </c>
      <c r="AB115" s="21">
        <f>EXP(-LN(2)/2)*AB114+(1-EXP(-LN(2)/2))/(LN(2)/2)*V115*Y115*VLOOKUP('Données projet'!$B$9,Paramètres!$A$1:$I$89,3,0)*0.475*44/12</f>
        <v>0.87919563127925926</v>
      </c>
      <c r="AC115" s="22">
        <f t="shared" si="57"/>
        <v>79.816019846539106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432.99999999999989</v>
      </c>
      <c r="AJ115" s="13">
        <f>AI115*VLOOKUP('Données projet'!$B$10,Paramètres!$A$1:$I$89,3,0)*VLOOKUP('Données projet'!$B$10,Paramètres!$A$1:$I$89,5,0)</f>
        <v>290.45639999999992</v>
      </c>
      <c r="AK115" s="13">
        <f t="shared" si="89"/>
        <v>69.172009514864612</v>
      </c>
      <c r="AL115" s="20">
        <f t="shared" si="58"/>
        <v>626.3528132383891</v>
      </c>
      <c r="AM115" s="59">
        <f t="shared" si="59"/>
        <v>919.68614657172247</v>
      </c>
      <c r="AN115" s="59">
        <f ca="1">AVERAGE(OFFSET($AM$3,0,0,'Données projet'!$E$10+1,1))-AVERAGE(OFFSET($H$3,0,0,'Données projet'!$E$10+1,1))</f>
        <v>296.25231821504275</v>
      </c>
      <c r="AO115" s="59">
        <f t="shared" si="90"/>
        <v>316.20936902390275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20.858487864629463</v>
      </c>
      <c r="AV115" s="21">
        <f>EXP(-LN(2)/25)*AV114+(1-EXP(-LN(2)/25))/(LN(2)/25)*Calculateur!AQ115*Calculateur!AS115*VLOOKUP('Données projet'!$B$10,Paramètres!$A$1:$I$89,3,0)*0.475*44/12</f>
        <v>1.137962930100207</v>
      </c>
      <c r="AW115" s="21">
        <f>EXP(-LN(2)/2)*AW114+(1-EXP(-LN(2)/2))/(LN(2)/2)*AQ115*AT115*VLOOKUP('Données projet'!$B$10,Paramètres!$A$1:$I$89,3,0)*0.475*44/12</f>
        <v>5.4578080287803791E-7</v>
      </c>
      <c r="AX115" s="21">
        <f t="shared" si="60"/>
        <v>21.996451340510475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318.99999999999994</v>
      </c>
      <c r="BE115" s="13">
        <f>BD115*VLOOKUP('Données projet'!$B$11,Paramètres!$A$1:$I$89,3,0)*VLOOKUP('Données projet'!$B$11,Paramètres!$A$1:$I$89,5,0)</f>
        <v>253.79639999999995</v>
      </c>
      <c r="BF115" s="13">
        <f t="shared" si="91"/>
        <v>61.398168322280704</v>
      </c>
      <c r="BG115" s="20">
        <f t="shared" si="61"/>
        <v>548.9638731613054</v>
      </c>
      <c r="BH115" s="59">
        <f t="shared" si="62"/>
        <v>842.29720649463866</v>
      </c>
      <c r="BI115" s="59">
        <f ca="1">AVERAGE(OFFSET($BH$3,0,0,'Données projet'!$E$11+1,1))-AVERAGE(OFFSET($H$3,0,0,'Données projet'!$E$11+1,1))</f>
        <v>244.50301885429764</v>
      </c>
      <c r="BJ115" s="59">
        <f t="shared" si="92"/>
        <v>248.77995374147798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20.301841759170067</v>
      </c>
      <c r="BQ115" s="21">
        <f>EXP(-LN(2)/25)*BQ114+(1-EXP(-LN(2)/25))/(LN(2)/25)*Calculateur!BL115*Calculateur!BN115*VLOOKUP('Données projet'!$B$11,Paramètres!$A$1:$I$89,3,0)*0.475*44/12</f>
        <v>1.242092397135421</v>
      </c>
      <c r="BR115" s="21">
        <f>EXP(-LN(2)/2)*BR114+(1-EXP(-LN(2)/2))/(LN(2)/2)*BL115*BO115*VLOOKUP('Données projet'!$B$11,Paramètres!$A$1:$I$89,3,0)*0.475*44/12</f>
        <v>9.3990951816919426E-6</v>
      </c>
      <c r="BS115" s="22">
        <f t="shared" si="63"/>
        <v>21.54394355540067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1">
        <f t="shared" si="86"/>
        <v>26.656063438447475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67">
        <f t="shared" si="56"/>
        <v>511.69107048862929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325.89959999999996</v>
      </c>
      <c r="P116" s="13">
        <f t="shared" si="87"/>
        <v>76.579572003009503</v>
      </c>
      <c r="Q116" s="20">
        <f t="shared" si="107"/>
        <v>700.98455790524133</v>
      </c>
      <c r="R116" s="59">
        <f t="shared" si="55"/>
        <v>994.3178912385747</v>
      </c>
      <c r="S116" s="59">
        <f ca="1">AVERAGE(OFFSET($R$3,0,0,'Données projet'!$E$9+1,1))-AVERAGE(OFFSET($H$3,0,0,'Données projet'!$E$9+1,1))</f>
        <v>342.91408684769942</v>
      </c>
      <c r="T116" s="59">
        <f t="shared" si="88"/>
        <v>209.92380505963234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73.134236725370101</v>
      </c>
      <c r="AA116" s="21">
        <f>EXP(-LN(2)/25)*AA115+(1-EXP(-LN(2)/25))/(LN(2)/25)*Calculateur!V116*Calculateur!X116*VLOOKUP('Données projet'!$B$9,Paramètres!$A$1:$I$89,3,0)*0.475*44/12</f>
        <v>4.221113401136229</v>
      </c>
      <c r="AB116" s="21">
        <f>EXP(-LN(2)/2)*AB115+(1-EXP(-LN(2)/2))/(LN(2)/2)*V116*Y116*VLOOKUP('Données projet'!$B$9,Paramètres!$A$1:$I$89,3,0)*0.475*44/12</f>
        <v>0.62168519286715174</v>
      </c>
      <c r="AC116" s="22">
        <f t="shared" si="57"/>
        <v>77.977035319373471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432.99999999999989</v>
      </c>
      <c r="AJ116" s="13">
        <f>AI116*VLOOKUP('Données projet'!$B$10,Paramètres!$A$1:$I$89,3,0)*VLOOKUP('Données projet'!$B$10,Paramètres!$A$1:$I$89,5,0)</f>
        <v>290.45639999999992</v>
      </c>
      <c r="AK116" s="13">
        <f t="shared" si="89"/>
        <v>69.172009514864612</v>
      </c>
      <c r="AL116" s="20">
        <f t="shared" si="58"/>
        <v>626.3528132383891</v>
      </c>
      <c r="AM116" s="59">
        <f t="shared" si="59"/>
        <v>919.68614657172247</v>
      </c>
      <c r="AN116" s="59">
        <f ca="1">AVERAGE(OFFSET($AM$3,0,0,'Données projet'!$E$10+1,1))-AVERAGE(OFFSET($H$3,0,0,'Données projet'!$E$10+1,1))</f>
        <v>296.25231821504275</v>
      </c>
      <c r="AO116" s="59">
        <f t="shared" si="90"/>
        <v>316.20936902390275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20.449465640025441</v>
      </c>
      <c r="AV116" s="21">
        <f>EXP(-LN(2)/25)*AV115+(1-EXP(-LN(2)/25))/(LN(2)/25)*Calculateur!AQ116*Calculateur!AS116*VLOOKUP('Données projet'!$B$10,Paramètres!$A$1:$I$89,3,0)*0.475*44/12</f>
        <v>1.1068452739337471</v>
      </c>
      <c r="AW116" s="21">
        <f>EXP(-LN(2)/2)*AW115+(1-EXP(-LN(2)/2))/(LN(2)/2)*AQ116*AT116*VLOOKUP('Données projet'!$B$10,Paramètres!$A$1:$I$89,3,0)*0.475*44/12</f>
        <v>3.8592530675649898E-7</v>
      </c>
      <c r="AX116" s="21">
        <f t="shared" si="60"/>
        <v>21.556311299884495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318.99999999999994</v>
      </c>
      <c r="BE116" s="13">
        <f>BD116*VLOOKUP('Données projet'!$B$11,Paramètres!$A$1:$I$89,3,0)*VLOOKUP('Données projet'!$B$11,Paramètres!$A$1:$I$89,5,0)</f>
        <v>253.79639999999995</v>
      </c>
      <c r="BF116" s="13">
        <f t="shared" si="91"/>
        <v>61.398168322280704</v>
      </c>
      <c r="BG116" s="20">
        <f t="shared" si="61"/>
        <v>548.9638731613054</v>
      </c>
      <c r="BH116" s="59">
        <f t="shared" si="62"/>
        <v>842.29720649463866</v>
      </c>
      <c r="BI116" s="59">
        <f ca="1">AVERAGE(OFFSET($BH$3,0,0,'Données projet'!$E$11+1,1))-AVERAGE(OFFSET($H$3,0,0,'Données projet'!$E$11+1,1))</f>
        <v>244.50301885429764</v>
      </c>
      <c r="BJ116" s="59">
        <f t="shared" si="92"/>
        <v>248.77995374147798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19.903735025173503</v>
      </c>
      <c r="BQ116" s="21">
        <f>EXP(-LN(2)/25)*BQ115+(1-EXP(-LN(2)/25))/(LN(2)/25)*Calculateur!BL116*Calculateur!BN116*VLOOKUP('Données projet'!$B$11,Paramètres!$A$1:$I$89,3,0)*0.475*44/12</f>
        <v>1.2081273152169525</v>
      </c>
      <c r="BR116" s="21">
        <f>EXP(-LN(2)/2)*BR115+(1-EXP(-LN(2)/2))/(LN(2)/2)*BL116*BO116*VLOOKUP('Données projet'!$B$11,Paramètres!$A$1:$I$89,3,0)*0.475*44/12</f>
        <v>6.6461639399921777E-6</v>
      </c>
      <c r="BS116" s="22">
        <f t="shared" si="63"/>
        <v>21.111868986554395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1">
        <f t="shared" si="86"/>
        <v>26.864392698869324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67">
        <f t="shared" si="56"/>
        <v>513.5754306171973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330.76679999999999</v>
      </c>
      <c r="P117" s="13">
        <f t="shared" si="87"/>
        <v>77.589262894669872</v>
      </c>
      <c r="Q117" s="20">
        <f t="shared" si="107"/>
        <v>711.22014287488344</v>
      </c>
      <c r="R117" s="59">
        <f t="shared" si="55"/>
        <v>1004.5534762082168</v>
      </c>
      <c r="S117" s="59">
        <f ca="1">AVERAGE(OFFSET($R$3,0,0,'Données projet'!$E$9+1,1))-AVERAGE(OFFSET($H$3,0,0,'Données projet'!$E$9+1,1))</f>
        <v>342.91408684769942</v>
      </c>
      <c r="T117" s="59">
        <f t="shared" si="88"/>
        <v>209.92380505963234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71.70011895066537</v>
      </c>
      <c r="AA117" s="21">
        <f>EXP(-LN(2)/25)*AA116+(1-EXP(-LN(2)/25))/(LN(2)/25)*Calculateur!V117*Calculateur!X117*VLOOKUP('Données projet'!$B$9,Paramètres!$A$1:$I$89,3,0)*0.475*44/12</f>
        <v>4.1056868332034524</v>
      </c>
      <c r="AB117" s="21">
        <f>EXP(-LN(2)/2)*AB116+(1-EXP(-LN(2)/2))/(LN(2)/2)*V117*Y117*VLOOKUP('Données projet'!$B$9,Paramètres!$A$1:$I$89,3,0)*0.475*44/12</f>
        <v>0.43959781563962969</v>
      </c>
      <c r="AC117" s="22">
        <f t="shared" si="57"/>
        <v>76.24540359950845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432.99999999999989</v>
      </c>
      <c r="AJ117" s="13">
        <f>AI117*VLOOKUP('Données projet'!$B$10,Paramètres!$A$1:$I$89,3,0)*VLOOKUP('Données projet'!$B$10,Paramètres!$A$1:$I$89,5,0)</f>
        <v>290.45639999999992</v>
      </c>
      <c r="AK117" s="13">
        <f t="shared" si="89"/>
        <v>69.172009514864612</v>
      </c>
      <c r="AL117" s="20">
        <f t="shared" si="58"/>
        <v>626.3528132383891</v>
      </c>
      <c r="AM117" s="59">
        <f t="shared" si="59"/>
        <v>919.68614657172247</v>
      </c>
      <c r="AN117" s="59">
        <f ca="1">AVERAGE(OFFSET($AM$3,0,0,'Données projet'!$E$10+1,1))-AVERAGE(OFFSET($H$3,0,0,'Données projet'!$E$10+1,1))</f>
        <v>296.25231821504275</v>
      </c>
      <c r="AO117" s="59">
        <f t="shared" si="90"/>
        <v>316.20936902390275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20.048464091766981</v>
      </c>
      <c r="AV117" s="21">
        <f>EXP(-LN(2)/25)*AV116+(1-EXP(-LN(2)/25))/(LN(2)/25)*Calculateur!AQ117*Calculateur!AS117*VLOOKUP('Données projet'!$B$10,Paramètres!$A$1:$I$89,3,0)*0.475*44/12</f>
        <v>1.0765785317115655</v>
      </c>
      <c r="AW117" s="21">
        <f>EXP(-LN(2)/2)*AW116+(1-EXP(-LN(2)/2))/(LN(2)/2)*AQ117*AT117*VLOOKUP('Données projet'!$B$10,Paramètres!$A$1:$I$89,3,0)*0.475*44/12</f>
        <v>2.7289040143901895E-7</v>
      </c>
      <c r="AX117" s="21">
        <f t="shared" si="60"/>
        <v>21.125042896368946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318.99999999999994</v>
      </c>
      <c r="BE117" s="13">
        <f>BD117*VLOOKUP('Données projet'!$B$11,Paramètres!$A$1:$I$89,3,0)*VLOOKUP('Données projet'!$B$11,Paramètres!$A$1:$I$89,5,0)</f>
        <v>253.79639999999995</v>
      </c>
      <c r="BF117" s="13">
        <f t="shared" si="91"/>
        <v>61.398168322280704</v>
      </c>
      <c r="BG117" s="20">
        <f t="shared" si="61"/>
        <v>548.9638731613054</v>
      </c>
      <c r="BH117" s="59">
        <f t="shared" si="62"/>
        <v>842.29720649463866</v>
      </c>
      <c r="BI117" s="59">
        <f ca="1">AVERAGE(OFFSET($BH$3,0,0,'Données projet'!$E$11+1,1))-AVERAGE(OFFSET($H$3,0,0,'Données projet'!$E$11+1,1))</f>
        <v>244.50301885429764</v>
      </c>
      <c r="BJ117" s="59">
        <f t="shared" si="92"/>
        <v>248.77995374147798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19.513434921409484</v>
      </c>
      <c r="BQ117" s="21">
        <f>EXP(-LN(2)/25)*BQ116+(1-EXP(-LN(2)/25))/(LN(2)/25)*Calculateur!BL117*Calculateur!BN117*VLOOKUP('Données projet'!$B$11,Paramètres!$A$1:$I$89,3,0)*0.475*44/12</f>
        <v>1.1750910102496905</v>
      </c>
      <c r="BR117" s="21">
        <f>EXP(-LN(2)/2)*BR116+(1-EXP(-LN(2)/2))/(LN(2)/2)*BL117*BO117*VLOOKUP('Données projet'!$B$11,Paramètres!$A$1:$I$89,3,0)*0.475*44/12</f>
        <v>4.6995475908459713E-6</v>
      </c>
      <c r="BS117" s="22">
        <f t="shared" si="63"/>
        <v>20.688530631206767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1">
        <f t="shared" si="86"/>
        <v>27.072509349827456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67">
        <f t="shared" si="56"/>
        <v>515.45942045094944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335.63399999999996</v>
      </c>
      <c r="P118" s="13">
        <f t="shared" si="87"/>
        <v>78.597225787708638</v>
      </c>
      <c r="Q118" s="20">
        <f t="shared" si="107"/>
        <v>721.45271824692588</v>
      </c>
      <c r="R118" s="59">
        <f t="shared" si="55"/>
        <v>1014.7860515802593</v>
      </c>
      <c r="S118" s="59">
        <f ca="1">AVERAGE(OFFSET($R$3,0,0,'Données projet'!$E$9+1,1))-AVERAGE(OFFSET($H$3,0,0,'Données projet'!$E$9+1,1))</f>
        <v>342.91408684769942</v>
      </c>
      <c r="T118" s="59">
        <f t="shared" si="88"/>
        <v>209.92380505963234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1.72E-2</v>
      </c>
      <c r="Y118" s="16">
        <f>IF(ISNA(VLOOKUP(A118,'Données projet'!$A$35:$I$55,7,0)),0%,VLOOKUP(A118,'Données projet'!$A$35:$I$55,7,0))</f>
        <v>0.06</v>
      </c>
      <c r="Z118" s="21">
        <f>EXP(-LN(2)/35)*Z117+(1-EXP(-LN(2)/35))/(LN(2)/35)*V118*W118*VLOOKUP('Données projet'!$B$9,Paramètres!$A$1:$I$89,3,0)*0.475*44/12</f>
        <v>79.54866149256911</v>
      </c>
      <c r="AA118" s="21">
        <f>EXP(-LN(2)/25)*AA117+(1-EXP(-LN(2)/25))/(LN(2)/25)*Calculateur!V118*Calculateur!X118*VLOOKUP('Données projet'!$B$9,Paramètres!$A$1:$I$89,3,0)*0.475*44/12</f>
        <v>4.4543215857834335</v>
      </c>
      <c r="AB118" s="21">
        <f>EXP(-LN(2)/2)*AB117+(1-EXP(-LN(2)/2))/(LN(2)/2)*V118*Y118*VLOOKUP('Données projet'!$B$9,Paramètres!$A$1:$I$89,3,0)*0.475*44/12</f>
        <v>1.6885428560637794</v>
      </c>
      <c r="AC118" s="22">
        <f t="shared" si="57"/>
        <v>85.691525934416319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432.99999999999989</v>
      </c>
      <c r="AJ118" s="13">
        <f>AI118*VLOOKUP('Données projet'!$B$10,Paramètres!$A$1:$I$89,3,0)*VLOOKUP('Données projet'!$B$10,Paramètres!$A$1:$I$89,5,0)</f>
        <v>290.45639999999992</v>
      </c>
      <c r="AK118" s="13">
        <f t="shared" si="89"/>
        <v>69.172009514864612</v>
      </c>
      <c r="AL118" s="20">
        <f t="shared" si="58"/>
        <v>626.3528132383891</v>
      </c>
      <c r="AM118" s="59">
        <f t="shared" si="59"/>
        <v>919.68614657172247</v>
      </c>
      <c r="AN118" s="59">
        <f ca="1">AVERAGE(OFFSET($AM$3,0,0,'Données projet'!$E$10+1,1))-AVERAGE(OFFSET($H$3,0,0,'Données projet'!$E$10+1,1))</f>
        <v>296.25231821504275</v>
      </c>
      <c r="AO118" s="59">
        <f t="shared" si="90"/>
        <v>316.20936902390275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19.655325939283077</v>
      </c>
      <c r="AV118" s="21">
        <f>EXP(-LN(2)/25)*AV117+(1-EXP(-LN(2)/25))/(LN(2)/25)*Calculateur!AQ118*Calculateur!AS118*VLOOKUP('Données projet'!$B$10,Paramètres!$A$1:$I$89,3,0)*0.475*44/12</f>
        <v>1.0471394351471084</v>
      </c>
      <c r="AW118" s="21">
        <f>EXP(-LN(2)/2)*AW117+(1-EXP(-LN(2)/2))/(LN(2)/2)*AQ118*AT118*VLOOKUP('Données projet'!$B$10,Paramètres!$A$1:$I$89,3,0)*0.475*44/12</f>
        <v>1.9296265337824949E-7</v>
      </c>
      <c r="AX118" s="21">
        <f t="shared" si="60"/>
        <v>20.702465567392839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318.99999999999994</v>
      </c>
      <c r="BE118" s="13">
        <f>BD118*VLOOKUP('Données projet'!$B$11,Paramètres!$A$1:$I$89,3,0)*VLOOKUP('Données projet'!$B$11,Paramètres!$A$1:$I$89,5,0)</f>
        <v>253.79639999999995</v>
      </c>
      <c r="BF118" s="13">
        <f t="shared" si="91"/>
        <v>61.398168322280704</v>
      </c>
      <c r="BG118" s="20">
        <f t="shared" si="61"/>
        <v>548.9638731613054</v>
      </c>
      <c r="BH118" s="59">
        <f t="shared" si="62"/>
        <v>842.29720649463866</v>
      </c>
      <c r="BI118" s="59">
        <f ca="1">AVERAGE(OFFSET($BH$3,0,0,'Données projet'!$E$11+1,1))-AVERAGE(OFFSET($H$3,0,0,'Données projet'!$E$11+1,1))</f>
        <v>244.50301885429764</v>
      </c>
      <c r="BJ118" s="59">
        <f t="shared" si="92"/>
        <v>248.77995374147798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19.13078836462072</v>
      </c>
      <c r="BQ118" s="21">
        <f>EXP(-LN(2)/25)*BQ117+(1-EXP(-LN(2)/25))/(LN(2)/25)*Calculateur!BL118*Calculateur!BN118*VLOOKUP('Données projet'!$B$11,Paramètres!$A$1:$I$89,3,0)*0.475*44/12</f>
        <v>1.1429580847790621</v>
      </c>
      <c r="BR118" s="21">
        <f>EXP(-LN(2)/2)*BR117+(1-EXP(-LN(2)/2))/(LN(2)/2)*BL118*BO118*VLOOKUP('Données projet'!$B$11,Paramètres!$A$1:$I$89,3,0)*0.475*44/12</f>
        <v>3.3230819699960889E-6</v>
      </c>
      <c r="BS118" s="22">
        <f t="shared" si="63"/>
        <v>20.27374977248175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1">
        <f t="shared" si="86"/>
        <v>27.28041545430554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67">
        <f t="shared" si="56"/>
        <v>517.34304358291536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311.298</v>
      </c>
      <c r="P119" s="13">
        <f t="shared" si="87"/>
        <v>73.539838278528748</v>
      </c>
      <c r="Q119" s="20">
        <f t="shared" si="107"/>
        <v>670.25923500177089</v>
      </c>
      <c r="R119" s="59">
        <f t="shared" si="55"/>
        <v>963.59256833510426</v>
      </c>
      <c r="S119" s="59">
        <f ca="1">AVERAGE(OFFSET($R$3,0,0,'Données projet'!$E$9+1,1))-AVERAGE(OFFSET($H$3,0,0,'Données projet'!$E$9+1,1))</f>
        <v>342.91408684769942</v>
      </c>
      <c r="T119" s="59">
        <f t="shared" si="88"/>
        <v>209.92380505963234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77.988760760592399</v>
      </c>
      <c r="AA119" s="21">
        <f>EXP(-LN(2)/25)*AA118+(1-EXP(-LN(2)/25))/(LN(2)/25)*Calculateur!V119*Calculateur!X119*VLOOKUP('Données projet'!$B$9,Paramètres!$A$1:$I$89,3,0)*0.475*44/12</f>
        <v>4.3325179277775936</v>
      </c>
      <c r="AB119" s="21">
        <f>EXP(-LN(2)/2)*AB118+(1-EXP(-LN(2)/2))/(LN(2)/2)*V119*Y119*VLOOKUP('Données projet'!$B$9,Paramètres!$A$1:$I$89,3,0)*0.475*44/12</f>
        <v>1.193980103846799</v>
      </c>
      <c r="AC119" s="22">
        <f t="shared" si="57"/>
        <v>83.515258792216784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432.99999999999989</v>
      </c>
      <c r="AJ119" s="13">
        <f>AI119*VLOOKUP('Données projet'!$B$10,Paramètres!$A$1:$I$89,3,0)*VLOOKUP('Données projet'!$B$10,Paramètres!$A$1:$I$89,5,0)</f>
        <v>290.45639999999992</v>
      </c>
      <c r="AK119" s="13">
        <f t="shared" si="89"/>
        <v>69.172009514864612</v>
      </c>
      <c r="AL119" s="20">
        <f t="shared" si="58"/>
        <v>626.3528132383891</v>
      </c>
      <c r="AM119" s="59">
        <f t="shared" si="59"/>
        <v>919.68614657172247</v>
      </c>
      <c r="AN119" s="59">
        <f ca="1">AVERAGE(OFFSET($AM$3,0,0,'Données projet'!$E$10+1,1))-AVERAGE(OFFSET($H$3,0,0,'Données projet'!$E$10+1,1))</f>
        <v>296.25231821504275</v>
      </c>
      <c r="AO119" s="59">
        <f t="shared" si="90"/>
        <v>316.20936902390275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19.269896986178786</v>
      </c>
      <c r="AV119" s="21">
        <f>EXP(-LN(2)/25)*AV118+(1-EXP(-LN(2)/25))/(LN(2)/25)*Calculateur!AQ119*Calculateur!AS119*VLOOKUP('Données projet'!$B$10,Paramètres!$A$1:$I$89,3,0)*0.475*44/12</f>
        <v>1.018505352226341</v>
      </c>
      <c r="AW119" s="21">
        <f>EXP(-LN(2)/2)*AW118+(1-EXP(-LN(2)/2))/(LN(2)/2)*AQ119*AT119*VLOOKUP('Données projet'!$B$10,Paramètres!$A$1:$I$89,3,0)*0.475*44/12</f>
        <v>1.3644520071950948E-7</v>
      </c>
      <c r="AX119" s="21">
        <f t="shared" si="60"/>
        <v>20.288402474850329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318.99999999999994</v>
      </c>
      <c r="BE119" s="13">
        <f>BD119*VLOOKUP('Données projet'!$B$11,Paramètres!$A$1:$I$89,3,0)*VLOOKUP('Données projet'!$B$11,Paramètres!$A$1:$I$89,5,0)</f>
        <v>253.79639999999995</v>
      </c>
      <c r="BF119" s="13">
        <f t="shared" si="91"/>
        <v>61.398168322280704</v>
      </c>
      <c r="BG119" s="20">
        <f t="shared" si="61"/>
        <v>548.9638731613054</v>
      </c>
      <c r="BH119" s="59">
        <f t="shared" si="62"/>
        <v>842.29720649463866</v>
      </c>
      <c r="BI119" s="59">
        <f ca="1">AVERAGE(OFFSET($BH$3,0,0,'Données projet'!$E$11+1,1))-AVERAGE(OFFSET($H$3,0,0,'Données projet'!$E$11+1,1))</f>
        <v>244.50301885429764</v>
      </c>
      <c r="BJ119" s="59">
        <f t="shared" si="92"/>
        <v>248.77995374147798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18.75564527341923</v>
      </c>
      <c r="BQ119" s="21">
        <f>EXP(-LN(2)/25)*BQ118+(1-EXP(-LN(2)/25))/(LN(2)/25)*Calculateur!BL119*Calculateur!BN119*VLOOKUP('Données projet'!$B$11,Paramètres!$A$1:$I$89,3,0)*0.475*44/12</f>
        <v>1.1117038358452254</v>
      </c>
      <c r="BR119" s="21">
        <f>EXP(-LN(2)/2)*BR118+(1-EXP(-LN(2)/2))/(LN(2)/2)*BL119*BO119*VLOOKUP('Données projet'!$B$11,Paramètres!$A$1:$I$89,3,0)*0.475*44/12</f>
        <v>2.3497737954229857E-6</v>
      </c>
      <c r="BS119" s="22">
        <f t="shared" si="63"/>
        <v>19.86735145903825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1">
        <f t="shared" si="86"/>
        <v>27.488113037666018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67">
        <f t="shared" si="56"/>
        <v>519.22630354060152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311.298</v>
      </c>
      <c r="P120" s="13">
        <f t="shared" si="87"/>
        <v>73.539838278528748</v>
      </c>
      <c r="Q120" s="20">
        <f t="shared" si="107"/>
        <v>670.25923500177089</v>
      </c>
      <c r="R120" s="59">
        <f t="shared" si="55"/>
        <v>963.59256833510426</v>
      </c>
      <c r="S120" s="59">
        <f ca="1">AVERAGE(OFFSET($R$3,0,0,'Données projet'!$E$9+1,1))-AVERAGE(OFFSET($H$3,0,0,'Données projet'!$E$9+1,1))</f>
        <v>342.91408684769942</v>
      </c>
      <c r="T120" s="59">
        <f t="shared" si="88"/>
        <v>209.92380505963234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76.459448730524258</v>
      </c>
      <c r="AA120" s="21">
        <f>EXP(-LN(2)/25)*AA119+(1-EXP(-LN(2)/25))/(LN(2)/25)*Calculateur!V120*Calculateur!X120*VLOOKUP('Données projet'!$B$9,Paramètres!$A$1:$I$89,3,0)*0.475*44/12</f>
        <v>4.2140449972053</v>
      </c>
      <c r="AB120" s="21">
        <f>EXP(-LN(2)/2)*AB119+(1-EXP(-LN(2)/2))/(LN(2)/2)*V120*Y120*VLOOKUP('Données projet'!$B$9,Paramètres!$A$1:$I$89,3,0)*0.475*44/12</f>
        <v>0.84427142803188981</v>
      </c>
      <c r="AC120" s="22">
        <f t="shared" si="57"/>
        <v>81.517765155761452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432.99999999999989</v>
      </c>
      <c r="AJ120" s="13">
        <f>AI120*VLOOKUP('Données projet'!$B$10,Paramètres!$A$1:$I$89,3,0)*VLOOKUP('Données projet'!$B$10,Paramètres!$A$1:$I$89,5,0)</f>
        <v>290.45639999999992</v>
      </c>
      <c r="AK120" s="13">
        <f t="shared" si="89"/>
        <v>69.172009514864612</v>
      </c>
      <c r="AL120" s="20">
        <f t="shared" si="58"/>
        <v>626.3528132383891</v>
      </c>
      <c r="AM120" s="59">
        <f t="shared" si="59"/>
        <v>919.68614657172247</v>
      </c>
      <c r="AN120" s="59">
        <f ca="1">AVERAGE(OFFSET($AM$3,0,0,'Données projet'!$E$10+1,1))-AVERAGE(OFFSET($H$3,0,0,'Données projet'!$E$10+1,1))</f>
        <v>296.25231821504275</v>
      </c>
      <c r="AO120" s="59">
        <f t="shared" si="90"/>
        <v>316.20936902390275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18.892026059756422</v>
      </c>
      <c r="AV120" s="21">
        <f>EXP(-LN(2)/25)*AV119+(1-EXP(-LN(2)/25))/(LN(2)/25)*Calculateur!AQ120*Calculateur!AS120*VLOOKUP('Données projet'!$B$10,Paramètres!$A$1:$I$89,3,0)*0.475*44/12</f>
        <v>0.99065426980884308</v>
      </c>
      <c r="AW120" s="21">
        <f>EXP(-LN(2)/2)*AW119+(1-EXP(-LN(2)/2))/(LN(2)/2)*AQ120*AT120*VLOOKUP('Données projet'!$B$10,Paramètres!$A$1:$I$89,3,0)*0.475*44/12</f>
        <v>9.6481326689124744E-8</v>
      </c>
      <c r="AX120" s="21">
        <f t="shared" si="60"/>
        <v>19.882680426046591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318.99999999999994</v>
      </c>
      <c r="BE120" s="13">
        <f>BD120*VLOOKUP('Données projet'!$B$11,Paramètres!$A$1:$I$89,3,0)*VLOOKUP('Données projet'!$B$11,Paramètres!$A$1:$I$89,5,0)</f>
        <v>253.79639999999995</v>
      </c>
      <c r="BF120" s="13">
        <f t="shared" si="91"/>
        <v>61.398168322280704</v>
      </c>
      <c r="BG120" s="20">
        <f t="shared" si="61"/>
        <v>548.9638731613054</v>
      </c>
      <c r="BH120" s="59">
        <f t="shared" si="62"/>
        <v>842.29720649463866</v>
      </c>
      <c r="BI120" s="59">
        <f ca="1">AVERAGE(OFFSET($BH$3,0,0,'Données projet'!$E$11+1,1))-AVERAGE(OFFSET($H$3,0,0,'Données projet'!$E$11+1,1))</f>
        <v>244.50301885429764</v>
      </c>
      <c r="BJ120" s="59">
        <f t="shared" si="92"/>
        <v>248.77995374147798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18.387858509421509</v>
      </c>
      <c r="BQ120" s="21">
        <f>EXP(-LN(2)/25)*BQ119+(1-EXP(-LN(2)/25))/(LN(2)/25)*Calculateur!BL120*Calculateur!BN120*VLOOKUP('Données projet'!$B$11,Paramètres!$A$1:$I$89,3,0)*0.475*44/12</f>
        <v>1.0813042359920737</v>
      </c>
      <c r="BR120" s="21">
        <f>EXP(-LN(2)/2)*BR119+(1-EXP(-LN(2)/2))/(LN(2)/2)*BL120*BO120*VLOOKUP('Données projet'!$B$11,Paramètres!$A$1:$I$89,3,0)*0.475*44/12</f>
        <v>1.6615409849980444E-6</v>
      </c>
      <c r="BS120" s="22">
        <f t="shared" si="63"/>
        <v>19.469164406954569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1">
        <f t="shared" si="86"/>
        <v>27.69560408865161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67">
        <f t="shared" si="56"/>
        <v>521.10920378773471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311.298</v>
      </c>
      <c r="P121" s="13">
        <f t="shared" si="87"/>
        <v>73.539838278528748</v>
      </c>
      <c r="Q121" s="20">
        <f t="shared" si="107"/>
        <v>670.25923500177089</v>
      </c>
      <c r="R121" s="59">
        <f t="shared" si="55"/>
        <v>963.59256833510426</v>
      </c>
      <c r="S121" s="59">
        <f ca="1">AVERAGE(OFFSET($R$3,0,0,'Données projet'!$E$9+1,1))-AVERAGE(OFFSET($H$3,0,0,'Données projet'!$E$9+1,1))</f>
        <v>342.91408684769942</v>
      </c>
      <c r="T121" s="59">
        <f t="shared" si="88"/>
        <v>209.92380505963234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74.960125576577511</v>
      </c>
      <c r="AA121" s="21">
        <f>EXP(-LN(2)/25)*AA120+(1-EXP(-LN(2)/25))/(LN(2)/25)*Calculateur!V121*Calculateur!X121*VLOOKUP('Données projet'!$B$9,Paramètres!$A$1:$I$89,3,0)*0.475*44/12</f>
        <v>4.0988117151497256</v>
      </c>
      <c r="AB121" s="21">
        <f>EXP(-LN(2)/2)*AB120+(1-EXP(-LN(2)/2))/(LN(2)/2)*V121*Y121*VLOOKUP('Données projet'!$B$9,Paramètres!$A$1:$I$89,3,0)*0.475*44/12</f>
        <v>0.5969900519233996</v>
      </c>
      <c r="AC121" s="22">
        <f t="shared" si="57"/>
        <v>79.655927343650632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432.99999999999989</v>
      </c>
      <c r="AJ121" s="13">
        <f>AI121*VLOOKUP('Données projet'!$B$10,Paramètres!$A$1:$I$89,3,0)*VLOOKUP('Données projet'!$B$10,Paramètres!$A$1:$I$89,5,0)</f>
        <v>290.45639999999992</v>
      </c>
      <c r="AK121" s="13">
        <f t="shared" si="89"/>
        <v>69.172009514864612</v>
      </c>
      <c r="AL121" s="20">
        <f t="shared" si="58"/>
        <v>626.3528132383891</v>
      </c>
      <c r="AM121" s="59">
        <f t="shared" si="59"/>
        <v>919.68614657172247</v>
      </c>
      <c r="AN121" s="59">
        <f ca="1">AVERAGE(OFFSET($AM$3,0,0,'Données projet'!$E$10+1,1))-AVERAGE(OFFSET($H$3,0,0,'Données projet'!$E$10+1,1))</f>
        <v>296.25231821504275</v>
      </c>
      <c r="AO121" s="59">
        <f t="shared" si="90"/>
        <v>316.20936902390275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18.521564951722691</v>
      </c>
      <c r="AV121" s="21">
        <f>EXP(-LN(2)/25)*AV120+(1-EXP(-LN(2)/25))/(LN(2)/25)*Calculateur!AQ121*Calculateur!AS121*VLOOKUP('Données projet'!$B$10,Paramètres!$A$1:$I$89,3,0)*0.475*44/12</f>
        <v>0.96356477670467644</v>
      </c>
      <c r="AW121" s="21">
        <f>EXP(-LN(2)/2)*AW120+(1-EXP(-LN(2)/2))/(LN(2)/2)*AQ121*AT121*VLOOKUP('Données projet'!$B$10,Paramètres!$A$1:$I$89,3,0)*0.475*44/12</f>
        <v>6.8222600359754738E-8</v>
      </c>
      <c r="AX121" s="21">
        <f t="shared" si="60"/>
        <v>19.485129796649968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318.99999999999994</v>
      </c>
      <c r="BE121" s="13">
        <f>BD121*VLOOKUP('Données projet'!$B$11,Paramètres!$A$1:$I$89,3,0)*VLOOKUP('Données projet'!$B$11,Paramètres!$A$1:$I$89,5,0)</f>
        <v>253.79639999999995</v>
      </c>
      <c r="BF121" s="13">
        <f t="shared" si="91"/>
        <v>61.398168322280704</v>
      </c>
      <c r="BG121" s="20">
        <f t="shared" si="61"/>
        <v>548.9638731613054</v>
      </c>
      <c r="BH121" s="59">
        <f t="shared" si="62"/>
        <v>842.29720649463866</v>
      </c>
      <c r="BI121" s="59">
        <f ca="1">AVERAGE(OFFSET($BH$3,0,0,'Données projet'!$E$11+1,1))-AVERAGE(OFFSET($H$3,0,0,'Données projet'!$E$11+1,1))</f>
        <v>244.50301885429764</v>
      </c>
      <c r="BJ121" s="59">
        <f t="shared" si="92"/>
        <v>248.77995374147798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18.027283819538006</v>
      </c>
      <c r="BQ121" s="21">
        <f>EXP(-LN(2)/25)*BQ120+(1-EXP(-LN(2)/25))/(LN(2)/25)*Calculateur!BL121*Calculateur!BN121*VLOOKUP('Données projet'!$B$11,Paramètres!$A$1:$I$89,3,0)*0.475*44/12</f>
        <v>1.0517359147955521</v>
      </c>
      <c r="BR121" s="21">
        <f>EXP(-LN(2)/2)*BR120+(1-EXP(-LN(2)/2))/(LN(2)/2)*BL121*BO121*VLOOKUP('Données projet'!$B$11,Paramètres!$A$1:$I$89,3,0)*0.475*44/12</f>
        <v>1.1748868977114928E-6</v>
      </c>
      <c r="BS121" s="22">
        <f t="shared" si="63"/>
        <v>19.079020909220453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1">
        <f t="shared" si="86"/>
        <v>27.902890560352166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67">
        <f t="shared" si="56"/>
        <v>522.99174772594654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311.298</v>
      </c>
      <c r="P122" s="13">
        <f t="shared" si="87"/>
        <v>73.539838278528748</v>
      </c>
      <c r="Q122" s="20">
        <f t="shared" si="107"/>
        <v>670.25923500177089</v>
      </c>
      <c r="R122" s="59">
        <f t="shared" si="55"/>
        <v>963.59256833510426</v>
      </c>
      <c r="S122" s="59">
        <f ca="1">AVERAGE(OFFSET($R$3,0,0,'Données projet'!$E$9+1,1))-AVERAGE(OFFSET($H$3,0,0,'Données projet'!$E$9+1,1))</f>
        <v>342.91408684769942</v>
      </c>
      <c r="T122" s="59">
        <f t="shared" si="88"/>
        <v>209.92380505963234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73.490203235182832</v>
      </c>
      <c r="AA122" s="21">
        <f>EXP(-LN(2)/25)*AA121+(1-EXP(-LN(2)/25))/(LN(2)/25)*Calculateur!V122*Calculateur!X122*VLOOKUP('Données projet'!$B$9,Paramètres!$A$1:$I$89,3,0)*0.475*44/12</f>
        <v>3.9867294932518162</v>
      </c>
      <c r="AB122" s="21">
        <f>EXP(-LN(2)/2)*AB121+(1-EXP(-LN(2)/2))/(LN(2)/2)*V122*Y122*VLOOKUP('Données projet'!$B$9,Paramètres!$A$1:$I$89,3,0)*0.475*44/12</f>
        <v>0.42213571401594502</v>
      </c>
      <c r="AC122" s="22">
        <f t="shared" si="57"/>
        <v>77.899068442450599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432.99999999999989</v>
      </c>
      <c r="AJ122" s="13">
        <f>AI122*VLOOKUP('Données projet'!$B$10,Paramètres!$A$1:$I$89,3,0)*VLOOKUP('Données projet'!$B$10,Paramètres!$A$1:$I$89,5,0)</f>
        <v>290.45639999999992</v>
      </c>
      <c r="AK122" s="13">
        <f t="shared" si="89"/>
        <v>69.172009514864612</v>
      </c>
      <c r="AL122" s="20">
        <f t="shared" si="58"/>
        <v>626.3528132383891</v>
      </c>
      <c r="AM122" s="59">
        <f t="shared" si="59"/>
        <v>919.68614657172247</v>
      </c>
      <c r="AN122" s="59">
        <f ca="1">AVERAGE(OFFSET($AM$3,0,0,'Données projet'!$E$10+1,1))-AVERAGE(OFFSET($H$3,0,0,'Données projet'!$E$10+1,1))</f>
        <v>296.25231821504275</v>
      </c>
      <c r="AO122" s="59">
        <f t="shared" si="90"/>
        <v>316.20936902390275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18.158368360058539</v>
      </c>
      <c r="AV122" s="21">
        <f>EXP(-LN(2)/25)*AV121+(1-EXP(-LN(2)/25))/(LN(2)/25)*Calculateur!AQ122*Calculateur!AS122*VLOOKUP('Données projet'!$B$10,Paramètres!$A$1:$I$89,3,0)*0.475*44/12</f>
        <v>0.93721604721401774</v>
      </c>
      <c r="AW122" s="21">
        <f>EXP(-LN(2)/2)*AW121+(1-EXP(-LN(2)/2))/(LN(2)/2)*AQ122*AT122*VLOOKUP('Données projet'!$B$10,Paramètres!$A$1:$I$89,3,0)*0.475*44/12</f>
        <v>4.8240663344562372E-8</v>
      </c>
      <c r="AX122" s="21">
        <f t="shared" si="60"/>
        <v>19.095584455513222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318.99999999999994</v>
      </c>
      <c r="BE122" s="13">
        <f>BD122*VLOOKUP('Données projet'!$B$11,Paramètres!$A$1:$I$89,3,0)*VLOOKUP('Données projet'!$B$11,Paramètres!$A$1:$I$89,5,0)</f>
        <v>253.79639999999995</v>
      </c>
      <c r="BF122" s="13">
        <f t="shared" si="91"/>
        <v>61.398168322280704</v>
      </c>
      <c r="BG122" s="20">
        <f t="shared" si="61"/>
        <v>548.9638731613054</v>
      </c>
      <c r="BH122" s="59">
        <f t="shared" si="62"/>
        <v>842.29720649463866</v>
      </c>
      <c r="BI122" s="59">
        <f ca="1">AVERAGE(OFFSET($BH$3,0,0,'Données projet'!$E$11+1,1))-AVERAGE(OFFSET($H$3,0,0,'Données projet'!$E$11+1,1))</f>
        <v>244.50301885429764</v>
      </c>
      <c r="BJ122" s="59">
        <f t="shared" si="92"/>
        <v>248.77995374147798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17.673779779394273</v>
      </c>
      <c r="BQ122" s="21">
        <f>EXP(-LN(2)/25)*BQ121+(1-EXP(-LN(2)/25))/(LN(2)/25)*Calculateur!BL122*Calculateur!BN122*VLOOKUP('Données projet'!$B$11,Paramètres!$A$1:$I$89,3,0)*0.475*44/12</f>
        <v>1.0229761408970797</v>
      </c>
      <c r="BR122" s="21">
        <f>EXP(-LN(2)/2)*BR121+(1-EXP(-LN(2)/2))/(LN(2)/2)*BL122*BO122*VLOOKUP('Données projet'!$B$11,Paramètres!$A$1:$I$89,3,0)*0.475*44/12</f>
        <v>8.3077049249902221E-7</v>
      </c>
      <c r="BS122" s="22">
        <f t="shared" si="63"/>
        <v>18.696756751061844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1">
        <f t="shared" si="86"/>
        <v>28.109974371137692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67">
        <f t="shared" si="56"/>
        <v>524.873938696398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311.298</v>
      </c>
      <c r="P123" s="13">
        <f t="shared" si="87"/>
        <v>73.539838278528748</v>
      </c>
      <c r="Q123" s="20">
        <f t="shared" si="107"/>
        <v>670.25923500177089</v>
      </c>
      <c r="R123" s="59">
        <f t="shared" si="55"/>
        <v>963.59256833510426</v>
      </c>
      <c r="S123" s="59">
        <f ca="1">AVERAGE(OFFSET($R$3,0,0,'Données projet'!$E$9+1,1))-AVERAGE(OFFSET($H$3,0,0,'Données projet'!$E$9+1,1))</f>
        <v>342.91408684769942</v>
      </c>
      <c r="T123" s="59">
        <f t="shared" si="88"/>
        <v>209.92380505963234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72.049105174338806</v>
      </c>
      <c r="AA123" s="21">
        <f>EXP(-LN(2)/25)*AA122+(1-EXP(-LN(2)/25))/(LN(2)/25)*Calculateur!V123*Calculateur!X123*VLOOKUP('Données projet'!$B$9,Paramètres!$A$1:$I$89,3,0)*0.475*44/12</f>
        <v>3.8777121656058529</v>
      </c>
      <c r="AB123" s="21">
        <f>EXP(-LN(2)/2)*AB122+(1-EXP(-LN(2)/2))/(LN(2)/2)*V123*Y123*VLOOKUP('Données projet'!$B$9,Paramètres!$A$1:$I$89,3,0)*0.475*44/12</f>
        <v>0.29849502596169986</v>
      </c>
      <c r="AC123" s="22">
        <f t="shared" si="57"/>
        <v>76.225312365906362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432.99999999999989</v>
      </c>
      <c r="AJ123" s="13">
        <f>AI123*VLOOKUP('Données projet'!$B$10,Paramètres!$A$1:$I$89,3,0)*VLOOKUP('Données projet'!$B$10,Paramètres!$A$1:$I$89,5,0)</f>
        <v>290.45639999999992</v>
      </c>
      <c r="AK123" s="13">
        <f t="shared" si="89"/>
        <v>69.172009514864612</v>
      </c>
      <c r="AL123" s="20">
        <f t="shared" si="58"/>
        <v>626.3528132383891</v>
      </c>
      <c r="AM123" s="59">
        <f t="shared" si="59"/>
        <v>919.68614657172247</v>
      </c>
      <c r="AN123" s="59">
        <f ca="1">AVERAGE(OFFSET($AM$3,0,0,'Données projet'!$E$10+1,1))-AVERAGE(OFFSET($H$3,0,0,'Données projet'!$E$10+1,1))</f>
        <v>296.25231821504275</v>
      </c>
      <c r="AO123" s="59">
        <f t="shared" si="90"/>
        <v>316.20936902390275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17.802293832028873</v>
      </c>
      <c r="AV123" s="21">
        <f>EXP(-LN(2)/25)*AV122+(1-EXP(-LN(2)/25))/(LN(2)/25)*Calculateur!AQ123*Calculateur!AS123*VLOOKUP('Données projet'!$B$10,Paramètres!$A$1:$I$89,3,0)*0.475*44/12</f>
        <v>0.91158782511690051</v>
      </c>
      <c r="AW123" s="21">
        <f>EXP(-LN(2)/2)*AW122+(1-EXP(-LN(2)/2))/(LN(2)/2)*AQ123*AT123*VLOOKUP('Données projet'!$B$10,Paramètres!$A$1:$I$89,3,0)*0.475*44/12</f>
        <v>3.4111300179877369E-8</v>
      </c>
      <c r="AX123" s="21">
        <f t="shared" si="60"/>
        <v>18.713881691257072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318.99999999999994</v>
      </c>
      <c r="BE123" s="13">
        <f>BD123*VLOOKUP('Données projet'!$B$11,Paramètres!$A$1:$I$89,3,0)*VLOOKUP('Données projet'!$B$11,Paramètres!$A$1:$I$89,5,0)</f>
        <v>253.79639999999995</v>
      </c>
      <c r="BF123" s="13">
        <f t="shared" si="91"/>
        <v>61.398168322280704</v>
      </c>
      <c r="BG123" s="20">
        <f t="shared" si="61"/>
        <v>548.9638731613054</v>
      </c>
      <c r="BH123" s="59">
        <f t="shared" si="62"/>
        <v>842.29720649463866</v>
      </c>
      <c r="BI123" s="59">
        <f ca="1">AVERAGE(OFFSET($BH$3,0,0,'Données projet'!$E$11+1,1))-AVERAGE(OFFSET($H$3,0,0,'Données projet'!$E$11+1,1))</f>
        <v>244.50301885429764</v>
      </c>
      <c r="BJ123" s="59">
        <f t="shared" si="92"/>
        <v>248.77995374147798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17.327207737861585</v>
      </c>
      <c r="BQ123" s="21">
        <f>EXP(-LN(2)/25)*BQ122+(1-EXP(-LN(2)/25))/(LN(2)/25)*Calculateur!BL123*Calculateur!BN123*VLOOKUP('Données projet'!$B$11,Paramètres!$A$1:$I$89,3,0)*0.475*44/12</f>
        <v>0.99500280452827183</v>
      </c>
      <c r="BR123" s="21">
        <f>EXP(-LN(2)/2)*BR122+(1-EXP(-LN(2)/2))/(LN(2)/2)*BL123*BO123*VLOOKUP('Données projet'!$B$11,Paramètres!$A$1:$I$89,3,0)*0.475*44/12</f>
        <v>5.8744344885574641E-7</v>
      </c>
      <c r="BS123" s="22">
        <f t="shared" si="63"/>
        <v>18.322211129833306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1">
        <f t="shared" si="86"/>
        <v>28.316857405559968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67">
        <f t="shared" si="56"/>
        <v>526.75577998135009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311.298</v>
      </c>
      <c r="P124" s="13">
        <f t="shared" si="87"/>
        <v>73.539838278528748</v>
      </c>
      <c r="Q124" s="20">
        <f t="shared" si="107"/>
        <v>670.25923500177089</v>
      </c>
      <c r="R124" s="59">
        <f t="shared" si="55"/>
        <v>963.59256833510426</v>
      </c>
      <c r="S124" s="59">
        <f ca="1">AVERAGE(OFFSET($R$3,0,0,'Données projet'!$E$9+1,1))-AVERAGE(OFFSET($H$3,0,0,'Données projet'!$E$9+1,1))</f>
        <v>342.91408684769942</v>
      </c>
      <c r="T124" s="59">
        <f t="shared" si="88"/>
        <v>209.92380505963234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70.636266167484905</v>
      </c>
      <c r="AA124" s="21">
        <f>EXP(-LN(2)/25)*AA123+(1-EXP(-LN(2)/25))/(LN(2)/25)*Calculateur!V124*Calculateur!X124*VLOOKUP('Données projet'!$B$9,Paramètres!$A$1:$I$89,3,0)*0.475*44/12</f>
        <v>3.7716759225173409</v>
      </c>
      <c r="AB124" s="21">
        <f>EXP(-LN(2)/2)*AB123+(1-EXP(-LN(2)/2))/(LN(2)/2)*V124*Y124*VLOOKUP('Données projet'!$B$9,Paramètres!$A$1:$I$89,3,0)*0.475*44/12</f>
        <v>0.21106785700797254</v>
      </c>
      <c r="AC124" s="22">
        <f t="shared" si="57"/>
        <v>74.619009947010227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432.99999999999989</v>
      </c>
      <c r="AJ124" s="13">
        <f>AI124*VLOOKUP('Données projet'!$B$10,Paramètres!$A$1:$I$89,3,0)*VLOOKUP('Données projet'!$B$10,Paramètres!$A$1:$I$89,5,0)</f>
        <v>290.45639999999992</v>
      </c>
      <c r="AK124" s="13">
        <f t="shared" si="89"/>
        <v>69.172009514864612</v>
      </c>
      <c r="AL124" s="20">
        <f t="shared" si="58"/>
        <v>626.3528132383891</v>
      </c>
      <c r="AM124" s="59">
        <f t="shared" si="59"/>
        <v>919.68614657172247</v>
      </c>
      <c r="AN124" s="59">
        <f ca="1">AVERAGE(OFFSET($AM$3,0,0,'Données projet'!$E$10+1,1))-AVERAGE(OFFSET($H$3,0,0,'Données projet'!$E$10+1,1))</f>
        <v>296.25231821504275</v>
      </c>
      <c r="AO124" s="59">
        <f t="shared" si="90"/>
        <v>316.20936902390275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17.453201708309855</v>
      </c>
      <c r="AV124" s="21">
        <f>EXP(-LN(2)/25)*AV123+(1-EXP(-LN(2)/25))/(LN(2)/25)*Calculateur!AQ124*Calculateur!AS124*VLOOKUP('Données projet'!$B$10,Paramètres!$A$1:$I$89,3,0)*0.475*44/12</f>
        <v>0.88666040810075863</v>
      </c>
      <c r="AW124" s="21">
        <f>EXP(-LN(2)/2)*AW123+(1-EXP(-LN(2)/2))/(LN(2)/2)*AQ124*AT124*VLOOKUP('Données projet'!$B$10,Paramètres!$A$1:$I$89,3,0)*0.475*44/12</f>
        <v>2.4120331672281186E-8</v>
      </c>
      <c r="AX124" s="21">
        <f t="shared" si="60"/>
        <v>18.339862140530947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318.99999999999994</v>
      </c>
      <c r="BE124" s="13">
        <f>BD124*VLOOKUP('Données projet'!$B$11,Paramètres!$A$1:$I$89,3,0)*VLOOKUP('Données projet'!$B$11,Paramètres!$A$1:$I$89,5,0)</f>
        <v>253.79639999999995</v>
      </c>
      <c r="BF124" s="13">
        <f t="shared" si="91"/>
        <v>61.398168322280704</v>
      </c>
      <c r="BG124" s="20">
        <f t="shared" si="61"/>
        <v>548.9638731613054</v>
      </c>
      <c r="BH124" s="59">
        <f t="shared" si="62"/>
        <v>842.29720649463866</v>
      </c>
      <c r="BI124" s="59">
        <f ca="1">AVERAGE(OFFSET($BH$3,0,0,'Données projet'!$E$11+1,1))-AVERAGE(OFFSET($H$3,0,0,'Données projet'!$E$11+1,1))</f>
        <v>244.50301885429764</v>
      </c>
      <c r="BJ124" s="59">
        <f t="shared" si="92"/>
        <v>248.77995374147798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16.987431762675282</v>
      </c>
      <c r="BQ124" s="21">
        <f>EXP(-LN(2)/25)*BQ123+(1-EXP(-LN(2)/25))/(LN(2)/25)*Calculateur!BL124*Calculateur!BN124*VLOOKUP('Données projet'!$B$11,Paramètres!$A$1:$I$89,3,0)*0.475*44/12</f>
        <v>0.96779440051352283</v>
      </c>
      <c r="BR124" s="21">
        <f>EXP(-LN(2)/2)*BR123+(1-EXP(-LN(2)/2))/(LN(2)/2)*BL124*BO124*VLOOKUP('Données projet'!$B$11,Paramètres!$A$1:$I$89,3,0)*0.475*44/12</f>
        <v>4.1538524624951111E-7</v>
      </c>
      <c r="BS124" s="22">
        <f t="shared" si="63"/>
        <v>17.955226578574052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1">
        <f t="shared" si="86"/>
        <v>28.523541515222913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67">
        <f t="shared" si="56"/>
        <v>528.63727480567968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311.298</v>
      </c>
      <c r="P125" s="13">
        <f t="shared" si="87"/>
        <v>73.539838278528748</v>
      </c>
      <c r="Q125" s="20">
        <f t="shared" si="107"/>
        <v>670.25923500177089</v>
      </c>
      <c r="R125" s="59">
        <f t="shared" si="55"/>
        <v>963.59256833510426</v>
      </c>
      <c r="S125" s="59">
        <f ca="1">AVERAGE(OFFSET($R$3,0,0,'Données projet'!$E$9+1,1))-AVERAGE(OFFSET($H$3,0,0,'Données projet'!$E$9+1,1))</f>
        <v>342.91408684769942</v>
      </c>
      <c r="T125" s="59">
        <f t="shared" si="88"/>
        <v>209.92380505963234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69.251132071808712</v>
      </c>
      <c r="AA125" s="21">
        <f>EXP(-LN(2)/25)*AA124+(1-EXP(-LN(2)/25))/(LN(2)/25)*Calculateur!V125*Calculateur!X125*VLOOKUP('Données projet'!$B$9,Paramètres!$A$1:$I$89,3,0)*0.475*44/12</f>
        <v>3.6685392460722879</v>
      </c>
      <c r="AB125" s="21">
        <f>EXP(-LN(2)/2)*AB124+(1-EXP(-LN(2)/2))/(LN(2)/2)*V125*Y125*VLOOKUP('Données projet'!$B$9,Paramètres!$A$1:$I$89,3,0)*0.475*44/12</f>
        <v>0.14924751298084996</v>
      </c>
      <c r="AC125" s="22">
        <f t="shared" si="57"/>
        <v>73.068918830861847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432.99999999999989</v>
      </c>
      <c r="AJ125" s="13">
        <f>AI125*VLOOKUP('Données projet'!$B$10,Paramètres!$A$1:$I$89,3,0)*VLOOKUP('Données projet'!$B$10,Paramètres!$A$1:$I$89,5,0)</f>
        <v>290.45639999999992</v>
      </c>
      <c r="AK125" s="13">
        <f t="shared" si="89"/>
        <v>69.172009514864612</v>
      </c>
      <c r="AL125" s="20">
        <f t="shared" si="58"/>
        <v>626.3528132383891</v>
      </c>
      <c r="AM125" s="59">
        <f t="shared" si="59"/>
        <v>919.68614657172247</v>
      </c>
      <c r="AN125" s="59">
        <f ca="1">AVERAGE(OFFSET($AM$3,0,0,'Données projet'!$E$10+1,1))-AVERAGE(OFFSET($H$3,0,0,'Données projet'!$E$10+1,1))</f>
        <v>296.25231821504275</v>
      </c>
      <c r="AO125" s="59">
        <f t="shared" si="90"/>
        <v>316.20936902390275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17.110955068211794</v>
      </c>
      <c r="AV125" s="21">
        <f>EXP(-LN(2)/25)*AV124+(1-EXP(-LN(2)/25))/(LN(2)/25)*Calculateur!AQ125*Calculateur!AS125*VLOOKUP('Données projet'!$B$10,Paramètres!$A$1:$I$89,3,0)*0.475*44/12</f>
        <v>0.86241463261379903</v>
      </c>
      <c r="AW125" s="21">
        <f>EXP(-LN(2)/2)*AW124+(1-EXP(-LN(2)/2))/(LN(2)/2)*AQ125*AT125*VLOOKUP('Données projet'!$B$10,Paramètres!$A$1:$I$89,3,0)*0.475*44/12</f>
        <v>1.7055650089938685E-8</v>
      </c>
      <c r="AX125" s="21">
        <f t="shared" si="60"/>
        <v>17.973369717881244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318.99999999999994</v>
      </c>
      <c r="BE125" s="13">
        <f>BD125*VLOOKUP('Données projet'!$B$11,Paramètres!$A$1:$I$89,3,0)*VLOOKUP('Données projet'!$B$11,Paramètres!$A$1:$I$89,5,0)</f>
        <v>253.79639999999995</v>
      </c>
      <c r="BF125" s="13">
        <f t="shared" si="91"/>
        <v>61.398168322280704</v>
      </c>
      <c r="BG125" s="20">
        <f t="shared" si="61"/>
        <v>548.9638731613054</v>
      </c>
      <c r="BH125" s="59">
        <f t="shared" si="62"/>
        <v>842.29720649463866</v>
      </c>
      <c r="BI125" s="59">
        <f ca="1">AVERAGE(OFFSET($BH$3,0,0,'Données projet'!$E$11+1,1))-AVERAGE(OFFSET($H$3,0,0,'Données projet'!$E$11+1,1))</f>
        <v>244.50301885429764</v>
      </c>
      <c r="BJ125" s="59">
        <f t="shared" si="92"/>
        <v>248.77995374147798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16.654318587119501</v>
      </c>
      <c r="BQ125" s="21">
        <f>EXP(-LN(2)/25)*BQ124+(1-EXP(-LN(2)/25))/(LN(2)/25)*Calculateur!BL125*Calculateur!BN125*VLOOKUP('Données projet'!$B$11,Paramètres!$A$1:$I$89,3,0)*0.475*44/12</f>
        <v>0.94133001173738495</v>
      </c>
      <c r="BR125" s="21">
        <f>EXP(-LN(2)/2)*BR124+(1-EXP(-LN(2)/2))/(LN(2)/2)*BL125*BO125*VLOOKUP('Données projet'!$B$11,Paramètres!$A$1:$I$89,3,0)*0.475*44/12</f>
        <v>2.9372172442787321E-7</v>
      </c>
      <c r="BS125" s="22">
        <f t="shared" si="63"/>
        <v>17.595648892578613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1">
        <f t="shared" si="86"/>
        <v>28.730028519623875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67">
        <f t="shared" si="56"/>
        <v>530.51842633834474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311.298</v>
      </c>
      <c r="P126" s="13">
        <f t="shared" si="87"/>
        <v>73.539838278528748</v>
      </c>
      <c r="Q126" s="20">
        <f t="shared" si="107"/>
        <v>670.25923500177089</v>
      </c>
      <c r="R126" s="59">
        <f t="shared" si="55"/>
        <v>963.59256833510426</v>
      </c>
      <c r="S126" s="59">
        <f ca="1">AVERAGE(OFFSET($R$3,0,0,'Données projet'!$E$9+1,1))-AVERAGE(OFFSET($H$3,0,0,'Données projet'!$E$9+1,1))</f>
        <v>342.91408684769942</v>
      </c>
      <c r="T126" s="59">
        <f t="shared" si="88"/>
        <v>209.92380505963234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67.893159610900355</v>
      </c>
      <c r="AA126" s="21">
        <f>EXP(-LN(2)/25)*AA125+(1-EXP(-LN(2)/25))/(LN(2)/25)*Calculateur!V126*Calculateur!X126*VLOOKUP('Données projet'!$B$9,Paramètres!$A$1:$I$89,3,0)*0.475*44/12</f>
        <v>3.5682228474683466</v>
      </c>
      <c r="AB126" s="21">
        <f>EXP(-LN(2)/2)*AB125+(1-EXP(-LN(2)/2))/(LN(2)/2)*V126*Y126*VLOOKUP('Données projet'!$B$9,Paramètres!$A$1:$I$89,3,0)*0.475*44/12</f>
        <v>0.10553392850398628</v>
      </c>
      <c r="AC126" s="22">
        <f t="shared" si="57"/>
        <v>71.566916386872691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432.99999999999989</v>
      </c>
      <c r="AJ126" s="13">
        <f>AI126*VLOOKUP('Données projet'!$B$10,Paramètres!$A$1:$I$89,3,0)*VLOOKUP('Données projet'!$B$10,Paramètres!$A$1:$I$89,5,0)</f>
        <v>290.45639999999992</v>
      </c>
      <c r="AK126" s="13">
        <f t="shared" si="89"/>
        <v>69.172009514864612</v>
      </c>
      <c r="AL126" s="20">
        <f t="shared" si="58"/>
        <v>626.3528132383891</v>
      </c>
      <c r="AM126" s="59">
        <f t="shared" si="59"/>
        <v>919.68614657172247</v>
      </c>
      <c r="AN126" s="59">
        <f ca="1">AVERAGE(OFFSET($AM$3,0,0,'Données projet'!$E$10+1,1))-AVERAGE(OFFSET($H$3,0,0,'Données projet'!$E$10+1,1))</f>
        <v>296.25231821504275</v>
      </c>
      <c r="AO126" s="59">
        <f t="shared" si="90"/>
        <v>316.20936902390275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16.77541967597622</v>
      </c>
      <c r="AV126" s="21">
        <f>EXP(-LN(2)/25)*AV125+(1-EXP(-LN(2)/25))/(LN(2)/25)*Calculateur!AQ126*Calculateur!AS126*VLOOKUP('Données projet'!$B$10,Paramètres!$A$1:$I$89,3,0)*0.475*44/12</f>
        <v>0.8388318591325602</v>
      </c>
      <c r="AW126" s="21">
        <f>EXP(-LN(2)/2)*AW125+(1-EXP(-LN(2)/2))/(LN(2)/2)*AQ126*AT126*VLOOKUP('Données projet'!$B$10,Paramètres!$A$1:$I$89,3,0)*0.475*44/12</f>
        <v>1.2060165836140593E-8</v>
      </c>
      <c r="AX126" s="21">
        <f t="shared" si="60"/>
        <v>17.614251547168948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318.99999999999994</v>
      </c>
      <c r="BE126" s="13">
        <f>BD126*VLOOKUP('Données projet'!$B$11,Paramètres!$A$1:$I$89,3,0)*VLOOKUP('Données projet'!$B$11,Paramètres!$A$1:$I$89,5,0)</f>
        <v>253.79639999999995</v>
      </c>
      <c r="BF126" s="13">
        <f t="shared" si="91"/>
        <v>61.398168322280704</v>
      </c>
      <c r="BG126" s="20">
        <f t="shared" si="61"/>
        <v>548.9638731613054</v>
      </c>
      <c r="BH126" s="59">
        <f t="shared" si="62"/>
        <v>842.29720649463866</v>
      </c>
      <c r="BI126" s="59">
        <f ca="1">AVERAGE(OFFSET($BH$3,0,0,'Données projet'!$E$11+1,1))-AVERAGE(OFFSET($H$3,0,0,'Données projet'!$E$11+1,1))</f>
        <v>244.50301885429764</v>
      </c>
      <c r="BJ126" s="59">
        <f t="shared" si="92"/>
        <v>248.77995374147798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16.327737557757395</v>
      </c>
      <c r="BQ126" s="21">
        <f>EXP(-LN(2)/25)*BQ125+(1-EXP(-LN(2)/25))/(LN(2)/25)*Calculateur!BL126*Calculateur!BN126*VLOOKUP('Données projet'!$B$11,Paramètres!$A$1:$I$89,3,0)*0.475*44/12</f>
        <v>0.91558929306403225</v>
      </c>
      <c r="BR126" s="21">
        <f>EXP(-LN(2)/2)*BR125+(1-EXP(-LN(2)/2))/(LN(2)/2)*BL126*BO126*VLOOKUP('Données projet'!$B$11,Paramètres!$A$1:$I$89,3,0)*0.475*44/12</f>
        <v>2.0769262312475555E-7</v>
      </c>
      <c r="BS126" s="22">
        <f t="shared" si="63"/>
        <v>17.243327058514048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1">
        <f t="shared" si="86"/>
        <v>28.936320206966858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67">
        <f t="shared" si="56"/>
        <v>532.39923769380039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311.298</v>
      </c>
      <c r="P127" s="13">
        <f t="shared" si="87"/>
        <v>73.539838278528748</v>
      </c>
      <c r="Q127" s="20">
        <f t="shared" si="107"/>
        <v>670.25923500177089</v>
      </c>
      <c r="R127" s="59">
        <f t="shared" si="55"/>
        <v>963.59256833510426</v>
      </c>
      <c r="S127" s="59">
        <f ca="1">AVERAGE(OFFSET($R$3,0,0,'Données projet'!$E$9+1,1))-AVERAGE(OFFSET($H$3,0,0,'Données projet'!$E$9+1,1))</f>
        <v>342.91408684769942</v>
      </c>
      <c r="T127" s="59">
        <f t="shared" si="88"/>
        <v>209.92380505963234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66.561816161668986</v>
      </c>
      <c r="AA127" s="21">
        <f>EXP(-LN(2)/25)*AA126+(1-EXP(-LN(2)/25))/(LN(2)/25)*Calculateur!V127*Calculateur!X127*VLOOKUP('Données projet'!$B$9,Paramètres!$A$1:$I$89,3,0)*0.475*44/12</f>
        <v>3.4706496060596406</v>
      </c>
      <c r="AB127" s="21">
        <f>EXP(-LN(2)/2)*AB126+(1-EXP(-LN(2)/2))/(LN(2)/2)*V127*Y127*VLOOKUP('Données projet'!$B$9,Paramètres!$A$1:$I$89,3,0)*0.475*44/12</f>
        <v>7.4623756490424978E-2</v>
      </c>
      <c r="AC127" s="22">
        <f t="shared" si="57"/>
        <v>70.107089524219049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432.99999999999989</v>
      </c>
      <c r="AJ127" s="13">
        <f>AI127*VLOOKUP('Données projet'!$B$10,Paramètres!$A$1:$I$89,3,0)*VLOOKUP('Données projet'!$B$10,Paramètres!$A$1:$I$89,5,0)</f>
        <v>290.45639999999992</v>
      </c>
      <c r="AK127" s="13">
        <f t="shared" si="89"/>
        <v>69.172009514864612</v>
      </c>
      <c r="AL127" s="20">
        <f t="shared" si="58"/>
        <v>626.3528132383891</v>
      </c>
      <c r="AM127" s="59">
        <f t="shared" si="59"/>
        <v>919.68614657172247</v>
      </c>
      <c r="AN127" s="59">
        <f ca="1">AVERAGE(OFFSET($AM$3,0,0,'Données projet'!$E$10+1,1))-AVERAGE(OFFSET($H$3,0,0,'Données projet'!$E$10+1,1))</f>
        <v>296.25231821504275</v>
      </c>
      <c r="AO127" s="59">
        <f t="shared" si="90"/>
        <v>316.20936902390275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16.446463928126004</v>
      </c>
      <c r="AV127" s="21">
        <f>EXP(-LN(2)/25)*AV126+(1-EXP(-LN(2)/25))/(LN(2)/25)*Calculateur!AQ127*Calculateur!AS127*VLOOKUP('Données projet'!$B$10,Paramètres!$A$1:$I$89,3,0)*0.475*44/12</f>
        <v>0.8158939578323301</v>
      </c>
      <c r="AW127" s="21">
        <f>EXP(-LN(2)/2)*AW126+(1-EXP(-LN(2)/2))/(LN(2)/2)*AQ127*AT127*VLOOKUP('Données projet'!$B$10,Paramètres!$A$1:$I$89,3,0)*0.475*44/12</f>
        <v>8.5278250449693423E-9</v>
      </c>
      <c r="AX127" s="21">
        <f t="shared" si="60"/>
        <v>17.262357894486158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318.99999999999994</v>
      </c>
      <c r="BE127" s="13">
        <f>BD127*VLOOKUP('Données projet'!$B$11,Paramètres!$A$1:$I$89,3,0)*VLOOKUP('Données projet'!$B$11,Paramètres!$A$1:$I$89,5,0)</f>
        <v>253.79639999999995</v>
      </c>
      <c r="BF127" s="13">
        <f t="shared" si="91"/>
        <v>61.398168322280704</v>
      </c>
      <c r="BG127" s="20">
        <f t="shared" si="61"/>
        <v>548.9638731613054</v>
      </c>
      <c r="BH127" s="59">
        <f t="shared" si="62"/>
        <v>842.29720649463866</v>
      </c>
      <c r="BI127" s="59">
        <f ca="1">AVERAGE(OFFSET($BH$3,0,0,'Données projet'!$E$11+1,1))-AVERAGE(OFFSET($H$3,0,0,'Données projet'!$E$11+1,1))</f>
        <v>244.50301885429764</v>
      </c>
      <c r="BJ127" s="59">
        <f t="shared" si="92"/>
        <v>248.77995374147798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16.007560583186319</v>
      </c>
      <c r="BQ127" s="21">
        <f>EXP(-LN(2)/25)*BQ126+(1-EXP(-LN(2)/25))/(LN(2)/25)*Calculateur!BL127*Calculateur!BN127*VLOOKUP('Données projet'!$B$11,Paramètres!$A$1:$I$89,3,0)*0.475*44/12</f>
        <v>0.89055245569644792</v>
      </c>
      <c r="BR127" s="21">
        <f>EXP(-LN(2)/2)*BR126+(1-EXP(-LN(2)/2))/(LN(2)/2)*BL127*BO127*VLOOKUP('Données projet'!$B$11,Paramètres!$A$1:$I$89,3,0)*0.475*44/12</f>
        <v>1.468608622139366E-7</v>
      </c>
      <c r="BS127" s="22">
        <f t="shared" si="63"/>
        <v>16.898113185743629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1">
        <f t="shared" si="86"/>
        <v>29.142418334948587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67">
        <f t="shared" si="56"/>
        <v>534.27971193336862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311.298</v>
      </c>
      <c r="P128" s="13">
        <f t="shared" si="87"/>
        <v>73.539838278528748</v>
      </c>
      <c r="Q128" s="20">
        <f t="shared" si="107"/>
        <v>670.25923500177089</v>
      </c>
      <c r="R128" s="59">
        <f t="shared" si="55"/>
        <v>963.59256833510426</v>
      </c>
      <c r="S128" s="59">
        <f ca="1">AVERAGE(OFFSET($R$3,0,0,'Données projet'!$E$9+1,1))-AVERAGE(OFFSET($H$3,0,0,'Données projet'!$E$9+1,1))</f>
        <v>342.91408684769942</v>
      </c>
      <c r="T128" s="59">
        <f t="shared" si="88"/>
        <v>209.92380505963234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65.256579545437731</v>
      </c>
      <c r="AA128" s="21">
        <f>EXP(-LN(2)/25)*AA127+(1-EXP(-LN(2)/25))/(LN(2)/25)*Calculateur!V128*Calculateur!X128*VLOOKUP('Données projet'!$B$9,Paramètres!$A$1:$I$89,3,0)*0.475*44/12</f>
        <v>3.3757445100684094</v>
      </c>
      <c r="AB128" s="21">
        <f>EXP(-LN(2)/2)*AB127+(1-EXP(-LN(2)/2))/(LN(2)/2)*V128*Y128*VLOOKUP('Données projet'!$B$9,Paramètres!$A$1:$I$89,3,0)*0.475*44/12</f>
        <v>5.2766964251993141E-2</v>
      </c>
      <c r="AC128" s="22">
        <f t="shared" si="57"/>
        <v>68.685091019758133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432.99999999999989</v>
      </c>
      <c r="AJ128" s="13">
        <f>AI128*VLOOKUP('Données projet'!$B$10,Paramètres!$A$1:$I$89,3,0)*VLOOKUP('Données projet'!$B$10,Paramètres!$A$1:$I$89,5,0)</f>
        <v>290.45639999999992</v>
      </c>
      <c r="AK128" s="13">
        <f t="shared" si="89"/>
        <v>69.172009514864612</v>
      </c>
      <c r="AL128" s="20">
        <f t="shared" si="58"/>
        <v>626.3528132383891</v>
      </c>
      <c r="AM128" s="59">
        <f t="shared" si="59"/>
        <v>919.68614657172247</v>
      </c>
      <c r="AN128" s="59">
        <f ca="1">AVERAGE(OFFSET($AM$3,0,0,'Données projet'!$E$10+1,1))-AVERAGE(OFFSET($H$3,0,0,'Données projet'!$E$10+1,1))</f>
        <v>296.25231821504275</v>
      </c>
      <c r="AO128" s="59">
        <f t="shared" si="90"/>
        <v>316.20936902390275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16.123958801847934</v>
      </c>
      <c r="AV128" s="21">
        <f>EXP(-LN(2)/25)*AV127+(1-EXP(-LN(2)/25))/(LN(2)/25)*Calculateur!AQ128*Calculateur!AS128*VLOOKUP('Données projet'!$B$10,Paramètres!$A$1:$I$89,3,0)*0.475*44/12</f>
        <v>0.79358329464940658</v>
      </c>
      <c r="AW128" s="21">
        <f>EXP(-LN(2)/2)*AW127+(1-EXP(-LN(2)/2))/(LN(2)/2)*AQ128*AT128*VLOOKUP('Données projet'!$B$10,Paramètres!$A$1:$I$89,3,0)*0.475*44/12</f>
        <v>6.0300829180702965E-9</v>
      </c>
      <c r="AX128" s="21">
        <f t="shared" si="60"/>
        <v>16.91754210252742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318.99999999999994</v>
      </c>
      <c r="BE128" s="13">
        <f>BD128*VLOOKUP('Données projet'!$B$11,Paramètres!$A$1:$I$89,3,0)*VLOOKUP('Données projet'!$B$11,Paramètres!$A$1:$I$89,5,0)</f>
        <v>253.79639999999995</v>
      </c>
      <c r="BF128" s="13">
        <f t="shared" si="91"/>
        <v>61.398168322280704</v>
      </c>
      <c r="BG128" s="20">
        <f t="shared" si="61"/>
        <v>548.9638731613054</v>
      </c>
      <c r="BH128" s="59">
        <f t="shared" si="62"/>
        <v>842.29720649463866</v>
      </c>
      <c r="BI128" s="59">
        <f ca="1">AVERAGE(OFFSET($BH$3,0,0,'Données projet'!$E$11+1,1))-AVERAGE(OFFSET($H$3,0,0,'Données projet'!$E$11+1,1))</f>
        <v>244.50301885429764</v>
      </c>
      <c r="BJ128" s="59">
        <f t="shared" si="92"/>
        <v>248.77995374147798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15.693662083797911</v>
      </c>
      <c r="BQ128" s="21">
        <f>EXP(-LN(2)/25)*BQ127+(1-EXP(-LN(2)/25))/(LN(2)/25)*Calculateur!BL128*Calculateur!BN128*VLOOKUP('Données projet'!$B$11,Paramètres!$A$1:$I$89,3,0)*0.475*44/12</f>
        <v>0.8662002519633103</v>
      </c>
      <c r="BR128" s="21">
        <f>EXP(-LN(2)/2)*BR127+(1-EXP(-LN(2)/2))/(LN(2)/2)*BL128*BO128*VLOOKUP('Données projet'!$B$11,Paramètres!$A$1:$I$89,3,0)*0.475*44/12</f>
        <v>1.0384631156237778E-7</v>
      </c>
      <c r="BS128" s="22">
        <f t="shared" si="63"/>
        <v>16.559862439607532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1">
        <f t="shared" si="86"/>
        <v>29.348324631518803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67">
        <f t="shared" si="56"/>
        <v>536.15985206656171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311.298</v>
      </c>
      <c r="P129" s="13">
        <f t="shared" si="87"/>
        <v>73.539838278528748</v>
      </c>
      <c r="Q129" s="20">
        <f t="shared" si="107"/>
        <v>670.25923500177089</v>
      </c>
      <c r="R129" s="59">
        <f t="shared" si="55"/>
        <v>963.59256833510426</v>
      </c>
      <c r="S129" s="59">
        <f ca="1">AVERAGE(OFFSET($R$3,0,0,'Données projet'!$E$9+1,1))-AVERAGE(OFFSET($H$3,0,0,'Données projet'!$E$9+1,1))</f>
        <v>342.91408684769942</v>
      </c>
      <c r="T129" s="59">
        <f t="shared" si="88"/>
        <v>209.92380505963234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63.976937823135039</v>
      </c>
      <c r="AA129" s="21">
        <f>EXP(-LN(2)/25)*AA128+(1-EXP(-LN(2)/25))/(LN(2)/25)*Calculateur!V129*Calculateur!X129*VLOOKUP('Données projet'!$B$9,Paramètres!$A$1:$I$89,3,0)*0.475*44/12</f>
        <v>3.2834345989179003</v>
      </c>
      <c r="AB129" s="21">
        <f>EXP(-LN(2)/2)*AB128+(1-EXP(-LN(2)/2))/(LN(2)/2)*V129*Y129*VLOOKUP('Données projet'!$B$9,Paramètres!$A$1:$I$89,3,0)*0.475*44/12</f>
        <v>3.7311878245212489E-2</v>
      </c>
      <c r="AC129" s="22">
        <f t="shared" si="57"/>
        <v>67.297684300298158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432.99999999999989</v>
      </c>
      <c r="AJ129" s="13">
        <f>AI129*VLOOKUP('Données projet'!$B$10,Paramètres!$A$1:$I$89,3,0)*VLOOKUP('Données projet'!$B$10,Paramètres!$A$1:$I$89,5,0)</f>
        <v>290.45639999999992</v>
      </c>
      <c r="AK129" s="13">
        <f t="shared" si="89"/>
        <v>69.172009514864612</v>
      </c>
      <c r="AL129" s="20">
        <f t="shared" si="58"/>
        <v>626.3528132383891</v>
      </c>
      <c r="AM129" s="59">
        <f t="shared" si="59"/>
        <v>919.68614657172247</v>
      </c>
      <c r="AN129" s="59">
        <f ca="1">AVERAGE(OFFSET($AM$3,0,0,'Données projet'!$E$10+1,1))-AVERAGE(OFFSET($H$3,0,0,'Données projet'!$E$10+1,1))</f>
        <v>296.25231821504275</v>
      </c>
      <c r="AO129" s="59">
        <f t="shared" si="90"/>
        <v>316.20936902390275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15.807777804387474</v>
      </c>
      <c r="AV129" s="21">
        <f>EXP(-LN(2)/25)*AV128+(1-EXP(-LN(2)/25))/(LN(2)/25)*Calculateur!AQ129*Calculateur!AS129*VLOOKUP('Données projet'!$B$10,Paramètres!$A$1:$I$89,3,0)*0.475*44/12</f>
        <v>0.7718827177244868</v>
      </c>
      <c r="AW129" s="21">
        <f>EXP(-LN(2)/2)*AW128+(1-EXP(-LN(2)/2))/(LN(2)/2)*AQ129*AT129*VLOOKUP('Données projet'!$B$10,Paramètres!$A$1:$I$89,3,0)*0.475*44/12</f>
        <v>4.2639125224846711E-9</v>
      </c>
      <c r="AX129" s="21">
        <f t="shared" si="60"/>
        <v>16.579660526375875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318.99999999999994</v>
      </c>
      <c r="BE129" s="13">
        <f>BD129*VLOOKUP('Données projet'!$B$11,Paramètres!$A$1:$I$89,3,0)*VLOOKUP('Données projet'!$B$11,Paramètres!$A$1:$I$89,5,0)</f>
        <v>253.79639999999995</v>
      </c>
      <c r="BF129" s="13">
        <f t="shared" si="91"/>
        <v>61.398168322280704</v>
      </c>
      <c r="BG129" s="20">
        <f t="shared" si="61"/>
        <v>548.9638731613054</v>
      </c>
      <c r="BH129" s="59">
        <f t="shared" si="62"/>
        <v>842.29720649463866</v>
      </c>
      <c r="BI129" s="59">
        <f ca="1">AVERAGE(OFFSET($BH$3,0,0,'Données projet'!$E$11+1,1))-AVERAGE(OFFSET($H$3,0,0,'Données projet'!$E$11+1,1))</f>
        <v>244.50301885429764</v>
      </c>
      <c r="BJ129" s="59">
        <f t="shared" si="92"/>
        <v>248.77995374147798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15.385918942523329</v>
      </c>
      <c r="BQ129" s="21">
        <f>EXP(-LN(2)/25)*BQ128+(1-EXP(-LN(2)/25))/(LN(2)/25)*Calculateur!BL129*Calculateur!BN129*VLOOKUP('Données projet'!$B$11,Paramètres!$A$1:$I$89,3,0)*0.475*44/12</f>
        <v>0.8425139605218821</v>
      </c>
      <c r="BR129" s="21">
        <f>EXP(-LN(2)/2)*BR128+(1-EXP(-LN(2)/2))/(LN(2)/2)*BL129*BO129*VLOOKUP('Données projet'!$B$11,Paramètres!$A$1:$I$89,3,0)*0.475*44/12</f>
        <v>7.3430431106968302E-8</v>
      </c>
      <c r="BS129" s="22">
        <f t="shared" si="63"/>
        <v>16.228432976475641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1">
        <f t="shared" si="86"/>
        <v>29.554040795615606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67">
        <f t="shared" si="56"/>
        <v>538.03966105236361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311.298</v>
      </c>
      <c r="P130" s="13">
        <f t="shared" si="87"/>
        <v>73.539838278528748</v>
      </c>
      <c r="Q130" s="20">
        <f t="shared" si="107"/>
        <v>670.25923500177089</v>
      </c>
      <c r="R130" s="59">
        <f t="shared" si="55"/>
        <v>963.59256833510426</v>
      </c>
      <c r="S130" s="59">
        <f ca="1">AVERAGE(OFFSET($R$3,0,0,'Données projet'!$E$9+1,1))-AVERAGE(OFFSET($H$3,0,0,'Données projet'!$E$9+1,1))</f>
        <v>342.91408684769942</v>
      </c>
      <c r="T130" s="59">
        <f t="shared" si="88"/>
        <v>209.92380505963234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62.722389094502326</v>
      </c>
      <c r="AA130" s="21">
        <f>EXP(-LN(2)/25)*AA129+(1-EXP(-LN(2)/25))/(LN(2)/25)*Calculateur!V130*Calculateur!X130*VLOOKUP('Données projet'!$B$9,Paramètres!$A$1:$I$89,3,0)*0.475*44/12</f>
        <v>3.193648907142169</v>
      </c>
      <c r="AB130" s="21">
        <f>EXP(-LN(2)/2)*AB129+(1-EXP(-LN(2)/2))/(LN(2)/2)*V130*Y130*VLOOKUP('Données projet'!$B$9,Paramètres!$A$1:$I$89,3,0)*0.475*44/12</f>
        <v>2.6383482125996571E-2</v>
      </c>
      <c r="AC130" s="22">
        <f t="shared" si="57"/>
        <v>65.942421483770488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432.99999999999989</v>
      </c>
      <c r="AJ130" s="13">
        <f>AI130*VLOOKUP('Données projet'!$B$10,Paramètres!$A$1:$I$89,3,0)*VLOOKUP('Données projet'!$B$10,Paramètres!$A$1:$I$89,5,0)</f>
        <v>290.45639999999992</v>
      </c>
      <c r="AK130" s="13">
        <f t="shared" si="89"/>
        <v>69.172009514864612</v>
      </c>
      <c r="AL130" s="20">
        <f t="shared" si="58"/>
        <v>626.3528132383891</v>
      </c>
      <c r="AM130" s="59">
        <f t="shared" si="59"/>
        <v>919.68614657172247</v>
      </c>
      <c r="AN130" s="59">
        <f ca="1">AVERAGE(OFFSET($AM$3,0,0,'Données projet'!$E$10+1,1))-AVERAGE(OFFSET($H$3,0,0,'Données projet'!$E$10+1,1))</f>
        <v>296.25231821504275</v>
      </c>
      <c r="AO130" s="59">
        <f t="shared" si="90"/>
        <v>316.20936902390275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15.497796923435848</v>
      </c>
      <c r="AV130" s="21">
        <f>EXP(-LN(2)/25)*AV129+(1-EXP(-LN(2)/25))/(LN(2)/25)*Calculateur!AQ130*Calculateur!AS130*VLOOKUP('Données projet'!$B$10,Paramètres!$A$1:$I$89,3,0)*0.475*44/12</f>
        <v>0.75077554421676274</v>
      </c>
      <c r="AW130" s="21">
        <f>EXP(-LN(2)/2)*AW129+(1-EXP(-LN(2)/2))/(LN(2)/2)*AQ130*AT130*VLOOKUP('Données projet'!$B$10,Paramètres!$A$1:$I$89,3,0)*0.475*44/12</f>
        <v>3.0150414590351483E-9</v>
      </c>
      <c r="AX130" s="21">
        <f t="shared" si="60"/>
        <v>16.248572470667654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318.99999999999994</v>
      </c>
      <c r="BE130" s="13">
        <f>BD130*VLOOKUP('Données projet'!$B$11,Paramètres!$A$1:$I$89,3,0)*VLOOKUP('Données projet'!$B$11,Paramètres!$A$1:$I$89,5,0)</f>
        <v>253.79639999999995</v>
      </c>
      <c r="BF130" s="13">
        <f t="shared" si="91"/>
        <v>61.398168322280704</v>
      </c>
      <c r="BG130" s="20">
        <f t="shared" si="61"/>
        <v>548.9638731613054</v>
      </c>
      <c r="BH130" s="59">
        <f t="shared" si="62"/>
        <v>842.29720649463866</v>
      </c>
      <c r="BI130" s="59">
        <f ca="1">AVERAGE(OFFSET($BH$3,0,0,'Données projet'!$E$11+1,1))-AVERAGE(OFFSET($H$3,0,0,'Données projet'!$E$11+1,1))</f>
        <v>244.50301885429764</v>
      </c>
      <c r="BJ130" s="59">
        <f t="shared" si="92"/>
        <v>248.77995374147798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15.08421045654436</v>
      </c>
      <c r="BQ130" s="21">
        <f>EXP(-LN(2)/25)*BQ129+(1-EXP(-LN(2)/25))/(LN(2)/25)*Calculateur!BL130*Calculateur!BN130*VLOOKUP('Données projet'!$B$11,Paramètres!$A$1:$I$89,3,0)*0.475*44/12</f>
        <v>0.81947537196552767</v>
      </c>
      <c r="BR130" s="21">
        <f>EXP(-LN(2)/2)*BR129+(1-EXP(-LN(2)/2))/(LN(2)/2)*BL130*BO130*VLOOKUP('Données projet'!$B$11,Paramètres!$A$1:$I$89,3,0)*0.475*44/12</f>
        <v>5.1923155781188888E-8</v>
      </c>
      <c r="BS130" s="22">
        <f t="shared" si="63"/>
        <v>15.903685880433043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1">
        <f t="shared" si="86"/>
        <v>29.759568497877233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67">
        <f t="shared" si="56"/>
        <v>539.91914180046933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311.298</v>
      </c>
      <c r="P131" s="13">
        <f t="shared" si="87"/>
        <v>73.539838278528748</v>
      </c>
      <c r="Q131" s="20">
        <f t="shared" ref="Q131:Q153" si="108">(O131+P131)*0.475*44/12</f>
        <v>670.25923500177089</v>
      </c>
      <c r="R131" s="59">
        <f t="shared" ref="R131:R194" si="109">Q131+(I131+J131)*44/12</f>
        <v>963.59256833510426</v>
      </c>
      <c r="S131" s="59">
        <f ca="1">AVERAGE(OFFSET($R$3,0,0,'Données projet'!$E$9+1,1))-AVERAGE(OFFSET($H$3,0,0,'Données projet'!$E$9+1,1))</f>
        <v>342.91408684769942</v>
      </c>
      <c r="T131" s="59">
        <f t="shared" si="88"/>
        <v>209.92380505963234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61.492441301238927</v>
      </c>
      <c r="AA131" s="21">
        <f>EXP(-LN(2)/25)*AA130+(1-EXP(-LN(2)/25))/(LN(2)/25)*Calculateur!V131*Calculateur!X131*VLOOKUP('Données projet'!$B$9,Paramètres!$A$1:$I$89,3,0)*0.475*44/12</f>
        <v>3.1063184098296697</v>
      </c>
      <c r="AB131" s="21">
        <f>EXP(-LN(2)/2)*AB130+(1-EXP(-LN(2)/2))/(LN(2)/2)*V131*Y131*VLOOKUP('Données projet'!$B$9,Paramètres!$A$1:$I$89,3,0)*0.475*44/12</f>
        <v>1.8655939122606244E-2</v>
      </c>
      <c r="AC131" s="22">
        <f t="shared" si="57"/>
        <v>64.617415650191205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432.99999999999989</v>
      </c>
      <c r="AJ131" s="13">
        <f>AI131*VLOOKUP('Données projet'!$B$10,Paramètres!$A$1:$I$89,3,0)*VLOOKUP('Données projet'!$B$10,Paramètres!$A$1:$I$89,5,0)</f>
        <v>290.45639999999992</v>
      </c>
      <c r="AK131" s="13">
        <f t="shared" si="89"/>
        <v>69.172009514864612</v>
      </c>
      <c r="AL131" s="20">
        <f t="shared" si="58"/>
        <v>626.3528132383891</v>
      </c>
      <c r="AM131" s="59">
        <f t="shared" si="59"/>
        <v>919.68614657172247</v>
      </c>
      <c r="AN131" s="59">
        <f ca="1">AVERAGE(OFFSET($AM$3,0,0,'Données projet'!$E$10+1,1))-AVERAGE(OFFSET($H$3,0,0,'Données projet'!$E$10+1,1))</f>
        <v>296.25231821504275</v>
      </c>
      <c r="AO131" s="59">
        <f t="shared" si="90"/>
        <v>316.20936902390275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15.193894578490015</v>
      </c>
      <c r="AV131" s="21">
        <f>EXP(-LN(2)/25)*AV130+(1-EXP(-LN(2)/25))/(LN(2)/25)*Calculateur!AQ131*Calculateur!AS131*VLOOKUP('Données projet'!$B$10,Paramètres!$A$1:$I$89,3,0)*0.475*44/12</f>
        <v>0.73024554747858539</v>
      </c>
      <c r="AW131" s="21">
        <f>EXP(-LN(2)/2)*AW130+(1-EXP(-LN(2)/2))/(LN(2)/2)*AQ131*AT131*VLOOKUP('Données projet'!$B$10,Paramètres!$A$1:$I$89,3,0)*0.475*44/12</f>
        <v>2.1319562612423356E-9</v>
      </c>
      <c r="AX131" s="21">
        <f t="shared" si="60"/>
        <v>15.924140128100557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318.99999999999994</v>
      </c>
      <c r="BE131" s="13">
        <f>BD131*VLOOKUP('Données projet'!$B$11,Paramètres!$A$1:$I$89,3,0)*VLOOKUP('Données projet'!$B$11,Paramètres!$A$1:$I$89,5,0)</f>
        <v>253.79639999999995</v>
      </c>
      <c r="BF131" s="13">
        <f t="shared" si="91"/>
        <v>61.398168322280704</v>
      </c>
      <c r="BG131" s="20">
        <f t="shared" si="61"/>
        <v>548.9638731613054</v>
      </c>
      <c r="BH131" s="59">
        <f t="shared" si="62"/>
        <v>842.29720649463866</v>
      </c>
      <c r="BI131" s="59">
        <f ca="1">AVERAGE(OFFSET($BH$3,0,0,'Données projet'!$E$11+1,1))-AVERAGE(OFFSET($H$3,0,0,'Données projet'!$E$11+1,1))</f>
        <v>244.50301885429764</v>
      </c>
      <c r="BJ131" s="59">
        <f t="shared" si="92"/>
        <v>248.77995374147798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14.788418289951434</v>
      </c>
      <c r="BQ131" s="21">
        <f>EXP(-LN(2)/25)*BQ130+(1-EXP(-LN(2)/25))/(LN(2)/25)*Calculateur!BL131*Calculateur!BN131*VLOOKUP('Données projet'!$B$11,Paramètres!$A$1:$I$89,3,0)*0.475*44/12</f>
        <v>0.79706677482479349</v>
      </c>
      <c r="BR131" s="21">
        <f>EXP(-LN(2)/2)*BR130+(1-EXP(-LN(2)/2))/(LN(2)/2)*BL131*BO131*VLOOKUP('Données projet'!$B$11,Paramètres!$A$1:$I$89,3,0)*0.475*44/12</f>
        <v>3.6715215553484151E-8</v>
      </c>
      <c r="BS131" s="22">
        <f t="shared" si="63"/>
        <v>15.585485101491443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1">
        <f t="shared" si="86"/>
        <v>29.964909381330607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67">
        <f t="shared" ref="H132:H195" si="110">(B132+E132+F132)*44/12+(C132+D132)*0.475*44/12</f>
        <v>541.7982971724839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311.298</v>
      </c>
      <c r="P132" s="13">
        <f t="shared" si="87"/>
        <v>73.539838278528748</v>
      </c>
      <c r="Q132" s="20">
        <f t="shared" si="108"/>
        <v>670.25923500177089</v>
      </c>
      <c r="R132" s="59">
        <f t="shared" si="109"/>
        <v>963.59256833510426</v>
      </c>
      <c r="S132" s="59">
        <f ca="1">AVERAGE(OFFSET($R$3,0,0,'Données projet'!$E$9+1,1))-AVERAGE(OFFSET($H$3,0,0,'Données projet'!$E$9+1,1))</f>
        <v>342.91408684769942</v>
      </c>
      <c r="T132" s="59">
        <f t="shared" si="88"/>
        <v>209.92380505963234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60.286612034007348</v>
      </c>
      <c r="AA132" s="21">
        <f>EXP(-LN(2)/25)*AA131+(1-EXP(-LN(2)/25))/(LN(2)/25)*Calculateur!V132*Calculateur!X132*VLOOKUP('Données projet'!$B$9,Paramètres!$A$1:$I$89,3,0)*0.475*44/12</f>
        <v>3.0213759695586919</v>
      </c>
      <c r="AB132" s="21">
        <f>EXP(-LN(2)/2)*AB131+(1-EXP(-LN(2)/2))/(LN(2)/2)*V132*Y132*VLOOKUP('Données projet'!$B$9,Paramètres!$A$1:$I$89,3,0)*0.475*44/12</f>
        <v>1.3191741062998285E-2</v>
      </c>
      <c r="AC132" s="22">
        <f t="shared" ref="AC132:AC153" si="111">SUM(Z132:AB132)</f>
        <v>63.321179744629035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432.99999999999989</v>
      </c>
      <c r="AJ132" s="13">
        <f>AI132*VLOOKUP('Données projet'!$B$10,Paramètres!$A$1:$I$89,3,0)*VLOOKUP('Données projet'!$B$10,Paramètres!$A$1:$I$89,5,0)</f>
        <v>290.45639999999992</v>
      </c>
      <c r="AK132" s="13">
        <f t="shared" si="89"/>
        <v>69.172009514864612</v>
      </c>
      <c r="AL132" s="20">
        <f t="shared" ref="AL132:AL153" si="112">(AJ132+AK132)*0.475*44/12</f>
        <v>626.3528132383891</v>
      </c>
      <c r="AM132" s="59">
        <f t="shared" ref="AM132:AM195" si="113">AL132+(AD132+AE132)*44/12</f>
        <v>919.68614657172247</v>
      </c>
      <c r="AN132" s="59">
        <f ca="1">AVERAGE(OFFSET($AM$3,0,0,'Données projet'!$E$10+1,1))-AVERAGE(OFFSET($H$3,0,0,'Données projet'!$E$10+1,1))</f>
        <v>296.25231821504275</v>
      </c>
      <c r="AO132" s="59">
        <f t="shared" si="90"/>
        <v>316.20936902390275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14.895951573166442</v>
      </c>
      <c r="AV132" s="21">
        <f>EXP(-LN(2)/25)*AV131+(1-EXP(-LN(2)/25))/(LN(2)/25)*Calculateur!AQ132*Calculateur!AS132*VLOOKUP('Données projet'!$B$10,Paramètres!$A$1:$I$89,3,0)*0.475*44/12</f>
        <v>0.71027694458083912</v>
      </c>
      <c r="AW132" s="21">
        <f>EXP(-LN(2)/2)*AW131+(1-EXP(-LN(2)/2))/(LN(2)/2)*AQ132*AT132*VLOOKUP('Données projet'!$B$10,Paramètres!$A$1:$I$89,3,0)*0.475*44/12</f>
        <v>1.5075207295175741E-9</v>
      </c>
      <c r="AX132" s="21">
        <f t="shared" ref="AX132:AX153" si="114">SUM(AU132:AW132)</f>
        <v>15.606228519254802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318.99999999999994</v>
      </c>
      <c r="BE132" s="13">
        <f>BD132*VLOOKUP('Données projet'!$B$11,Paramètres!$A$1:$I$89,3,0)*VLOOKUP('Données projet'!$B$11,Paramètres!$A$1:$I$89,5,0)</f>
        <v>253.79639999999995</v>
      </c>
      <c r="BF132" s="13">
        <f t="shared" si="91"/>
        <v>61.398168322280704</v>
      </c>
      <c r="BG132" s="20">
        <f t="shared" ref="BG132:BG153" si="115">(BE132+BF132)*0.475*44/12</f>
        <v>548.9638731613054</v>
      </c>
      <c r="BH132" s="59">
        <f t="shared" ref="BH132:BH195" si="116">BG132+(AY132+AZ132)*44/12</f>
        <v>842.29720649463866</v>
      </c>
      <c r="BI132" s="59">
        <f ca="1">AVERAGE(OFFSET($BH$3,0,0,'Données projet'!$E$11+1,1))-AVERAGE(OFFSET($H$3,0,0,'Données projet'!$E$11+1,1))</f>
        <v>244.50301885429764</v>
      </c>
      <c r="BJ132" s="59">
        <f t="shared" si="92"/>
        <v>248.77995374147798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14.498426427329987</v>
      </c>
      <c r="BQ132" s="21">
        <f>EXP(-LN(2)/25)*BQ131+(1-EXP(-LN(2)/25))/(LN(2)/25)*Calculateur!BL132*Calculateur!BN132*VLOOKUP('Données projet'!$B$11,Paramètres!$A$1:$I$89,3,0)*0.475*44/12</f>
        <v>0.77527094195128954</v>
      </c>
      <c r="BR132" s="21">
        <f>EXP(-LN(2)/2)*BR131+(1-EXP(-LN(2)/2))/(LN(2)/2)*BL132*BO132*VLOOKUP('Données projet'!$B$11,Paramètres!$A$1:$I$89,3,0)*0.475*44/12</f>
        <v>2.5961577890594444E-8</v>
      </c>
      <c r="BS132" s="22">
        <f t="shared" ref="BS132:BS153" si="117">SUM(BP132:BR132)</f>
        <v>15.273697395242854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1">
        <f t="shared" ref="D133:D196" si="140">IFERROR(EXP(-1.0587+0.8836*LN(C133)+0.284),0)</f>
        <v>30.170065062058185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67">
        <f t="shared" si="110"/>
        <v>543.67712998308446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311.298</v>
      </c>
      <c r="P133" s="13">
        <f t="shared" ref="P133:P196" si="141">EXP(-1.0587+0.8836*LN(O133)+0.284)</f>
        <v>73.539838278528748</v>
      </c>
      <c r="Q133" s="20">
        <f t="shared" si="108"/>
        <v>670.25923500177089</v>
      </c>
      <c r="R133" s="59">
        <f t="shared" si="109"/>
        <v>963.59256833510426</v>
      </c>
      <c r="S133" s="59">
        <f ca="1">AVERAGE(OFFSET($R$3,0,0,'Données projet'!$E$9+1,1))-AVERAGE(OFFSET($H$3,0,0,'Données projet'!$E$9+1,1))</f>
        <v>342.91408684769942</v>
      </c>
      <c r="T133" s="59">
        <f t="shared" ref="T133:T196" si="142">$T$3</f>
        <v>209.92380505963234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59.104428343222949</v>
      </c>
      <c r="AA133" s="21">
        <f>EXP(-LN(2)/25)*AA132+(1-EXP(-LN(2)/25))/(LN(2)/25)*Calculateur!V133*Calculateur!X133*VLOOKUP('Données projet'!$B$9,Paramètres!$A$1:$I$89,3,0)*0.475*44/12</f>
        <v>2.9387562847838526</v>
      </c>
      <c r="AB133" s="21">
        <f>EXP(-LN(2)/2)*AB132+(1-EXP(-LN(2)/2))/(LN(2)/2)*V133*Y133*VLOOKUP('Données projet'!$B$9,Paramètres!$A$1:$I$89,3,0)*0.475*44/12</f>
        <v>9.3279695613031222E-3</v>
      </c>
      <c r="AC133" s="22">
        <f t="shared" si="111"/>
        <v>62.052512597568104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432.99999999999989</v>
      </c>
      <c r="AJ133" s="13">
        <f>AI133*VLOOKUP('Données projet'!$B$10,Paramètres!$A$1:$I$89,3,0)*VLOOKUP('Données projet'!$B$10,Paramètres!$A$1:$I$89,5,0)</f>
        <v>290.45639999999992</v>
      </c>
      <c r="AK133" s="13">
        <f t="shared" ref="AK133:AK153" si="143">EXP(-1.0587+0.8836*LN(AJ133)+0.284)</f>
        <v>69.172009514864612</v>
      </c>
      <c r="AL133" s="20">
        <f t="shared" si="112"/>
        <v>626.3528132383891</v>
      </c>
      <c r="AM133" s="59">
        <f t="shared" si="113"/>
        <v>919.68614657172247</v>
      </c>
      <c r="AN133" s="59">
        <f ca="1">AVERAGE(OFFSET($AM$3,0,0,'Données projet'!$E$10+1,1))-AVERAGE(OFFSET($H$3,0,0,'Données projet'!$E$10+1,1))</f>
        <v>296.25231821504275</v>
      </c>
      <c r="AO133" s="59">
        <f t="shared" ref="AO133:AO196" si="144">$AO$3</f>
        <v>316.20936902390275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14.603851048449977</v>
      </c>
      <c r="AV133" s="21">
        <f>EXP(-LN(2)/25)*AV132+(1-EXP(-LN(2)/25))/(LN(2)/25)*Calculateur!AQ133*Calculateur!AS133*VLOOKUP('Données projet'!$B$10,Paramètres!$A$1:$I$89,3,0)*0.475*44/12</f>
        <v>0.6908543841794349</v>
      </c>
      <c r="AW133" s="21">
        <f>EXP(-LN(2)/2)*AW132+(1-EXP(-LN(2)/2))/(LN(2)/2)*AQ133*AT133*VLOOKUP('Données projet'!$B$10,Paramètres!$A$1:$I$89,3,0)*0.475*44/12</f>
        <v>1.0659781306211678E-9</v>
      </c>
      <c r="AX133" s="21">
        <f t="shared" si="114"/>
        <v>15.294705433695389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318.99999999999994</v>
      </c>
      <c r="BE133" s="13">
        <f>BD133*VLOOKUP('Données projet'!$B$11,Paramètres!$A$1:$I$89,3,0)*VLOOKUP('Données projet'!$B$11,Paramètres!$A$1:$I$89,5,0)</f>
        <v>253.79639999999995</v>
      </c>
      <c r="BF133" s="13">
        <f t="shared" ref="BF133:BF153" si="145">EXP(-1.0587+0.8836*LN(BE133)+0.284)</f>
        <v>61.398168322280704</v>
      </c>
      <c r="BG133" s="20">
        <f t="shared" si="115"/>
        <v>548.9638731613054</v>
      </c>
      <c r="BH133" s="59">
        <f t="shared" si="116"/>
        <v>842.29720649463866</v>
      </c>
      <c r="BI133" s="59">
        <f ca="1">AVERAGE(OFFSET($BH$3,0,0,'Données projet'!$E$11+1,1))-AVERAGE(OFFSET($H$3,0,0,'Données projet'!$E$11+1,1))</f>
        <v>244.50301885429764</v>
      </c>
      <c r="BJ133" s="59">
        <f t="shared" ref="BJ133:BJ196" si="146">$BJ$3</f>
        <v>248.77995374147798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14.214121128256977</v>
      </c>
      <c r="BQ133" s="21">
        <f>EXP(-LN(2)/25)*BQ132+(1-EXP(-LN(2)/25))/(LN(2)/25)*Calculateur!BL133*Calculateur!BN133*VLOOKUP('Données projet'!$B$11,Paramètres!$A$1:$I$89,3,0)*0.475*44/12</f>
        <v>0.75407111727390463</v>
      </c>
      <c r="BR133" s="21">
        <f>EXP(-LN(2)/2)*BR132+(1-EXP(-LN(2)/2))/(LN(2)/2)*BL133*BO133*VLOOKUP('Données projet'!$B$11,Paramètres!$A$1:$I$89,3,0)*0.475*44/12</f>
        <v>1.8357607776742075E-8</v>
      </c>
      <c r="BS133" s="22">
        <f t="shared" si="117"/>
        <v>14.968192263888488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1">
        <f t="shared" si="140"/>
        <v>30.37503712984369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67">
        <f t="shared" si="110"/>
        <v>545.55564300114418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311.298</v>
      </c>
      <c r="P134" s="13">
        <f t="shared" si="141"/>
        <v>73.539838278528748</v>
      </c>
      <c r="Q134" s="20">
        <f t="shared" si="108"/>
        <v>670.25923500177089</v>
      </c>
      <c r="R134" s="59">
        <f t="shared" si="109"/>
        <v>963.59256833510426</v>
      </c>
      <c r="S134" s="59">
        <f ca="1">AVERAGE(OFFSET($R$3,0,0,'Données projet'!$E$9+1,1))-AVERAGE(OFFSET($H$3,0,0,'Données projet'!$E$9+1,1))</f>
        <v>342.91408684769942</v>
      </c>
      <c r="T134" s="59">
        <f t="shared" si="142"/>
        <v>209.92380505963234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57.945426553553979</v>
      </c>
      <c r="AA134" s="21">
        <f>EXP(-LN(2)/25)*AA133+(1-EXP(-LN(2)/25))/(LN(2)/25)*Calculateur!V134*Calculateur!X134*VLOOKUP('Données projet'!$B$9,Paramètres!$A$1:$I$89,3,0)*0.475*44/12</f>
        <v>2.8583958396339617</v>
      </c>
      <c r="AB134" s="21">
        <f>EXP(-LN(2)/2)*AB133+(1-EXP(-LN(2)/2))/(LN(2)/2)*V134*Y134*VLOOKUP('Données projet'!$B$9,Paramètres!$A$1:$I$89,3,0)*0.475*44/12</f>
        <v>6.5958705314991426E-3</v>
      </c>
      <c r="AC134" s="22">
        <f t="shared" si="111"/>
        <v>60.810418263719441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432.99999999999989</v>
      </c>
      <c r="AJ134" s="13">
        <f>AI134*VLOOKUP('Données projet'!$B$10,Paramètres!$A$1:$I$89,3,0)*VLOOKUP('Données projet'!$B$10,Paramètres!$A$1:$I$89,5,0)</f>
        <v>290.45639999999992</v>
      </c>
      <c r="AK134" s="13">
        <f t="shared" si="143"/>
        <v>69.172009514864612</v>
      </c>
      <c r="AL134" s="20">
        <f t="shared" si="112"/>
        <v>626.3528132383891</v>
      </c>
      <c r="AM134" s="59">
        <f t="shared" si="113"/>
        <v>919.68614657172247</v>
      </c>
      <c r="AN134" s="59">
        <f ca="1">AVERAGE(OFFSET($AM$3,0,0,'Données projet'!$E$10+1,1))-AVERAGE(OFFSET($H$3,0,0,'Données projet'!$E$10+1,1))</f>
        <v>296.25231821504275</v>
      </c>
      <c r="AO134" s="59">
        <f t="shared" si="144"/>
        <v>316.20936902390275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14.317478436859473</v>
      </c>
      <c r="AV134" s="21">
        <f>EXP(-LN(2)/25)*AV133+(1-EXP(-LN(2)/25))/(LN(2)/25)*Calculateur!AQ134*Calculateur!AS134*VLOOKUP('Données projet'!$B$10,Paramètres!$A$1:$I$89,3,0)*0.475*44/12</f>
        <v>0.67196293471359514</v>
      </c>
      <c r="AW134" s="21">
        <f>EXP(-LN(2)/2)*AW133+(1-EXP(-LN(2)/2))/(LN(2)/2)*AQ134*AT134*VLOOKUP('Données projet'!$B$10,Paramètres!$A$1:$I$89,3,0)*0.475*44/12</f>
        <v>7.5376036475878706E-10</v>
      </c>
      <c r="AX134" s="21">
        <f t="shared" si="114"/>
        <v>14.989441372326828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318.99999999999994</v>
      </c>
      <c r="BE134" s="13">
        <f>BD134*VLOOKUP('Données projet'!$B$11,Paramètres!$A$1:$I$89,3,0)*VLOOKUP('Données projet'!$B$11,Paramètres!$A$1:$I$89,5,0)</f>
        <v>253.79639999999995</v>
      </c>
      <c r="BF134" s="13">
        <f t="shared" si="145"/>
        <v>61.398168322280704</v>
      </c>
      <c r="BG134" s="20">
        <f t="shared" si="115"/>
        <v>548.9638731613054</v>
      </c>
      <c r="BH134" s="59">
        <f t="shared" si="116"/>
        <v>842.29720649463866</v>
      </c>
      <c r="BI134" s="59">
        <f ca="1">AVERAGE(OFFSET($BH$3,0,0,'Données projet'!$E$11+1,1))-AVERAGE(OFFSET($H$3,0,0,'Données projet'!$E$11+1,1))</f>
        <v>244.50301885429764</v>
      </c>
      <c r="BJ134" s="59">
        <f t="shared" si="146"/>
        <v>248.77995374147798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13.935390882689678</v>
      </c>
      <c r="BQ134" s="21">
        <f>EXP(-LN(2)/25)*BQ133+(1-EXP(-LN(2)/25))/(LN(2)/25)*Calculateur!BL134*Calculateur!BN134*VLOOKUP('Données projet'!$B$11,Paramètres!$A$1:$I$89,3,0)*0.475*44/12</f>
        <v>0.73345100291717313</v>
      </c>
      <c r="BR134" s="21">
        <f>EXP(-LN(2)/2)*BR133+(1-EXP(-LN(2)/2))/(LN(2)/2)*BL134*BO134*VLOOKUP('Données projet'!$B$11,Paramètres!$A$1:$I$89,3,0)*0.475*44/12</f>
        <v>1.2980788945297222E-8</v>
      </c>
      <c r="BS134" s="22">
        <f t="shared" si="117"/>
        <v>14.66884189858764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1">
        <f t="shared" si="140"/>
        <v>30.579827148797293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67">
        <f t="shared" si="110"/>
        <v>547.43383895082161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311.298</v>
      </c>
      <c r="P135" s="13">
        <f t="shared" si="141"/>
        <v>73.539838278528748</v>
      </c>
      <c r="Q135" s="20">
        <f t="shared" si="108"/>
        <v>670.25923500177089</v>
      </c>
      <c r="R135" s="59">
        <f t="shared" si="109"/>
        <v>963.59256833510426</v>
      </c>
      <c r="S135" s="59">
        <f ca="1">AVERAGE(OFFSET($R$3,0,0,'Données projet'!$E$9+1,1))-AVERAGE(OFFSET($H$3,0,0,'Données projet'!$E$9+1,1))</f>
        <v>342.91408684769942</v>
      </c>
      <c r="T135" s="59">
        <f t="shared" si="142"/>
        <v>209.92380505963234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56.809152082059128</v>
      </c>
      <c r="AA135" s="21">
        <f>EXP(-LN(2)/25)*AA134+(1-EXP(-LN(2)/25))/(LN(2)/25)*Calculateur!V135*Calculateur!X135*VLOOKUP('Données projet'!$B$9,Paramètres!$A$1:$I$89,3,0)*0.475*44/12</f>
        <v>2.7802328550826667</v>
      </c>
      <c r="AB135" s="21">
        <f>EXP(-LN(2)/2)*AB134+(1-EXP(-LN(2)/2))/(LN(2)/2)*V135*Y135*VLOOKUP('Données projet'!$B$9,Paramètres!$A$1:$I$89,3,0)*0.475*44/12</f>
        <v>4.6639847806515611E-3</v>
      </c>
      <c r="AC135" s="22">
        <f t="shared" si="111"/>
        <v>59.594048921922443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432.99999999999989</v>
      </c>
      <c r="AJ135" s="13">
        <f>AI135*VLOOKUP('Données projet'!$B$10,Paramètres!$A$1:$I$89,3,0)*VLOOKUP('Données projet'!$B$10,Paramètres!$A$1:$I$89,5,0)</f>
        <v>290.45639999999992</v>
      </c>
      <c r="AK135" s="13">
        <f t="shared" si="143"/>
        <v>69.172009514864612</v>
      </c>
      <c r="AL135" s="20">
        <f t="shared" si="112"/>
        <v>626.3528132383891</v>
      </c>
      <c r="AM135" s="59">
        <f t="shared" si="113"/>
        <v>919.68614657172247</v>
      </c>
      <c r="AN135" s="59">
        <f ca="1">AVERAGE(OFFSET($AM$3,0,0,'Données projet'!$E$10+1,1))-AVERAGE(OFFSET($H$3,0,0,'Données projet'!$E$10+1,1))</f>
        <v>296.25231821504275</v>
      </c>
      <c r="AO135" s="59">
        <f t="shared" si="144"/>
        <v>316.20936902390275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14.036721417512213</v>
      </c>
      <c r="AV135" s="21">
        <f>EXP(-LN(2)/25)*AV134+(1-EXP(-LN(2)/25))/(LN(2)/25)*Calculateur!AQ135*Calculateur!AS135*VLOOKUP('Données projet'!$B$10,Paramètres!$A$1:$I$89,3,0)*0.475*44/12</f>
        <v>0.65358807292685694</v>
      </c>
      <c r="AW135" s="21">
        <f>EXP(-LN(2)/2)*AW134+(1-EXP(-LN(2)/2))/(LN(2)/2)*AQ135*AT135*VLOOKUP('Données projet'!$B$10,Paramètres!$A$1:$I$89,3,0)*0.475*44/12</f>
        <v>5.3298906531058389E-10</v>
      </c>
      <c r="AX135" s="21">
        <f t="shared" si="114"/>
        <v>14.690309490972059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318.99999999999994</v>
      </c>
      <c r="BE135" s="13">
        <f>BD135*VLOOKUP('Données projet'!$B$11,Paramètres!$A$1:$I$89,3,0)*VLOOKUP('Données projet'!$B$11,Paramètres!$A$1:$I$89,5,0)</f>
        <v>253.79639999999995</v>
      </c>
      <c r="BF135" s="13">
        <f t="shared" si="145"/>
        <v>61.398168322280704</v>
      </c>
      <c r="BG135" s="20">
        <f t="shared" si="115"/>
        <v>548.9638731613054</v>
      </c>
      <c r="BH135" s="59">
        <f t="shared" si="116"/>
        <v>842.29720649463866</v>
      </c>
      <c r="BI135" s="59">
        <f ca="1">AVERAGE(OFFSET($BH$3,0,0,'Données projet'!$E$11+1,1))-AVERAGE(OFFSET($H$3,0,0,'Données projet'!$E$11+1,1))</f>
        <v>244.50301885429764</v>
      </c>
      <c r="BJ135" s="59">
        <f t="shared" si="146"/>
        <v>248.77995374147798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13.662126367229291</v>
      </c>
      <c r="BQ135" s="21">
        <f>EXP(-LN(2)/25)*BQ134+(1-EXP(-LN(2)/25))/(LN(2)/25)*Calculateur!BL135*Calculateur!BN135*VLOOKUP('Données projet'!$B$11,Paramètres!$A$1:$I$89,3,0)*0.475*44/12</f>
        <v>0.71339474667189107</v>
      </c>
      <c r="BR135" s="21">
        <f>EXP(-LN(2)/2)*BR134+(1-EXP(-LN(2)/2))/(LN(2)/2)*BL135*BO135*VLOOKUP('Données projet'!$B$11,Paramètres!$A$1:$I$89,3,0)*0.475*44/12</f>
        <v>9.1788038883710377E-9</v>
      </c>
      <c r="BS135" s="22">
        <f t="shared" si="117"/>
        <v>14.375521123079986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1">
        <f t="shared" si="140"/>
        <v>30.784436657961677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67">
        <f t="shared" si="110"/>
        <v>549.31172051261638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311.298</v>
      </c>
      <c r="P136" s="13">
        <f t="shared" si="141"/>
        <v>73.539838278528748</v>
      </c>
      <c r="Q136" s="20">
        <f t="shared" si="108"/>
        <v>670.25923500177089</v>
      </c>
      <c r="R136" s="59">
        <f t="shared" si="109"/>
        <v>963.59256833510426</v>
      </c>
      <c r="S136" s="59">
        <f ca="1">AVERAGE(OFFSET($R$3,0,0,'Données projet'!$E$9+1,1))-AVERAGE(OFFSET($H$3,0,0,'Données projet'!$E$9+1,1))</f>
        <v>342.91408684769942</v>
      </c>
      <c r="T136" s="59">
        <f t="shared" si="142"/>
        <v>209.92380505963234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55.695159259891298</v>
      </c>
      <c r="AA136" s="21">
        <f>EXP(-LN(2)/25)*AA135+(1-EXP(-LN(2)/25))/(LN(2)/25)*Calculateur!V136*Calculateur!X136*VLOOKUP('Données projet'!$B$9,Paramètres!$A$1:$I$89,3,0)*0.475*44/12</f>
        <v>2.7042072414543394</v>
      </c>
      <c r="AB136" s="21">
        <f>EXP(-LN(2)/2)*AB135+(1-EXP(-LN(2)/2))/(LN(2)/2)*V136*Y136*VLOOKUP('Données projet'!$B$9,Paramètres!$A$1:$I$89,3,0)*0.475*44/12</f>
        <v>3.2979352657495713E-3</v>
      </c>
      <c r="AC136" s="22">
        <f t="shared" si="111"/>
        <v>58.402664436611389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432.99999999999989</v>
      </c>
      <c r="AJ136" s="13">
        <f>AI136*VLOOKUP('Données projet'!$B$10,Paramètres!$A$1:$I$89,3,0)*VLOOKUP('Données projet'!$B$10,Paramètres!$A$1:$I$89,5,0)</f>
        <v>290.45639999999992</v>
      </c>
      <c r="AK136" s="13">
        <f t="shared" si="143"/>
        <v>69.172009514864612</v>
      </c>
      <c r="AL136" s="20">
        <f t="shared" si="112"/>
        <v>626.3528132383891</v>
      </c>
      <c r="AM136" s="59">
        <f t="shared" si="113"/>
        <v>919.68614657172247</v>
      </c>
      <c r="AN136" s="59">
        <f ca="1">AVERAGE(OFFSET($AM$3,0,0,'Données projet'!$E$10+1,1))-AVERAGE(OFFSET($H$3,0,0,'Données projet'!$E$10+1,1))</f>
        <v>296.25231821504275</v>
      </c>
      <c r="AO136" s="59">
        <f t="shared" si="144"/>
        <v>316.20936902390275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13.76146987206948</v>
      </c>
      <c r="AV136" s="21">
        <f>EXP(-LN(2)/25)*AV135+(1-EXP(-LN(2)/25))/(LN(2)/25)*Calculateur!AQ136*Calculateur!AS136*VLOOKUP('Données projet'!$B$10,Paramètres!$A$1:$I$89,3,0)*0.475*44/12</f>
        <v>0.63571567270196905</v>
      </c>
      <c r="AW136" s="21">
        <f>EXP(-LN(2)/2)*AW135+(1-EXP(-LN(2)/2))/(LN(2)/2)*AQ136*AT136*VLOOKUP('Données projet'!$B$10,Paramètres!$A$1:$I$89,3,0)*0.475*44/12</f>
        <v>3.7688018237939353E-10</v>
      </c>
      <c r="AX136" s="21">
        <f t="shared" si="114"/>
        <v>14.39718554514833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318.99999999999994</v>
      </c>
      <c r="BE136" s="13">
        <f>BD136*VLOOKUP('Données projet'!$B$11,Paramètres!$A$1:$I$89,3,0)*VLOOKUP('Données projet'!$B$11,Paramètres!$A$1:$I$89,5,0)</f>
        <v>253.79639999999995</v>
      </c>
      <c r="BF136" s="13">
        <f t="shared" si="145"/>
        <v>61.398168322280704</v>
      </c>
      <c r="BG136" s="20">
        <f t="shared" si="115"/>
        <v>548.9638731613054</v>
      </c>
      <c r="BH136" s="59">
        <f t="shared" si="116"/>
        <v>842.29720649463866</v>
      </c>
      <c r="BI136" s="59">
        <f ca="1">AVERAGE(OFFSET($BH$3,0,0,'Données projet'!$E$11+1,1))-AVERAGE(OFFSET($H$3,0,0,'Données projet'!$E$11+1,1))</f>
        <v>244.50301885429764</v>
      </c>
      <c r="BJ136" s="59">
        <f t="shared" si="146"/>
        <v>248.77995374147798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13.394220402242187</v>
      </c>
      <c r="BQ136" s="21">
        <f>EXP(-LN(2)/25)*BQ135+(1-EXP(-LN(2)/25))/(LN(2)/25)*Calculateur!BL136*Calculateur!BN136*VLOOKUP('Données projet'!$B$11,Paramètres!$A$1:$I$89,3,0)*0.475*44/12</f>
        <v>0.69388692980834898</v>
      </c>
      <c r="BR136" s="21">
        <f>EXP(-LN(2)/2)*BR135+(1-EXP(-LN(2)/2))/(LN(2)/2)*BL136*BO136*VLOOKUP('Données projet'!$B$11,Paramètres!$A$1:$I$89,3,0)*0.475*44/12</f>
        <v>6.490394472648611E-9</v>
      </c>
      <c r="BS136" s="22">
        <f t="shared" si="117"/>
        <v>14.088107338540929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1">
        <f t="shared" si="140"/>
        <v>30.988867171899123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67">
        <f t="shared" si="110"/>
        <v>551.18929032439075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311.298</v>
      </c>
      <c r="P137" s="13">
        <f t="shared" si="141"/>
        <v>73.539838278528748</v>
      </c>
      <c r="Q137" s="20">
        <f t="shared" si="108"/>
        <v>670.25923500177089</v>
      </c>
      <c r="R137" s="59">
        <f t="shared" si="109"/>
        <v>963.59256833510426</v>
      </c>
      <c r="S137" s="59">
        <f ca="1">AVERAGE(OFFSET($R$3,0,0,'Données projet'!$E$9+1,1))-AVERAGE(OFFSET($H$3,0,0,'Données projet'!$E$9+1,1))</f>
        <v>342.91408684769942</v>
      </c>
      <c r="T137" s="59">
        <f t="shared" si="142"/>
        <v>209.92380505963234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54.603011157497654</v>
      </c>
      <c r="AA137" s="21">
        <f>EXP(-LN(2)/25)*AA136+(1-EXP(-LN(2)/25))/(LN(2)/25)*Calculateur!V137*Calculateur!X137*VLOOKUP('Données projet'!$B$9,Paramètres!$A$1:$I$89,3,0)*0.475*44/12</f>
        <v>2.6302605522286924</v>
      </c>
      <c r="AB137" s="21">
        <f>EXP(-LN(2)/2)*AB136+(1-EXP(-LN(2)/2))/(LN(2)/2)*V137*Y137*VLOOKUP('Données projet'!$B$9,Paramètres!$A$1:$I$89,3,0)*0.475*44/12</f>
        <v>2.3319923903257806E-3</v>
      </c>
      <c r="AC137" s="22">
        <f t="shared" si="111"/>
        <v>57.23560370211667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432.99999999999989</v>
      </c>
      <c r="AJ137" s="13">
        <f>AI137*VLOOKUP('Données projet'!$B$10,Paramètres!$A$1:$I$89,3,0)*VLOOKUP('Données projet'!$B$10,Paramètres!$A$1:$I$89,5,0)</f>
        <v>290.45639999999992</v>
      </c>
      <c r="AK137" s="13">
        <f t="shared" si="143"/>
        <v>69.172009514864612</v>
      </c>
      <c r="AL137" s="20">
        <f t="shared" si="112"/>
        <v>626.3528132383891</v>
      </c>
      <c r="AM137" s="59">
        <f t="shared" si="113"/>
        <v>919.68614657172247</v>
      </c>
      <c r="AN137" s="59">
        <f ca="1">AVERAGE(OFFSET($AM$3,0,0,'Données projet'!$E$10+1,1))-AVERAGE(OFFSET($H$3,0,0,'Données projet'!$E$10+1,1))</f>
        <v>296.25231821504275</v>
      </c>
      <c r="AO137" s="59">
        <f t="shared" si="144"/>
        <v>316.20936902390275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13.491615841546013</v>
      </c>
      <c r="AV137" s="21">
        <f>EXP(-LN(2)/25)*AV136+(1-EXP(-LN(2)/25))/(LN(2)/25)*Calculateur!AQ137*Calculateur!AS137*VLOOKUP('Données projet'!$B$10,Paramètres!$A$1:$I$89,3,0)*0.475*44/12</f>
        <v>0.61833199420109941</v>
      </c>
      <c r="AW137" s="21">
        <f>EXP(-LN(2)/2)*AW136+(1-EXP(-LN(2)/2))/(LN(2)/2)*AQ137*AT137*VLOOKUP('Données projet'!$B$10,Paramètres!$A$1:$I$89,3,0)*0.475*44/12</f>
        <v>2.6649453265529195E-10</v>
      </c>
      <c r="AX137" s="21">
        <f t="shared" si="114"/>
        <v>14.109947836013607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318.99999999999994</v>
      </c>
      <c r="BE137" s="13">
        <f>BD137*VLOOKUP('Données projet'!$B$11,Paramètres!$A$1:$I$89,3,0)*VLOOKUP('Données projet'!$B$11,Paramètres!$A$1:$I$89,5,0)</f>
        <v>253.79639999999995</v>
      </c>
      <c r="BF137" s="13">
        <f t="shared" si="145"/>
        <v>61.398168322280704</v>
      </c>
      <c r="BG137" s="20">
        <f t="shared" si="115"/>
        <v>548.9638731613054</v>
      </c>
      <c r="BH137" s="59">
        <f t="shared" si="116"/>
        <v>842.29720649463866</v>
      </c>
      <c r="BI137" s="59">
        <f ca="1">AVERAGE(OFFSET($BH$3,0,0,'Données projet'!$E$11+1,1))-AVERAGE(OFFSET($H$3,0,0,'Données projet'!$E$11+1,1))</f>
        <v>244.50301885429764</v>
      </c>
      <c r="BJ137" s="59">
        <f t="shared" si="146"/>
        <v>248.77995374147798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13.131567909821975</v>
      </c>
      <c r="BQ137" s="21">
        <f>EXP(-LN(2)/25)*BQ136+(1-EXP(-LN(2)/25))/(LN(2)/25)*Calculateur!BL137*Calculateur!BN137*VLOOKUP('Données projet'!$B$11,Paramètres!$A$1:$I$89,3,0)*0.475*44/12</f>
        <v>0.67491255522281191</v>
      </c>
      <c r="BR137" s="21">
        <f>EXP(-LN(2)/2)*BR136+(1-EXP(-LN(2)/2))/(LN(2)/2)*BL137*BO137*VLOOKUP('Données projet'!$B$11,Paramètres!$A$1:$I$89,3,0)*0.475*44/12</f>
        <v>4.5894019441855189E-9</v>
      </c>
      <c r="BS137" s="22">
        <f t="shared" si="117"/>
        <v>13.80648046963419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1">
        <f t="shared" si="140"/>
        <v>31.193120181260472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67">
        <f t="shared" si="110"/>
        <v>553.06655098236172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311.298</v>
      </c>
      <c r="P138" s="13">
        <f t="shared" si="141"/>
        <v>73.539838278528748</v>
      </c>
      <c r="Q138" s="20">
        <f t="shared" si="108"/>
        <v>670.25923500177089</v>
      </c>
      <c r="R138" s="59">
        <f t="shared" si="109"/>
        <v>963.59256833510426</v>
      </c>
      <c r="S138" s="59">
        <f ca="1">AVERAGE(OFFSET($R$3,0,0,'Données projet'!$E$9+1,1))-AVERAGE(OFFSET($H$3,0,0,'Données projet'!$E$9+1,1))</f>
        <v>342.91408684769942</v>
      </c>
      <c r="T138" s="59">
        <f t="shared" si="142"/>
        <v>209.92380505963234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53.53227941324738</v>
      </c>
      <c r="AA138" s="21">
        <f>EXP(-LN(2)/25)*AA137+(1-EXP(-LN(2)/25))/(LN(2)/25)*Calculateur!V138*Calculateur!X138*VLOOKUP('Données projet'!$B$9,Paramètres!$A$1:$I$89,3,0)*0.475*44/12</f>
        <v>2.5583359391086078</v>
      </c>
      <c r="AB138" s="21">
        <f>EXP(-LN(2)/2)*AB137+(1-EXP(-LN(2)/2))/(LN(2)/2)*V138*Y138*VLOOKUP('Données projet'!$B$9,Paramètres!$A$1:$I$89,3,0)*0.475*44/12</f>
        <v>1.6489676328747857E-3</v>
      </c>
      <c r="AC138" s="22">
        <f t="shared" si="111"/>
        <v>56.092264319988864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432.99999999999989</v>
      </c>
      <c r="AJ138" s="13">
        <f>AI138*VLOOKUP('Données projet'!$B$10,Paramètres!$A$1:$I$89,3,0)*VLOOKUP('Données projet'!$B$10,Paramètres!$A$1:$I$89,5,0)</f>
        <v>290.45639999999992</v>
      </c>
      <c r="AK138" s="13">
        <f t="shared" si="143"/>
        <v>69.172009514864612</v>
      </c>
      <c r="AL138" s="20">
        <f t="shared" si="112"/>
        <v>626.3528132383891</v>
      </c>
      <c r="AM138" s="59">
        <f t="shared" si="113"/>
        <v>919.68614657172247</v>
      </c>
      <c r="AN138" s="59">
        <f ca="1">AVERAGE(OFFSET($AM$3,0,0,'Données projet'!$E$10+1,1))-AVERAGE(OFFSET($H$3,0,0,'Données projet'!$E$10+1,1))</f>
        <v>296.25231821504275</v>
      </c>
      <c r="AO138" s="59">
        <f t="shared" si="144"/>
        <v>316.20936902390275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13.227053483966404</v>
      </c>
      <c r="AV138" s="21">
        <f>EXP(-LN(2)/25)*AV137+(1-EXP(-LN(2)/25))/(LN(2)/25)*Calculateur!AQ138*Calculateur!AS138*VLOOKUP('Données projet'!$B$10,Paramètres!$A$1:$I$89,3,0)*0.475*44/12</f>
        <v>0.60142367330300395</v>
      </c>
      <c r="AW138" s="21">
        <f>EXP(-LN(2)/2)*AW137+(1-EXP(-LN(2)/2))/(LN(2)/2)*AQ138*AT138*VLOOKUP('Données projet'!$B$10,Paramètres!$A$1:$I$89,3,0)*0.475*44/12</f>
        <v>1.8844009118969677E-10</v>
      </c>
      <c r="AX138" s="21">
        <f t="shared" si="114"/>
        <v>13.828477157457847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318.99999999999994</v>
      </c>
      <c r="BE138" s="13">
        <f>BD138*VLOOKUP('Données projet'!$B$11,Paramètres!$A$1:$I$89,3,0)*VLOOKUP('Données projet'!$B$11,Paramètres!$A$1:$I$89,5,0)</f>
        <v>253.79639999999995</v>
      </c>
      <c r="BF138" s="13">
        <f t="shared" si="145"/>
        <v>61.398168322280704</v>
      </c>
      <c r="BG138" s="20">
        <f t="shared" si="115"/>
        <v>548.9638731613054</v>
      </c>
      <c r="BH138" s="59">
        <f t="shared" si="116"/>
        <v>842.29720649463866</v>
      </c>
      <c r="BI138" s="59">
        <f ca="1">AVERAGE(OFFSET($BH$3,0,0,'Données projet'!$E$11+1,1))-AVERAGE(OFFSET($H$3,0,0,'Données projet'!$E$11+1,1))</f>
        <v>244.50301885429764</v>
      </c>
      <c r="BJ138" s="59">
        <f t="shared" si="146"/>
        <v>248.77995374147798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12.874065872575922</v>
      </c>
      <c r="BQ138" s="21">
        <f>EXP(-LN(2)/25)*BQ137+(1-EXP(-LN(2)/25))/(LN(2)/25)*Calculateur!BL138*Calculateur!BN138*VLOOKUP('Données projet'!$B$11,Paramètres!$A$1:$I$89,3,0)*0.475*44/12</f>
        <v>0.65645703590813542</v>
      </c>
      <c r="BR138" s="21">
        <f>EXP(-LN(2)/2)*BR137+(1-EXP(-LN(2)/2))/(LN(2)/2)*BL138*BO138*VLOOKUP('Données projet'!$B$11,Paramètres!$A$1:$I$89,3,0)*0.475*44/12</f>
        <v>3.2451972363243055E-9</v>
      </c>
      <c r="BS138" s="22">
        <f t="shared" si="117"/>
        <v>13.530522911729255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1">
        <f t="shared" si="140"/>
        <v>31.397197153337192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67">
        <f t="shared" si="110"/>
        <v>554.94350504206204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311.298</v>
      </c>
      <c r="P139" s="13">
        <f t="shared" si="141"/>
        <v>73.539838278528748</v>
      </c>
      <c r="Q139" s="20">
        <f t="shared" si="108"/>
        <v>670.25923500177089</v>
      </c>
      <c r="R139" s="59">
        <f t="shared" si="109"/>
        <v>963.59256833510426</v>
      </c>
      <c r="S139" s="59">
        <f ca="1">AVERAGE(OFFSET($R$3,0,0,'Données projet'!$E$9+1,1))-AVERAGE(OFFSET($H$3,0,0,'Données projet'!$E$9+1,1))</f>
        <v>342.91408684769942</v>
      </c>
      <c r="T139" s="59">
        <f t="shared" si="142"/>
        <v>209.92380505963234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52.48254406541998</v>
      </c>
      <c r="AA139" s="21">
        <f>EXP(-LN(2)/25)*AA138+(1-EXP(-LN(2)/25))/(LN(2)/25)*Calculateur!V139*Calculateur!X139*VLOOKUP('Données projet'!$B$9,Paramètres!$A$1:$I$89,3,0)*0.475*44/12</f>
        <v>2.4883781083166432</v>
      </c>
      <c r="AB139" s="21">
        <f>EXP(-LN(2)/2)*AB138+(1-EXP(-LN(2)/2))/(LN(2)/2)*V139*Y139*VLOOKUP('Données projet'!$B$9,Paramètres!$A$1:$I$89,3,0)*0.475*44/12</f>
        <v>1.1659961951628903E-3</v>
      </c>
      <c r="AC139" s="22">
        <f t="shared" si="111"/>
        <v>54.972088169931787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432.99999999999989</v>
      </c>
      <c r="AJ139" s="13">
        <f>AI139*VLOOKUP('Données projet'!$B$10,Paramètres!$A$1:$I$89,3,0)*VLOOKUP('Données projet'!$B$10,Paramètres!$A$1:$I$89,5,0)</f>
        <v>290.45639999999992</v>
      </c>
      <c r="AK139" s="13">
        <f t="shared" si="143"/>
        <v>69.172009514864612</v>
      </c>
      <c r="AL139" s="20">
        <f t="shared" si="112"/>
        <v>626.3528132383891</v>
      </c>
      <c r="AM139" s="59">
        <f t="shared" si="113"/>
        <v>919.68614657172247</v>
      </c>
      <c r="AN139" s="59">
        <f ca="1">AVERAGE(OFFSET($AM$3,0,0,'Données projet'!$E$10+1,1))-AVERAGE(OFFSET($H$3,0,0,'Données projet'!$E$10+1,1))</f>
        <v>296.25231821504275</v>
      </c>
      <c r="AO139" s="59">
        <f t="shared" si="144"/>
        <v>316.20936902390275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12.967679032851828</v>
      </c>
      <c r="AV139" s="21">
        <f>EXP(-LN(2)/25)*AV138+(1-EXP(-LN(2)/25))/(LN(2)/25)*Calculateur!AQ139*Calculateur!AS139*VLOOKUP('Données projet'!$B$10,Paramètres!$A$1:$I$89,3,0)*0.475*44/12</f>
        <v>0.58497771132903686</v>
      </c>
      <c r="AW139" s="21">
        <f>EXP(-LN(2)/2)*AW138+(1-EXP(-LN(2)/2))/(LN(2)/2)*AQ139*AT139*VLOOKUP('Données projet'!$B$10,Paramètres!$A$1:$I$89,3,0)*0.475*44/12</f>
        <v>1.3324726632764597E-10</v>
      </c>
      <c r="AX139" s="21">
        <f t="shared" si="114"/>
        <v>13.552656744314113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318.99999999999994</v>
      </c>
      <c r="BE139" s="13">
        <f>BD139*VLOOKUP('Données projet'!$B$11,Paramètres!$A$1:$I$89,3,0)*VLOOKUP('Données projet'!$B$11,Paramètres!$A$1:$I$89,5,0)</f>
        <v>253.79639999999995</v>
      </c>
      <c r="BF139" s="13">
        <f t="shared" si="145"/>
        <v>61.398168322280704</v>
      </c>
      <c r="BG139" s="20">
        <f t="shared" si="115"/>
        <v>548.9638731613054</v>
      </c>
      <c r="BH139" s="59">
        <f t="shared" si="116"/>
        <v>842.29720649463866</v>
      </c>
      <c r="BI139" s="59">
        <f ca="1">AVERAGE(OFFSET($BH$3,0,0,'Données projet'!$E$11+1,1))-AVERAGE(OFFSET($H$3,0,0,'Données projet'!$E$11+1,1))</f>
        <v>244.50301885429764</v>
      </c>
      <c r="BJ139" s="59">
        <f t="shared" si="146"/>
        <v>248.77995374147798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12.62161329321953</v>
      </c>
      <c r="BQ139" s="21">
        <f>EXP(-LN(2)/25)*BQ138+(1-EXP(-LN(2)/25))/(LN(2)/25)*Calculateur!BL139*Calculateur!BN139*VLOOKUP('Données projet'!$B$11,Paramètres!$A$1:$I$89,3,0)*0.475*44/12</f>
        <v>0.63850618373965229</v>
      </c>
      <c r="BR139" s="21">
        <f>EXP(-LN(2)/2)*BR138+(1-EXP(-LN(2)/2))/(LN(2)/2)*BL139*BO139*VLOOKUP('Données projet'!$B$11,Paramètres!$A$1:$I$89,3,0)*0.475*44/12</f>
        <v>2.2947009720927594E-9</v>
      </c>
      <c r="BS139" s="22">
        <f t="shared" si="117"/>
        <v>13.260119479253884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1">
        <f t="shared" si="140"/>
        <v>31.601099532596137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67">
        <f t="shared" si="110"/>
        <v>556.8201550192714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311.298</v>
      </c>
      <c r="P140" s="13">
        <f t="shared" si="141"/>
        <v>73.539838278528748</v>
      </c>
      <c r="Q140" s="20">
        <f t="shared" si="108"/>
        <v>670.25923500177089</v>
      </c>
      <c r="R140" s="59">
        <f t="shared" si="109"/>
        <v>963.59256833510426</v>
      </c>
      <c r="S140" s="59">
        <f ca="1">AVERAGE(OFFSET($R$3,0,0,'Données projet'!$E$9+1,1))-AVERAGE(OFFSET($H$3,0,0,'Données projet'!$E$9+1,1))</f>
        <v>342.91408684769942</v>
      </c>
      <c r="T140" s="59">
        <f t="shared" si="142"/>
        <v>209.92380505963234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51.453393387488134</v>
      </c>
      <c r="AA140" s="21">
        <f>EXP(-LN(2)/25)*AA139+(1-EXP(-LN(2)/25))/(LN(2)/25)*Calculateur!V140*Calculateur!X140*VLOOKUP('Données projet'!$B$9,Paramètres!$A$1:$I$89,3,0)*0.475*44/12</f>
        <v>2.4203332780866069</v>
      </c>
      <c r="AB140" s="21">
        <f>EXP(-LN(2)/2)*AB139+(1-EXP(-LN(2)/2))/(LN(2)/2)*V140*Y140*VLOOKUP('Données projet'!$B$9,Paramètres!$A$1:$I$89,3,0)*0.475*44/12</f>
        <v>8.2448381643739283E-4</v>
      </c>
      <c r="AC140" s="22">
        <f t="shared" si="111"/>
        <v>53.874551149391181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432.99999999999989</v>
      </c>
      <c r="AJ140" s="13">
        <f>AI140*VLOOKUP('Données projet'!$B$10,Paramètres!$A$1:$I$89,3,0)*VLOOKUP('Données projet'!$B$10,Paramètres!$A$1:$I$89,5,0)</f>
        <v>290.45639999999992</v>
      </c>
      <c r="AK140" s="13">
        <f t="shared" si="143"/>
        <v>69.172009514864612</v>
      </c>
      <c r="AL140" s="20">
        <f t="shared" si="112"/>
        <v>626.3528132383891</v>
      </c>
      <c r="AM140" s="59">
        <f t="shared" si="113"/>
        <v>919.68614657172247</v>
      </c>
      <c r="AN140" s="59">
        <f ca="1">AVERAGE(OFFSET($AM$3,0,0,'Données projet'!$E$10+1,1))-AVERAGE(OFFSET($H$3,0,0,'Données projet'!$E$10+1,1))</f>
        <v>296.25231821504275</v>
      </c>
      <c r="AO140" s="59">
        <f t="shared" si="144"/>
        <v>316.20936902390275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12.713390756520816</v>
      </c>
      <c r="AV140" s="21">
        <f>EXP(-LN(2)/25)*AV139+(1-EXP(-LN(2)/25))/(LN(2)/25)*Calculateur!AQ140*Calculateur!AS140*VLOOKUP('Données projet'!$B$10,Paramètres!$A$1:$I$89,3,0)*0.475*44/12</f>
        <v>0.5689814650501035</v>
      </c>
      <c r="AW140" s="21">
        <f>EXP(-LN(2)/2)*AW139+(1-EXP(-LN(2)/2))/(LN(2)/2)*AQ140*AT140*VLOOKUP('Données projet'!$B$10,Paramètres!$A$1:$I$89,3,0)*0.475*44/12</f>
        <v>9.4220045594848383E-11</v>
      </c>
      <c r="AX140" s="21">
        <f t="shared" si="114"/>
        <v>13.28237222166514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318.99999999999994</v>
      </c>
      <c r="BE140" s="13">
        <f>BD140*VLOOKUP('Données projet'!$B$11,Paramètres!$A$1:$I$89,3,0)*VLOOKUP('Données projet'!$B$11,Paramètres!$A$1:$I$89,5,0)</f>
        <v>253.79639999999995</v>
      </c>
      <c r="BF140" s="13">
        <f t="shared" si="145"/>
        <v>61.398168322280704</v>
      </c>
      <c r="BG140" s="20">
        <f t="shared" si="115"/>
        <v>548.9638731613054</v>
      </c>
      <c r="BH140" s="59">
        <f t="shared" si="116"/>
        <v>842.29720649463866</v>
      </c>
      <c r="BI140" s="59">
        <f ca="1">AVERAGE(OFFSET($BH$3,0,0,'Données projet'!$E$11+1,1))-AVERAGE(OFFSET($H$3,0,0,'Données projet'!$E$11+1,1))</f>
        <v>244.50301885429764</v>
      </c>
      <c r="BJ140" s="59">
        <f t="shared" si="146"/>
        <v>248.77995374147798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12.374111154963447</v>
      </c>
      <c r="BQ140" s="21">
        <f>EXP(-LN(2)/25)*BQ139+(1-EXP(-LN(2)/25))/(LN(2)/25)*Calculateur!BL140*Calculateur!BN140*VLOOKUP('Données projet'!$B$11,Paramètres!$A$1:$I$89,3,0)*0.475*44/12</f>
        <v>0.62104619856771059</v>
      </c>
      <c r="BR140" s="21">
        <f>EXP(-LN(2)/2)*BR139+(1-EXP(-LN(2)/2))/(LN(2)/2)*BL140*BO140*VLOOKUP('Données projet'!$B$11,Paramètres!$A$1:$I$89,3,0)*0.475*44/12</f>
        <v>1.6225986181621528E-9</v>
      </c>
      <c r="BS140" s="22">
        <f t="shared" si="117"/>
        <v>12.995157355153758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1">
        <f t="shared" si="140"/>
        <v>31.804828741198751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67">
        <f t="shared" si="110"/>
        <v>558.69650339092095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311.298</v>
      </c>
      <c r="P141" s="13">
        <f t="shared" si="141"/>
        <v>73.539838278528748</v>
      </c>
      <c r="Q141" s="20">
        <f t="shared" si="108"/>
        <v>670.25923500177089</v>
      </c>
      <c r="R141" s="59">
        <f t="shared" si="109"/>
        <v>963.59256833510426</v>
      </c>
      <c r="S141" s="59">
        <f ca="1">AVERAGE(OFFSET($R$3,0,0,'Données projet'!$E$9+1,1))-AVERAGE(OFFSET($H$3,0,0,'Données projet'!$E$9+1,1))</f>
        <v>342.91408684769942</v>
      </c>
      <c r="T141" s="59">
        <f t="shared" si="142"/>
        <v>209.92380505963234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50.444423726630596</v>
      </c>
      <c r="AA141" s="21">
        <f>EXP(-LN(2)/25)*AA140+(1-EXP(-LN(2)/25))/(LN(2)/25)*Calculateur!V141*Calculateur!X141*VLOOKUP('Données projet'!$B$9,Paramètres!$A$1:$I$89,3,0)*0.475*44/12</f>
        <v>2.3541491373175334</v>
      </c>
      <c r="AB141" s="21">
        <f>EXP(-LN(2)/2)*AB140+(1-EXP(-LN(2)/2))/(LN(2)/2)*V141*Y141*VLOOKUP('Données projet'!$B$9,Paramètres!$A$1:$I$89,3,0)*0.475*44/12</f>
        <v>5.8299809758144514E-4</v>
      </c>
      <c r="AC141" s="22">
        <f t="shared" si="111"/>
        <v>52.799155862045716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432.99999999999989</v>
      </c>
      <c r="AJ141" s="13">
        <f>AI141*VLOOKUP('Données projet'!$B$10,Paramètres!$A$1:$I$89,3,0)*VLOOKUP('Données projet'!$B$10,Paramètres!$A$1:$I$89,5,0)</f>
        <v>290.45639999999992</v>
      </c>
      <c r="AK141" s="13">
        <f t="shared" si="143"/>
        <v>69.172009514864612</v>
      </c>
      <c r="AL141" s="20">
        <f t="shared" si="112"/>
        <v>626.3528132383891</v>
      </c>
      <c r="AM141" s="59">
        <f t="shared" si="113"/>
        <v>919.68614657172247</v>
      </c>
      <c r="AN141" s="59">
        <f ca="1">AVERAGE(OFFSET($AM$3,0,0,'Données projet'!$E$10+1,1))-AVERAGE(OFFSET($H$3,0,0,'Données projet'!$E$10+1,1))</f>
        <v>296.25231821504275</v>
      </c>
      <c r="AO141" s="59">
        <f t="shared" si="144"/>
        <v>316.20936902390275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12.464088918188121</v>
      </c>
      <c r="AV141" s="21">
        <f>EXP(-LN(2)/25)*AV140+(1-EXP(-LN(2)/25))/(LN(2)/25)*Calculateur!AQ141*Calculateur!AS141*VLOOKUP('Données projet'!$B$10,Paramètres!$A$1:$I$89,3,0)*0.475*44/12</f>
        <v>0.55342263696687355</v>
      </c>
      <c r="AW141" s="21">
        <f>EXP(-LN(2)/2)*AW140+(1-EXP(-LN(2)/2))/(LN(2)/2)*AQ141*AT141*VLOOKUP('Données projet'!$B$10,Paramètres!$A$1:$I$89,3,0)*0.475*44/12</f>
        <v>6.6623633163822986E-11</v>
      </c>
      <c r="AX141" s="21">
        <f t="shared" si="114"/>
        <v>13.017511555221619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318.99999999999994</v>
      </c>
      <c r="BE141" s="13">
        <f>BD141*VLOOKUP('Données projet'!$B$11,Paramètres!$A$1:$I$89,3,0)*VLOOKUP('Données projet'!$B$11,Paramètres!$A$1:$I$89,5,0)</f>
        <v>253.79639999999995</v>
      </c>
      <c r="BF141" s="13">
        <f t="shared" si="145"/>
        <v>61.398168322280704</v>
      </c>
      <c r="BG141" s="20">
        <f t="shared" si="115"/>
        <v>548.9638731613054</v>
      </c>
      <c r="BH141" s="59">
        <f t="shared" si="116"/>
        <v>842.29720649463866</v>
      </c>
      <c r="BI141" s="59">
        <f ca="1">AVERAGE(OFFSET($BH$3,0,0,'Données projet'!$E$11+1,1))-AVERAGE(OFFSET($H$3,0,0,'Données projet'!$E$11+1,1))</f>
        <v>244.50301885429764</v>
      </c>
      <c r="BJ141" s="59">
        <f t="shared" si="146"/>
        <v>248.77995374147798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12.131462382677169</v>
      </c>
      <c r="BQ141" s="21">
        <f>EXP(-LN(2)/25)*BQ140+(1-EXP(-LN(2)/25))/(LN(2)/25)*Calculateur!BL141*Calculateur!BN141*VLOOKUP('Données projet'!$B$11,Paramètres!$A$1:$I$89,3,0)*0.475*44/12</f>
        <v>0.60406365760847636</v>
      </c>
      <c r="BR141" s="21">
        <f>EXP(-LN(2)/2)*BR140+(1-EXP(-LN(2)/2))/(LN(2)/2)*BL141*BO141*VLOOKUP('Données projet'!$B$11,Paramètres!$A$1:$I$89,3,0)*0.475*44/12</f>
        <v>1.1473504860463797E-9</v>
      </c>
      <c r="BS141" s="22">
        <f t="shared" si="117"/>
        <v>12.735526041432996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1">
        <f t="shared" si="140"/>
        <v>32.008386179504427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67">
        <f t="shared" si="110"/>
        <v>560.57255259596991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311.298</v>
      </c>
      <c r="P142" s="13">
        <f t="shared" si="141"/>
        <v>73.539838278528748</v>
      </c>
      <c r="Q142" s="20">
        <f t="shared" si="108"/>
        <v>670.25923500177089</v>
      </c>
      <c r="R142" s="59">
        <f t="shared" si="109"/>
        <v>963.59256833510426</v>
      </c>
      <c r="S142" s="59">
        <f ca="1">AVERAGE(OFFSET($R$3,0,0,'Données projet'!$E$9+1,1))-AVERAGE(OFFSET($H$3,0,0,'Données projet'!$E$9+1,1))</f>
        <v>342.91408684769942</v>
      </c>
      <c r="T142" s="59">
        <f t="shared" si="142"/>
        <v>209.92380505963234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49.455239345411748</v>
      </c>
      <c r="AA142" s="21">
        <f>EXP(-LN(2)/25)*AA141+(1-EXP(-LN(2)/25))/(LN(2)/25)*Calculateur!V142*Calculateur!X142*VLOOKUP('Données projet'!$B$9,Paramètres!$A$1:$I$89,3,0)*0.475*44/12</f>
        <v>2.2897748053582627</v>
      </c>
      <c r="AB142" s="21">
        <f>EXP(-LN(2)/2)*AB141+(1-EXP(-LN(2)/2))/(LN(2)/2)*V142*Y142*VLOOKUP('Données projet'!$B$9,Paramètres!$A$1:$I$89,3,0)*0.475*44/12</f>
        <v>4.1224190821869642E-4</v>
      </c>
      <c r="AC142" s="22">
        <f t="shared" si="111"/>
        <v>51.745426392678233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432.99999999999989</v>
      </c>
      <c r="AJ142" s="13">
        <f>AI142*VLOOKUP('Données projet'!$B$10,Paramètres!$A$1:$I$89,3,0)*VLOOKUP('Données projet'!$B$10,Paramètres!$A$1:$I$89,5,0)</f>
        <v>290.45639999999992</v>
      </c>
      <c r="AK142" s="13">
        <f t="shared" si="143"/>
        <v>69.172009514864612</v>
      </c>
      <c r="AL142" s="20">
        <f t="shared" si="112"/>
        <v>626.3528132383891</v>
      </c>
      <c r="AM142" s="59">
        <f t="shared" si="113"/>
        <v>919.68614657172247</v>
      </c>
      <c r="AN142" s="59">
        <f ca="1">AVERAGE(OFFSET($AM$3,0,0,'Données projet'!$E$10+1,1))-AVERAGE(OFFSET($H$3,0,0,'Données projet'!$E$10+1,1))</f>
        <v>296.25231821504275</v>
      </c>
      <c r="AO142" s="59">
        <f t="shared" si="144"/>
        <v>316.20936902390275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12.219675736846023</v>
      </c>
      <c r="AV142" s="21">
        <f>EXP(-LN(2)/25)*AV141+(1-EXP(-LN(2)/25))/(LN(2)/25)*Calculateur!AQ142*Calculateur!AS142*VLOOKUP('Données projet'!$B$10,Paramètres!$A$1:$I$89,3,0)*0.475*44/12</f>
        <v>0.53828926585578274</v>
      </c>
      <c r="AW142" s="21">
        <f>EXP(-LN(2)/2)*AW141+(1-EXP(-LN(2)/2))/(LN(2)/2)*AQ142*AT142*VLOOKUP('Données projet'!$B$10,Paramètres!$A$1:$I$89,3,0)*0.475*44/12</f>
        <v>4.7110022797424192E-11</v>
      </c>
      <c r="AX142" s="21">
        <f t="shared" si="114"/>
        <v>12.757965002748916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318.99999999999994</v>
      </c>
      <c r="BE142" s="13">
        <f>BD142*VLOOKUP('Données projet'!$B$11,Paramètres!$A$1:$I$89,3,0)*VLOOKUP('Données projet'!$B$11,Paramètres!$A$1:$I$89,5,0)</f>
        <v>253.79639999999995</v>
      </c>
      <c r="BF142" s="13">
        <f t="shared" si="145"/>
        <v>61.398168322280704</v>
      </c>
      <c r="BG142" s="20">
        <f t="shared" si="115"/>
        <v>548.9638731613054</v>
      </c>
      <c r="BH142" s="59">
        <f t="shared" si="116"/>
        <v>842.29720649463866</v>
      </c>
      <c r="BI142" s="59">
        <f ca="1">AVERAGE(OFFSET($BH$3,0,0,'Données projet'!$E$11+1,1))-AVERAGE(OFFSET($H$3,0,0,'Données projet'!$E$11+1,1))</f>
        <v>244.50301885429764</v>
      </c>
      <c r="BJ142" s="59">
        <f t="shared" si="146"/>
        <v>248.77995374147798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11.893571804814288</v>
      </c>
      <c r="BQ142" s="21">
        <f>EXP(-LN(2)/25)*BQ141+(1-EXP(-LN(2)/25))/(LN(2)/25)*Calculateur!BL142*Calculateur!BN142*VLOOKUP('Données projet'!$B$11,Paramètres!$A$1:$I$89,3,0)*0.475*44/12</f>
        <v>0.58754550512484538</v>
      </c>
      <c r="BR142" s="21">
        <f>EXP(-LN(2)/2)*BR141+(1-EXP(-LN(2)/2))/(LN(2)/2)*BL142*BO142*VLOOKUP('Données projet'!$B$11,Paramètres!$A$1:$I$89,3,0)*0.475*44/12</f>
        <v>8.1129930908107638E-10</v>
      </c>
      <c r="BS142" s="22">
        <f t="shared" si="117"/>
        <v>12.481117310750433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1">
        <f t="shared" si="140"/>
        <v>32.211773226559345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67">
        <f t="shared" si="110"/>
        <v>562.44830503625724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311.298</v>
      </c>
      <c r="P143" s="13">
        <f t="shared" si="141"/>
        <v>73.539838278528748</v>
      </c>
      <c r="Q143" s="20">
        <f t="shared" si="108"/>
        <v>670.25923500177089</v>
      </c>
      <c r="R143" s="59">
        <f t="shared" si="109"/>
        <v>963.59256833510426</v>
      </c>
      <c r="S143" s="59">
        <f ca="1">AVERAGE(OFFSET($R$3,0,0,'Données projet'!$E$9+1,1))-AVERAGE(OFFSET($H$3,0,0,'Données projet'!$E$9+1,1))</f>
        <v>342.91408684769942</v>
      </c>
      <c r="T143" s="59">
        <f t="shared" si="142"/>
        <v>209.92380505963234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48.485452266565709</v>
      </c>
      <c r="AA143" s="21">
        <f>EXP(-LN(2)/25)*AA142+(1-EXP(-LN(2)/25))/(LN(2)/25)*Calculateur!V143*Calculateur!X143*VLOOKUP('Données projet'!$B$9,Paramètres!$A$1:$I$89,3,0)*0.475*44/12</f>
        <v>2.2271607928917172</v>
      </c>
      <c r="AB143" s="21">
        <f>EXP(-LN(2)/2)*AB142+(1-EXP(-LN(2)/2))/(LN(2)/2)*V143*Y143*VLOOKUP('Données projet'!$B$9,Paramètres!$A$1:$I$89,3,0)*0.475*44/12</f>
        <v>2.9149904879072257E-4</v>
      </c>
      <c r="AC143" s="22">
        <f t="shared" si="111"/>
        <v>50.712904558506217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432.99999999999989</v>
      </c>
      <c r="AJ143" s="13">
        <f>AI143*VLOOKUP('Données projet'!$B$10,Paramètres!$A$1:$I$89,3,0)*VLOOKUP('Données projet'!$B$10,Paramètres!$A$1:$I$89,5,0)</f>
        <v>290.45639999999992</v>
      </c>
      <c r="AK143" s="13">
        <f t="shared" si="143"/>
        <v>69.172009514864612</v>
      </c>
      <c r="AL143" s="20">
        <f t="shared" si="112"/>
        <v>626.3528132383891</v>
      </c>
      <c r="AM143" s="59">
        <f t="shared" si="113"/>
        <v>919.68614657172247</v>
      </c>
      <c r="AN143" s="59">
        <f ca="1">AVERAGE(OFFSET($AM$3,0,0,'Données projet'!$E$10+1,1))-AVERAGE(OFFSET($H$3,0,0,'Données projet'!$E$10+1,1))</f>
        <v>296.25231821504275</v>
      </c>
      <c r="AO143" s="59">
        <f t="shared" si="144"/>
        <v>316.20936902390275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11.980055348912723</v>
      </c>
      <c r="AV143" s="21">
        <f>EXP(-LN(2)/25)*AV142+(1-EXP(-LN(2)/25))/(LN(2)/25)*Calculateur!AQ143*Calculateur!AS143*VLOOKUP('Données projet'!$B$10,Paramètres!$A$1:$I$89,3,0)*0.475*44/12</f>
        <v>0.52356971757355419</v>
      </c>
      <c r="AW143" s="21">
        <f>EXP(-LN(2)/2)*AW142+(1-EXP(-LN(2)/2))/(LN(2)/2)*AQ143*AT143*VLOOKUP('Données projet'!$B$10,Paramètres!$A$1:$I$89,3,0)*0.475*44/12</f>
        <v>3.3311816581911493E-11</v>
      </c>
      <c r="AX143" s="21">
        <f t="shared" si="114"/>
        <v>12.503625066519589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318.99999999999994</v>
      </c>
      <c r="BE143" s="13">
        <f>BD143*VLOOKUP('Données projet'!$B$11,Paramètres!$A$1:$I$89,3,0)*VLOOKUP('Données projet'!$B$11,Paramètres!$A$1:$I$89,5,0)</f>
        <v>253.79639999999995</v>
      </c>
      <c r="BF143" s="13">
        <f t="shared" si="145"/>
        <v>61.398168322280704</v>
      </c>
      <c r="BG143" s="20">
        <f t="shared" si="115"/>
        <v>548.9638731613054</v>
      </c>
      <c r="BH143" s="59">
        <f t="shared" si="116"/>
        <v>842.29720649463866</v>
      </c>
      <c r="BI143" s="59">
        <f ca="1">AVERAGE(OFFSET($BH$3,0,0,'Données projet'!$E$11+1,1))-AVERAGE(OFFSET($H$3,0,0,'Données projet'!$E$11+1,1))</f>
        <v>244.50301885429764</v>
      </c>
      <c r="BJ143" s="59">
        <f t="shared" si="146"/>
        <v>248.77995374147798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11.660346116084371</v>
      </c>
      <c r="BQ143" s="21">
        <f>EXP(-LN(2)/25)*BQ142+(1-EXP(-LN(2)/25))/(LN(2)/25)*Calculateur!BL143*Calculateur!BN143*VLOOKUP('Données projet'!$B$11,Paramètres!$A$1:$I$89,3,0)*0.475*44/12</f>
        <v>0.57147904238953118</v>
      </c>
      <c r="BR143" s="21">
        <f>EXP(-LN(2)/2)*BR142+(1-EXP(-LN(2)/2))/(LN(2)/2)*BL143*BO143*VLOOKUP('Données projet'!$B$11,Paramètres!$A$1:$I$89,3,0)*0.475*44/12</f>
        <v>5.7367524302318986E-10</v>
      </c>
      <c r="BS143" s="22">
        <f t="shared" si="117"/>
        <v>12.231825159047578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1">
        <f t="shared" si="140"/>
        <v>32.414991240570387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67">
        <f t="shared" si="110"/>
        <v>564.32376307732648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311.298</v>
      </c>
      <c r="P144" s="13">
        <f t="shared" si="141"/>
        <v>73.539838278528748</v>
      </c>
      <c r="Q144" s="20">
        <f t="shared" si="108"/>
        <v>670.25923500177089</v>
      </c>
      <c r="R144" s="59">
        <f t="shared" si="109"/>
        <v>963.59256833510426</v>
      </c>
      <c r="S144" s="59">
        <f ca="1">AVERAGE(OFFSET($R$3,0,0,'Données projet'!$E$9+1,1))-AVERAGE(OFFSET($H$3,0,0,'Données projet'!$E$9+1,1))</f>
        <v>342.91408684769942</v>
      </c>
      <c r="T144" s="59">
        <f t="shared" si="142"/>
        <v>209.92380505963234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47.534682120824129</v>
      </c>
      <c r="AA144" s="21">
        <f>EXP(-LN(2)/25)*AA143+(1-EXP(-LN(2)/25))/(LN(2)/25)*Calculateur!V144*Calculateur!X144*VLOOKUP('Données projet'!$B$9,Paramètres!$A$1:$I$89,3,0)*0.475*44/12</f>
        <v>2.1662589638887972</v>
      </c>
      <c r="AB144" s="21">
        <f>EXP(-LN(2)/2)*AB143+(1-EXP(-LN(2)/2))/(LN(2)/2)*V144*Y144*VLOOKUP('Données projet'!$B$9,Paramètres!$A$1:$I$89,3,0)*0.475*44/12</f>
        <v>2.0612095410934821E-4</v>
      </c>
      <c r="AC144" s="22">
        <f t="shared" si="111"/>
        <v>49.701147205667034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432.99999999999989</v>
      </c>
      <c r="AJ144" s="13">
        <f>AI144*VLOOKUP('Données projet'!$B$10,Paramètres!$A$1:$I$89,3,0)*VLOOKUP('Données projet'!$B$10,Paramètres!$A$1:$I$89,5,0)</f>
        <v>290.45639999999992</v>
      </c>
      <c r="AK144" s="13">
        <f t="shared" si="143"/>
        <v>69.172009514864612</v>
      </c>
      <c r="AL144" s="20">
        <f t="shared" si="112"/>
        <v>626.3528132383891</v>
      </c>
      <c r="AM144" s="59">
        <f t="shared" si="113"/>
        <v>919.68614657172247</v>
      </c>
      <c r="AN144" s="59">
        <f ca="1">AVERAGE(OFFSET($AM$3,0,0,'Données projet'!$E$10+1,1))-AVERAGE(OFFSET($H$3,0,0,'Données projet'!$E$10+1,1))</f>
        <v>296.25231821504275</v>
      </c>
      <c r="AO144" s="59">
        <f t="shared" si="144"/>
        <v>316.20936902390275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11.745133770632791</v>
      </c>
      <c r="AV144" s="21">
        <f>EXP(-LN(2)/25)*AV143+(1-EXP(-LN(2)/25))/(LN(2)/25)*Calculateur!AQ144*Calculateur!AS144*VLOOKUP('Données projet'!$B$10,Paramètres!$A$1:$I$89,3,0)*0.475*44/12</f>
        <v>0.50925267611317049</v>
      </c>
      <c r="AW144" s="21">
        <f>EXP(-LN(2)/2)*AW143+(1-EXP(-LN(2)/2))/(LN(2)/2)*AQ144*AT144*VLOOKUP('Données projet'!$B$10,Paramètres!$A$1:$I$89,3,0)*0.475*44/12</f>
        <v>2.3555011398712096E-11</v>
      </c>
      <c r="AX144" s="21">
        <f t="shared" si="114"/>
        <v>12.254386446769516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318.99999999999994</v>
      </c>
      <c r="BE144" s="13">
        <f>BD144*VLOOKUP('Données projet'!$B$11,Paramètres!$A$1:$I$89,3,0)*VLOOKUP('Données projet'!$B$11,Paramètres!$A$1:$I$89,5,0)</f>
        <v>253.79639999999995</v>
      </c>
      <c r="BF144" s="13">
        <f t="shared" si="145"/>
        <v>61.398168322280704</v>
      </c>
      <c r="BG144" s="20">
        <f t="shared" si="115"/>
        <v>548.9638731613054</v>
      </c>
      <c r="BH144" s="59">
        <f t="shared" si="116"/>
        <v>842.29720649463866</v>
      </c>
      <c r="BI144" s="59">
        <f ca="1">AVERAGE(OFFSET($BH$3,0,0,'Données projet'!$E$11+1,1))-AVERAGE(OFFSET($H$3,0,0,'Données projet'!$E$11+1,1))</f>
        <v>244.50301885429764</v>
      </c>
      <c r="BJ144" s="59">
        <f t="shared" si="146"/>
        <v>248.77995374147798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11.431693840856825</v>
      </c>
      <c r="BQ144" s="21">
        <f>EXP(-LN(2)/25)*BQ143+(1-EXP(-LN(2)/25))/(LN(2)/25)*Calculateur!BL144*Calculateur!BN144*VLOOKUP('Données projet'!$B$11,Paramètres!$A$1:$I$89,3,0)*0.475*44/12</f>
        <v>0.55585191792261279</v>
      </c>
      <c r="BR144" s="21">
        <f>EXP(-LN(2)/2)*BR143+(1-EXP(-LN(2)/2))/(LN(2)/2)*BL144*BO144*VLOOKUP('Données projet'!$B$11,Paramètres!$A$1:$I$89,3,0)*0.475*44/12</f>
        <v>4.0564965454053819E-10</v>
      </c>
      <c r="BS144" s="22">
        <f t="shared" si="117"/>
        <v>11.987545759185087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1">
        <f t="shared" si="140"/>
        <v>32.618041559365949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67">
        <f t="shared" si="110"/>
        <v>566.1989290492287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311.298</v>
      </c>
      <c r="P145" s="13">
        <f t="shared" si="141"/>
        <v>73.539838278528748</v>
      </c>
      <c r="Q145" s="20">
        <f t="shared" si="108"/>
        <v>670.25923500177089</v>
      </c>
      <c r="R145" s="59">
        <f t="shared" si="109"/>
        <v>963.59256833510426</v>
      </c>
      <c r="S145" s="59">
        <f ca="1">AVERAGE(OFFSET($R$3,0,0,'Données projet'!$E$9+1,1))-AVERAGE(OFFSET($H$3,0,0,'Données projet'!$E$9+1,1))</f>
        <v>342.91408684769942</v>
      </c>
      <c r="T145" s="59">
        <f t="shared" si="142"/>
        <v>209.92380505963234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46.602555997728011</v>
      </c>
      <c r="AA145" s="21">
        <f>EXP(-LN(2)/25)*AA144+(1-EXP(-LN(2)/25))/(LN(2)/25)*Calculateur!V145*Calculateur!X145*VLOOKUP('Données projet'!$B$9,Paramètres!$A$1:$I$89,3,0)*0.475*44/12</f>
        <v>2.10702249860265</v>
      </c>
      <c r="AB145" s="21">
        <f>EXP(-LN(2)/2)*AB144+(1-EXP(-LN(2)/2))/(LN(2)/2)*V145*Y145*VLOOKUP('Données projet'!$B$9,Paramètres!$A$1:$I$89,3,0)*0.475*44/12</f>
        <v>1.4574952439536128E-4</v>
      </c>
      <c r="AC145" s="22">
        <f t="shared" si="111"/>
        <v>48.709724245855057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432.99999999999989</v>
      </c>
      <c r="AJ145" s="13">
        <f>AI145*VLOOKUP('Données projet'!$B$10,Paramètres!$A$1:$I$89,3,0)*VLOOKUP('Données projet'!$B$10,Paramètres!$A$1:$I$89,5,0)</f>
        <v>290.45639999999992</v>
      </c>
      <c r="AK145" s="13">
        <f t="shared" si="143"/>
        <v>69.172009514864612</v>
      </c>
      <c r="AL145" s="20">
        <f t="shared" si="112"/>
        <v>626.3528132383891</v>
      </c>
      <c r="AM145" s="59">
        <f t="shared" si="113"/>
        <v>919.68614657172247</v>
      </c>
      <c r="AN145" s="59">
        <f ca="1">AVERAGE(OFFSET($AM$3,0,0,'Données projet'!$E$10+1,1))-AVERAGE(OFFSET($H$3,0,0,'Données projet'!$E$10+1,1))</f>
        <v>296.25231821504275</v>
      </c>
      <c r="AO145" s="59">
        <f t="shared" si="144"/>
        <v>316.20936902390275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11.514818861214913</v>
      </c>
      <c r="AV145" s="21">
        <f>EXP(-LN(2)/25)*AV144+(1-EXP(-LN(2)/25))/(LN(2)/25)*Calculateur!AQ145*Calculateur!AS145*VLOOKUP('Données projet'!$B$10,Paramètres!$A$1:$I$89,3,0)*0.475*44/12</f>
        <v>0.49532713490442154</v>
      </c>
      <c r="AW145" s="21">
        <f>EXP(-LN(2)/2)*AW144+(1-EXP(-LN(2)/2))/(LN(2)/2)*AQ145*AT145*VLOOKUP('Données projet'!$B$10,Paramètres!$A$1:$I$89,3,0)*0.475*44/12</f>
        <v>1.6655908290955747E-11</v>
      </c>
      <c r="AX145" s="21">
        <f t="shared" si="114"/>
        <v>12.010145996135989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318.99999999999994</v>
      </c>
      <c r="BE145" s="13">
        <f>BD145*VLOOKUP('Données projet'!$B$11,Paramètres!$A$1:$I$89,3,0)*VLOOKUP('Données projet'!$B$11,Paramètres!$A$1:$I$89,5,0)</f>
        <v>253.79639999999995</v>
      </c>
      <c r="BF145" s="13">
        <f t="shared" si="145"/>
        <v>61.398168322280704</v>
      </c>
      <c r="BG145" s="20">
        <f t="shared" si="115"/>
        <v>548.9638731613054</v>
      </c>
      <c r="BH145" s="59">
        <f t="shared" si="116"/>
        <v>842.29720649463866</v>
      </c>
      <c r="BI145" s="59">
        <f ca="1">AVERAGE(OFFSET($BH$3,0,0,'Données projet'!$E$11+1,1))-AVERAGE(OFFSET($H$3,0,0,'Données projet'!$E$11+1,1))</f>
        <v>244.50301885429764</v>
      </c>
      <c r="BJ145" s="59">
        <f t="shared" si="146"/>
        <v>248.77995374147798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11.207525297282375</v>
      </c>
      <c r="BQ145" s="21">
        <f>EXP(-LN(2)/25)*BQ144+(1-EXP(-LN(2)/25))/(LN(2)/25)*Calculateur!BL145*Calculateur!BN145*VLOOKUP('Données projet'!$B$11,Paramètres!$A$1:$I$89,3,0)*0.475*44/12</f>
        <v>0.54065211799603696</v>
      </c>
      <c r="BR145" s="21">
        <f>EXP(-LN(2)/2)*BR144+(1-EXP(-LN(2)/2))/(LN(2)/2)*BL145*BO145*VLOOKUP('Données projet'!$B$11,Paramètres!$A$1:$I$89,3,0)*0.475*44/12</f>
        <v>2.8683762151159493E-10</v>
      </c>
      <c r="BS145" s="22">
        <f t="shared" si="117"/>
        <v>11.74817741556525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1">
        <f t="shared" si="140"/>
        <v>32.820925500842684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67">
        <f t="shared" si="110"/>
        <v>568.0738052473007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311.298</v>
      </c>
      <c r="P146" s="13">
        <f t="shared" si="141"/>
        <v>73.539838278528748</v>
      </c>
      <c r="Q146" s="20">
        <f t="shared" si="108"/>
        <v>670.25923500177089</v>
      </c>
      <c r="R146" s="59">
        <f t="shared" si="109"/>
        <v>963.59256833510426</v>
      </c>
      <c r="S146" s="59">
        <f ca="1">AVERAGE(OFFSET($R$3,0,0,'Données projet'!$E$9+1,1))-AVERAGE(OFFSET($H$3,0,0,'Données projet'!$E$9+1,1))</f>
        <v>342.91408684769942</v>
      </c>
      <c r="T146" s="59">
        <f t="shared" si="142"/>
        <v>209.92380505963234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45.688708299365011</v>
      </c>
      <c r="AA146" s="21">
        <f>EXP(-LN(2)/25)*AA145+(1-EXP(-LN(2)/25))/(LN(2)/25)*Calculateur!V146*Calculateur!X146*VLOOKUP('Données projet'!$B$9,Paramètres!$A$1:$I$89,3,0)*0.475*44/12</f>
        <v>2.0494058575748628</v>
      </c>
      <c r="AB146" s="21">
        <f>EXP(-LN(2)/2)*AB145+(1-EXP(-LN(2)/2))/(LN(2)/2)*V146*Y146*VLOOKUP('Données projet'!$B$9,Paramètres!$A$1:$I$89,3,0)*0.475*44/12</f>
        <v>1.030604770546741E-4</v>
      </c>
      <c r="AC146" s="22">
        <f t="shared" si="111"/>
        <v>47.738217217416924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432.99999999999989</v>
      </c>
      <c r="AJ146" s="13">
        <f>AI146*VLOOKUP('Données projet'!$B$10,Paramètres!$A$1:$I$89,3,0)*VLOOKUP('Données projet'!$B$10,Paramètres!$A$1:$I$89,5,0)</f>
        <v>290.45639999999992</v>
      </c>
      <c r="AK146" s="13">
        <f t="shared" si="143"/>
        <v>69.172009514864612</v>
      </c>
      <c r="AL146" s="20">
        <f t="shared" si="112"/>
        <v>626.3528132383891</v>
      </c>
      <c r="AM146" s="59">
        <f t="shared" si="113"/>
        <v>919.68614657172247</v>
      </c>
      <c r="AN146" s="59">
        <f ca="1">AVERAGE(OFFSET($AM$3,0,0,'Données projet'!$E$10+1,1))-AVERAGE(OFFSET($H$3,0,0,'Données projet'!$E$10+1,1))</f>
        <v>296.25231821504275</v>
      </c>
      <c r="AO146" s="59">
        <f t="shared" si="144"/>
        <v>316.20936902390275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11.289020286692496</v>
      </c>
      <c r="AV146" s="21">
        <f>EXP(-LN(2)/25)*AV145+(1-EXP(-LN(2)/25))/(LN(2)/25)*Calculateur!AQ146*Calculateur!AS146*VLOOKUP('Données projet'!$B$10,Paramètres!$A$1:$I$89,3,0)*0.475*44/12</f>
        <v>0.48178238835233822</v>
      </c>
      <c r="AW146" s="21">
        <f>EXP(-LN(2)/2)*AW145+(1-EXP(-LN(2)/2))/(LN(2)/2)*AQ146*AT146*VLOOKUP('Données projet'!$B$10,Paramètres!$A$1:$I$89,3,0)*0.475*44/12</f>
        <v>1.1777505699356048E-11</v>
      </c>
      <c r="AX146" s="21">
        <f t="shared" si="114"/>
        <v>11.770802675056611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318.99999999999994</v>
      </c>
      <c r="BE146" s="13">
        <f>BD146*VLOOKUP('Données projet'!$B$11,Paramètres!$A$1:$I$89,3,0)*VLOOKUP('Données projet'!$B$11,Paramètres!$A$1:$I$89,5,0)</f>
        <v>253.79639999999995</v>
      </c>
      <c r="BF146" s="13">
        <f t="shared" si="145"/>
        <v>61.398168322280704</v>
      </c>
      <c r="BG146" s="20">
        <f t="shared" si="115"/>
        <v>548.9638731613054</v>
      </c>
      <c r="BH146" s="59">
        <f t="shared" si="116"/>
        <v>842.29720649463866</v>
      </c>
      <c r="BI146" s="59">
        <f ca="1">AVERAGE(OFFSET($BH$3,0,0,'Données projet'!$E$11+1,1))-AVERAGE(OFFSET($H$3,0,0,'Données projet'!$E$11+1,1))</f>
        <v>244.50301885429764</v>
      </c>
      <c r="BJ146" s="59">
        <f t="shared" si="146"/>
        <v>248.77995374147798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10.987752562118109</v>
      </c>
      <c r="BQ146" s="21">
        <f>EXP(-LN(2)/25)*BQ145+(1-EXP(-LN(2)/25))/(LN(2)/25)*Calculateur!BL146*Calculateur!BN146*VLOOKUP('Données projet'!$B$11,Paramètres!$A$1:$I$89,3,0)*0.475*44/12</f>
        <v>0.52586795739777614</v>
      </c>
      <c r="BR146" s="21">
        <f>EXP(-LN(2)/2)*BR145+(1-EXP(-LN(2)/2))/(LN(2)/2)*BL146*BO146*VLOOKUP('Données projet'!$B$11,Paramètres!$A$1:$I$89,3,0)*0.475*44/12</f>
        <v>2.028248272702691E-10</v>
      </c>
      <c r="BS146" s="22">
        <f t="shared" si="117"/>
        <v>11.51362051971871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1">
        <f t="shared" si="140"/>
        <v>33.023644363399924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67">
        <f t="shared" si="110"/>
        <v>569.94839393292125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311.298</v>
      </c>
      <c r="P147" s="13">
        <f t="shared" si="141"/>
        <v>73.539838278528748</v>
      </c>
      <c r="Q147" s="20">
        <f t="shared" si="108"/>
        <v>670.25923500177089</v>
      </c>
      <c r="R147" s="59">
        <f t="shared" si="109"/>
        <v>963.59256833510426</v>
      </c>
      <c r="S147" s="59">
        <f ca="1">AVERAGE(OFFSET($R$3,0,0,'Données projet'!$E$9+1,1))-AVERAGE(OFFSET($H$3,0,0,'Données projet'!$E$9+1,1))</f>
        <v>342.91408684769942</v>
      </c>
      <c r="T147" s="59">
        <f t="shared" si="142"/>
        <v>209.92380505963234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44.79278059697485</v>
      </c>
      <c r="AA147" s="21">
        <f>EXP(-LN(2)/25)*AA146+(1-EXP(-LN(2)/25))/(LN(2)/25)*Calculateur!V147*Calculateur!X147*VLOOKUP('Données projet'!$B$9,Paramètres!$A$1:$I$89,3,0)*0.475*44/12</f>
        <v>1.9933647466259081</v>
      </c>
      <c r="AB147" s="21">
        <f>EXP(-LN(2)/2)*AB146+(1-EXP(-LN(2)/2))/(LN(2)/2)*V147*Y147*VLOOKUP('Données projet'!$B$9,Paramètres!$A$1:$I$89,3,0)*0.475*44/12</f>
        <v>7.2874762197680642E-5</v>
      </c>
      <c r="AC147" s="22">
        <f t="shared" si="111"/>
        <v>46.786218218362954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432.99999999999989</v>
      </c>
      <c r="AJ147" s="13">
        <f>AI147*VLOOKUP('Données projet'!$B$10,Paramètres!$A$1:$I$89,3,0)*VLOOKUP('Données projet'!$B$10,Paramètres!$A$1:$I$89,5,0)</f>
        <v>290.45639999999992</v>
      </c>
      <c r="AK147" s="13">
        <f t="shared" si="143"/>
        <v>69.172009514864612</v>
      </c>
      <c r="AL147" s="20">
        <f t="shared" si="112"/>
        <v>626.3528132383891</v>
      </c>
      <c r="AM147" s="59">
        <f t="shared" si="113"/>
        <v>919.68614657172247</v>
      </c>
      <c r="AN147" s="59">
        <f ca="1">AVERAGE(OFFSET($AM$3,0,0,'Données projet'!$E$10+1,1))-AVERAGE(OFFSET($H$3,0,0,'Données projet'!$E$10+1,1))</f>
        <v>296.25231821504275</v>
      </c>
      <c r="AO147" s="59">
        <f t="shared" si="144"/>
        <v>316.20936902390275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11.067649484492932</v>
      </c>
      <c r="AV147" s="21">
        <f>EXP(-LN(2)/25)*AV146+(1-EXP(-LN(2)/25))/(LN(2)/25)*Calculateur!AQ147*Calculateur!AS147*VLOOKUP('Données projet'!$B$10,Paramètres!$A$1:$I$89,3,0)*0.475*44/12</f>
        <v>0.46860802360700887</v>
      </c>
      <c r="AW147" s="21">
        <f>EXP(-LN(2)/2)*AW146+(1-EXP(-LN(2)/2))/(LN(2)/2)*AQ147*AT147*VLOOKUP('Données projet'!$B$10,Paramètres!$A$1:$I$89,3,0)*0.475*44/12</f>
        <v>8.3279541454778733E-12</v>
      </c>
      <c r="AX147" s="21">
        <f t="shared" si="114"/>
        <v>11.536257508108269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318.99999999999994</v>
      </c>
      <c r="BE147" s="13">
        <f>BD147*VLOOKUP('Données projet'!$B$11,Paramètres!$A$1:$I$89,3,0)*VLOOKUP('Données projet'!$B$11,Paramètres!$A$1:$I$89,5,0)</f>
        <v>253.79639999999995</v>
      </c>
      <c r="BF147" s="13">
        <f t="shared" si="145"/>
        <v>61.398168322280704</v>
      </c>
      <c r="BG147" s="20">
        <f t="shared" si="115"/>
        <v>548.9638731613054</v>
      </c>
      <c r="BH147" s="59">
        <f t="shared" si="116"/>
        <v>842.29720649463866</v>
      </c>
      <c r="BI147" s="59">
        <f ca="1">AVERAGE(OFFSET($BH$3,0,0,'Données projet'!$E$11+1,1))-AVERAGE(OFFSET($H$3,0,0,'Données projet'!$E$11+1,1))</f>
        <v>244.50301885429764</v>
      </c>
      <c r="BJ147" s="59">
        <f t="shared" si="146"/>
        <v>248.77995374147798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10.772289436242282</v>
      </c>
      <c r="BQ147" s="21">
        <f>EXP(-LN(2)/25)*BQ146+(1-EXP(-LN(2)/25))/(LN(2)/25)*Calculateur!BL147*Calculateur!BN147*VLOOKUP('Données projet'!$B$11,Paramètres!$A$1:$I$89,3,0)*0.475*44/12</f>
        <v>0.51148807044853994</v>
      </c>
      <c r="BR147" s="21">
        <f>EXP(-LN(2)/2)*BR146+(1-EXP(-LN(2)/2))/(LN(2)/2)*BL147*BO147*VLOOKUP('Données projet'!$B$11,Paramètres!$A$1:$I$89,3,0)*0.475*44/12</f>
        <v>1.4341881075579746E-10</v>
      </c>
      <c r="BS147" s="22">
        <f t="shared" si="117"/>
        <v>11.283777506834241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1">
        <f t="shared" si="140"/>
        <v>33.226199426361291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67">
        <f t="shared" si="110"/>
        <v>571.82269733424562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311.298</v>
      </c>
      <c r="P148" s="13">
        <f t="shared" si="141"/>
        <v>73.539838278528748</v>
      </c>
      <c r="Q148" s="20">
        <f t="shared" si="108"/>
        <v>670.25923500177089</v>
      </c>
      <c r="R148" s="59">
        <f t="shared" si="109"/>
        <v>963.59256833510426</v>
      </c>
      <c r="S148" s="59">
        <f ca="1">AVERAGE(OFFSET($R$3,0,0,'Données projet'!$E$9+1,1))-AVERAGE(OFFSET($H$3,0,0,'Données projet'!$E$9+1,1))</f>
        <v>342.91408684769942</v>
      </c>
      <c r="T148" s="59">
        <f t="shared" si="142"/>
        <v>209.92380505963234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43.914421490366621</v>
      </c>
      <c r="AA148" s="21">
        <f>EXP(-LN(2)/25)*AA147+(1-EXP(-LN(2)/25))/(LN(2)/25)*Calculateur!V148*Calculateur!X148*VLOOKUP('Données projet'!$B$9,Paramètres!$A$1:$I$89,3,0)*0.475*44/12</f>
        <v>1.9388560828029264</v>
      </c>
      <c r="AB148" s="21">
        <f>EXP(-LN(2)/2)*AB147+(1-EXP(-LN(2)/2))/(LN(2)/2)*V148*Y148*VLOOKUP('Données projet'!$B$9,Paramètres!$A$1:$I$89,3,0)*0.475*44/12</f>
        <v>5.1530238527337052E-5</v>
      </c>
      <c r="AC148" s="22">
        <f t="shared" si="111"/>
        <v>45.853329103408079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432.99999999999989</v>
      </c>
      <c r="AJ148" s="13">
        <f>AI148*VLOOKUP('Données projet'!$B$10,Paramètres!$A$1:$I$89,3,0)*VLOOKUP('Données projet'!$B$10,Paramètres!$A$1:$I$89,5,0)</f>
        <v>290.45639999999992</v>
      </c>
      <c r="AK148" s="13">
        <f t="shared" si="143"/>
        <v>69.172009514864612</v>
      </c>
      <c r="AL148" s="20">
        <f t="shared" si="112"/>
        <v>626.3528132383891</v>
      </c>
      <c r="AM148" s="59">
        <f t="shared" si="113"/>
        <v>919.68614657172247</v>
      </c>
      <c r="AN148" s="59">
        <f ca="1">AVERAGE(OFFSET($AM$3,0,0,'Données projet'!$E$10+1,1))-AVERAGE(OFFSET($H$3,0,0,'Données projet'!$E$10+1,1))</f>
        <v>296.25231821504275</v>
      </c>
      <c r="AO148" s="59">
        <f t="shared" si="144"/>
        <v>316.20936902390275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10.850619628701645</v>
      </c>
      <c r="AV148" s="21">
        <f>EXP(-LN(2)/25)*AV147+(1-EXP(-LN(2)/25))/(LN(2)/25)*Calculateur!AQ148*Calculateur!AS148*VLOOKUP('Données projet'!$B$10,Paramètres!$A$1:$I$89,3,0)*0.475*44/12</f>
        <v>0.45579391255845025</v>
      </c>
      <c r="AW148" s="21">
        <f>EXP(-LN(2)/2)*AW147+(1-EXP(-LN(2)/2))/(LN(2)/2)*AQ148*AT148*VLOOKUP('Données projet'!$B$10,Paramètres!$A$1:$I$89,3,0)*0.475*44/12</f>
        <v>5.8887528496780239E-12</v>
      </c>
      <c r="AX148" s="21">
        <f t="shared" si="114"/>
        <v>11.306413541265984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318.99999999999994</v>
      </c>
      <c r="BE148" s="13">
        <f>BD148*VLOOKUP('Données projet'!$B$11,Paramètres!$A$1:$I$89,3,0)*VLOOKUP('Données projet'!$B$11,Paramètres!$A$1:$I$89,5,0)</f>
        <v>253.79639999999995</v>
      </c>
      <c r="BF148" s="13">
        <f t="shared" si="145"/>
        <v>61.398168322280704</v>
      </c>
      <c r="BG148" s="20">
        <f t="shared" si="115"/>
        <v>548.9638731613054</v>
      </c>
      <c r="BH148" s="59">
        <f t="shared" si="116"/>
        <v>842.29720649463866</v>
      </c>
      <c r="BI148" s="59">
        <f ca="1">AVERAGE(OFFSET($BH$3,0,0,'Données projet'!$E$11+1,1))-AVERAGE(OFFSET($H$3,0,0,'Données projet'!$E$11+1,1))</f>
        <v>244.50301885429764</v>
      </c>
      <c r="BJ148" s="59">
        <f t="shared" si="146"/>
        <v>248.77995374147798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10.56105141084535</v>
      </c>
      <c r="BQ148" s="21">
        <f>EXP(-LN(2)/25)*BQ147+(1-EXP(-LN(2)/25))/(LN(2)/25)*Calculateur!BL148*Calculateur!BN148*VLOOKUP('Données projet'!$B$11,Paramètres!$A$1:$I$89,3,0)*0.475*44/12</f>
        <v>0.49750140226413603</v>
      </c>
      <c r="BR148" s="21">
        <f>EXP(-LN(2)/2)*BR147+(1-EXP(-LN(2)/2))/(LN(2)/2)*BL148*BO148*VLOOKUP('Données projet'!$B$11,Paramètres!$A$1:$I$89,3,0)*0.475*44/12</f>
        <v>1.0141241363513455E-10</v>
      </c>
      <c r="BS148" s="22">
        <f t="shared" si="117"/>
        <v>11.058552813210898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1">
        <f t="shared" si="140"/>
        <v>33.428591950384771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67">
        <f t="shared" si="110"/>
        <v>573.69671764691986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311.298</v>
      </c>
      <c r="P149" s="13">
        <f t="shared" si="141"/>
        <v>73.539838278528748</v>
      </c>
      <c r="Q149" s="20">
        <f t="shared" si="108"/>
        <v>670.25923500177089</v>
      </c>
      <c r="R149" s="59">
        <f t="shared" si="109"/>
        <v>963.59256833510426</v>
      </c>
      <c r="S149" s="59">
        <f ca="1">AVERAGE(OFFSET($R$3,0,0,'Données projet'!$E$9+1,1))-AVERAGE(OFFSET($H$3,0,0,'Données projet'!$E$9+1,1))</f>
        <v>342.91408684769942</v>
      </c>
      <c r="T149" s="59">
        <f t="shared" si="142"/>
        <v>209.92380505963234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43.053286470092829</v>
      </c>
      <c r="AA149" s="21">
        <f>EXP(-LN(2)/25)*AA148+(1-EXP(-LN(2)/25))/(LN(2)/25)*Calculateur!V149*Calculateur!X149*VLOOKUP('Données projet'!$B$9,Paramètres!$A$1:$I$89,3,0)*0.475*44/12</f>
        <v>1.8858379612586704</v>
      </c>
      <c r="AB149" s="21">
        <f>EXP(-LN(2)/2)*AB148+(1-EXP(-LN(2)/2))/(LN(2)/2)*V149*Y149*VLOOKUP('Données projet'!$B$9,Paramètres!$A$1:$I$89,3,0)*0.475*44/12</f>
        <v>3.6437381098840321E-5</v>
      </c>
      <c r="AC149" s="22">
        <f t="shared" si="111"/>
        <v>44.9391608687326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432.99999999999989</v>
      </c>
      <c r="AJ149" s="13">
        <f>AI149*VLOOKUP('Données projet'!$B$10,Paramètres!$A$1:$I$89,3,0)*VLOOKUP('Données projet'!$B$10,Paramètres!$A$1:$I$89,5,0)</f>
        <v>290.45639999999992</v>
      </c>
      <c r="AK149" s="13">
        <f t="shared" si="143"/>
        <v>69.172009514864612</v>
      </c>
      <c r="AL149" s="20">
        <f t="shared" si="112"/>
        <v>626.3528132383891</v>
      </c>
      <c r="AM149" s="59">
        <f t="shared" si="113"/>
        <v>919.68614657172247</v>
      </c>
      <c r="AN149" s="59">
        <f ca="1">AVERAGE(OFFSET($AM$3,0,0,'Données projet'!$E$10+1,1))-AVERAGE(OFFSET($H$3,0,0,'Données projet'!$E$10+1,1))</f>
        <v>296.25231821504275</v>
      </c>
      <c r="AO149" s="59">
        <f t="shared" si="144"/>
        <v>316.20936902390275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10.637845596007285</v>
      </c>
      <c r="AV149" s="21">
        <f>EXP(-LN(2)/25)*AV148+(1-EXP(-LN(2)/25))/(LN(2)/25)*Calculateur!AQ149*Calculateur!AS149*VLOOKUP('Données projet'!$B$10,Paramètres!$A$1:$I$89,3,0)*0.475*44/12</f>
        <v>0.44333020405037932</v>
      </c>
      <c r="AW149" s="21">
        <f>EXP(-LN(2)/2)*AW148+(1-EXP(-LN(2)/2))/(LN(2)/2)*AQ149*AT149*VLOOKUP('Données projet'!$B$10,Paramètres!$A$1:$I$89,3,0)*0.475*44/12</f>
        <v>4.1639770727389367E-12</v>
      </c>
      <c r="AX149" s="21">
        <f t="shared" si="114"/>
        <v>11.081175800061828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318.99999999999994</v>
      </c>
      <c r="BE149" s="13">
        <f>BD149*VLOOKUP('Données projet'!$B$11,Paramètres!$A$1:$I$89,3,0)*VLOOKUP('Données projet'!$B$11,Paramètres!$A$1:$I$89,5,0)</f>
        <v>253.79639999999995</v>
      </c>
      <c r="BF149" s="13">
        <f t="shared" si="145"/>
        <v>61.398168322280704</v>
      </c>
      <c r="BG149" s="20">
        <f t="shared" si="115"/>
        <v>548.9638731613054</v>
      </c>
      <c r="BH149" s="59">
        <f t="shared" si="116"/>
        <v>842.29720649463866</v>
      </c>
      <c r="BI149" s="59">
        <f ca="1">AVERAGE(OFFSET($BH$3,0,0,'Données projet'!$E$11+1,1))-AVERAGE(OFFSET($H$3,0,0,'Données projet'!$E$11+1,1))</f>
        <v>244.50301885429764</v>
      </c>
      <c r="BJ149" s="59">
        <f t="shared" si="146"/>
        <v>248.77995374147798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10.353955634283977</v>
      </c>
      <c r="BQ149" s="21">
        <f>EXP(-LN(2)/25)*BQ148+(1-EXP(-LN(2)/25))/(LN(2)/25)*Calculateur!BL149*Calculateur!BN149*VLOOKUP('Données projet'!$B$11,Paramètres!$A$1:$I$89,3,0)*0.475*44/12</f>
        <v>0.48389720025676153</v>
      </c>
      <c r="BR149" s="21">
        <f>EXP(-LN(2)/2)*BR148+(1-EXP(-LN(2)/2))/(LN(2)/2)*BL149*BO149*VLOOKUP('Données projet'!$B$11,Paramètres!$A$1:$I$89,3,0)*0.475*44/12</f>
        <v>7.1709405377898732E-11</v>
      </c>
      <c r="BS149" s="22">
        <f t="shared" si="117"/>
        <v>10.837852834612448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1">
        <f t="shared" si="140"/>
        <v>33.630823177860727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67">
        <f t="shared" si="110"/>
        <v>575.57045703477377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311.298</v>
      </c>
      <c r="P150" s="13">
        <f t="shared" si="141"/>
        <v>73.539838278528748</v>
      </c>
      <c r="Q150" s="20">
        <f t="shared" si="108"/>
        <v>670.25923500177089</v>
      </c>
      <c r="R150" s="59">
        <f t="shared" si="109"/>
        <v>963.59256833510426</v>
      </c>
      <c r="S150" s="59">
        <f ca="1">AVERAGE(OFFSET($R$3,0,0,'Données projet'!$E$9+1,1))-AVERAGE(OFFSET($H$3,0,0,'Données projet'!$E$9+1,1))</f>
        <v>342.91408684769942</v>
      </c>
      <c r="T150" s="59">
        <f t="shared" si="142"/>
        <v>209.92380505963234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42.209037782326106</v>
      </c>
      <c r="AA150" s="21">
        <f>EXP(-LN(2)/25)*AA149+(1-EXP(-LN(2)/25))/(LN(2)/25)*Calculateur!V150*Calculateur!X150*VLOOKUP('Données projet'!$B$9,Paramètres!$A$1:$I$89,3,0)*0.475*44/12</f>
        <v>1.8342696230361439</v>
      </c>
      <c r="AB150" s="21">
        <f>EXP(-LN(2)/2)*AB149+(1-EXP(-LN(2)/2))/(LN(2)/2)*V150*Y150*VLOOKUP('Données projet'!$B$9,Paramètres!$A$1:$I$89,3,0)*0.475*44/12</f>
        <v>2.5765119263668526E-5</v>
      </c>
      <c r="AC150" s="22">
        <f t="shared" si="111"/>
        <v>44.04333317048151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432.99999999999989</v>
      </c>
      <c r="AJ150" s="13">
        <f>AI150*VLOOKUP('Données projet'!$B$10,Paramètres!$A$1:$I$89,3,0)*VLOOKUP('Données projet'!$B$10,Paramètres!$A$1:$I$89,5,0)</f>
        <v>290.45639999999992</v>
      </c>
      <c r="AK150" s="13">
        <f t="shared" si="143"/>
        <v>69.172009514864612</v>
      </c>
      <c r="AL150" s="20">
        <f t="shared" si="112"/>
        <v>626.3528132383891</v>
      </c>
      <c r="AM150" s="59">
        <f t="shared" si="113"/>
        <v>919.68614657172247</v>
      </c>
      <c r="AN150" s="59">
        <f ca="1">AVERAGE(OFFSET($AM$3,0,0,'Données projet'!$E$10+1,1))-AVERAGE(OFFSET($H$3,0,0,'Données projet'!$E$10+1,1))</f>
        <v>296.25231821504275</v>
      </c>
      <c r="AO150" s="59">
        <f t="shared" si="144"/>
        <v>316.20936902390275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10.429243932314716</v>
      </c>
      <c r="AV150" s="21">
        <f>EXP(-LN(2)/25)*AV149+(1-EXP(-LN(2)/25))/(LN(2)/25)*Calculateur!AQ150*Calculateur!AS150*VLOOKUP('Données projet'!$B$10,Paramètres!$A$1:$I$89,3,0)*0.475*44/12</f>
        <v>0.43120731630689951</v>
      </c>
      <c r="AW150" s="21">
        <f>EXP(-LN(2)/2)*AW149+(1-EXP(-LN(2)/2))/(LN(2)/2)*AQ150*AT150*VLOOKUP('Données projet'!$B$10,Paramètres!$A$1:$I$89,3,0)*0.475*44/12</f>
        <v>2.944376424839012E-12</v>
      </c>
      <c r="AX150" s="21">
        <f t="shared" si="114"/>
        <v>10.86045124862456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318.99999999999994</v>
      </c>
      <c r="BE150" s="13">
        <f>BD150*VLOOKUP('Données projet'!$B$11,Paramètres!$A$1:$I$89,3,0)*VLOOKUP('Données projet'!$B$11,Paramètres!$A$1:$I$89,5,0)</f>
        <v>253.79639999999995</v>
      </c>
      <c r="BF150" s="13">
        <f t="shared" si="145"/>
        <v>61.398168322280704</v>
      </c>
      <c r="BG150" s="20">
        <f t="shared" si="115"/>
        <v>548.9638731613054</v>
      </c>
      <c r="BH150" s="59">
        <f t="shared" si="116"/>
        <v>842.29720649463866</v>
      </c>
      <c r="BI150" s="59">
        <f ca="1">AVERAGE(OFFSET($BH$3,0,0,'Données projet'!$E$11+1,1))-AVERAGE(OFFSET($H$3,0,0,'Données projet'!$E$11+1,1))</f>
        <v>244.50301885429764</v>
      </c>
      <c r="BJ150" s="59">
        <f t="shared" si="146"/>
        <v>248.77995374147798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10.150920879585023</v>
      </c>
      <c r="BQ150" s="21">
        <f>EXP(-LN(2)/25)*BQ149+(1-EXP(-LN(2)/25))/(LN(2)/25)*Calculateur!BL150*Calculateur!BN150*VLOOKUP('Données projet'!$B$11,Paramètres!$A$1:$I$89,3,0)*0.475*44/12</f>
        <v>0.47066500586869259</v>
      </c>
      <c r="BR150" s="21">
        <f>EXP(-LN(2)/2)*BR149+(1-EXP(-LN(2)/2))/(LN(2)/2)*BL150*BO150*VLOOKUP('Données projet'!$B$11,Paramètres!$A$1:$I$89,3,0)*0.475*44/12</f>
        <v>5.0706206817567274E-11</v>
      </c>
      <c r="BS150" s="22">
        <f t="shared" si="117"/>
        <v>10.621585885504421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1">
        <f t="shared" si="140"/>
        <v>33.832894333299215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67">
        <f t="shared" si="110"/>
        <v>577.44391763049589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311.298</v>
      </c>
      <c r="P151" s="13">
        <f t="shared" si="141"/>
        <v>73.539838278528748</v>
      </c>
      <c r="Q151" s="20">
        <f t="shared" si="108"/>
        <v>670.25923500177089</v>
      </c>
      <c r="R151" s="59">
        <f t="shared" si="109"/>
        <v>963.59256833510426</v>
      </c>
      <c r="S151" s="59">
        <f ca="1">AVERAGE(OFFSET($R$3,0,0,'Données projet'!$E$9+1,1))-AVERAGE(OFFSET($H$3,0,0,'Données projet'!$E$9+1,1))</f>
        <v>342.91408684769942</v>
      </c>
      <c r="T151" s="59">
        <f t="shared" si="142"/>
        <v>209.92380505963234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41.381344296385635</v>
      </c>
      <c r="AA151" s="21">
        <f>EXP(-LN(2)/25)*AA150+(1-EXP(-LN(2)/25))/(LN(2)/25)*Calculateur!V151*Calculateur!X151*VLOOKUP('Données projet'!$B$9,Paramètres!$A$1:$I$89,3,0)*0.475*44/12</f>
        <v>1.7841114237341733</v>
      </c>
      <c r="AB151" s="21">
        <f>EXP(-LN(2)/2)*AB150+(1-EXP(-LN(2)/2))/(LN(2)/2)*V151*Y151*VLOOKUP('Données projet'!$B$9,Paramètres!$A$1:$I$89,3,0)*0.475*44/12</f>
        <v>1.8218690549420161E-5</v>
      </c>
      <c r="AC151" s="22">
        <f t="shared" si="111"/>
        <v>43.165473938810358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432.99999999999989</v>
      </c>
      <c r="AJ151" s="13">
        <f>AI151*VLOOKUP('Données projet'!$B$10,Paramètres!$A$1:$I$89,3,0)*VLOOKUP('Données projet'!$B$10,Paramètres!$A$1:$I$89,5,0)</f>
        <v>290.45639999999992</v>
      </c>
      <c r="AK151" s="13">
        <f t="shared" si="143"/>
        <v>69.172009514864612</v>
      </c>
      <c r="AL151" s="20">
        <f t="shared" si="112"/>
        <v>626.3528132383891</v>
      </c>
      <c r="AM151" s="59">
        <f t="shared" si="113"/>
        <v>919.68614657172247</v>
      </c>
      <c r="AN151" s="59">
        <f ca="1">AVERAGE(OFFSET($AM$3,0,0,'Données projet'!$E$10+1,1))-AVERAGE(OFFSET($H$3,0,0,'Données projet'!$E$10+1,1))</f>
        <v>296.25231821504275</v>
      </c>
      <c r="AO151" s="59">
        <f t="shared" si="144"/>
        <v>316.20936902390275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10.224732820012706</v>
      </c>
      <c r="AV151" s="21">
        <f>EXP(-LN(2)/25)*AV150+(1-EXP(-LN(2)/25))/(LN(2)/25)*Calculateur!AQ151*Calculateur!AS151*VLOOKUP('Données projet'!$B$10,Paramètres!$A$1:$I$89,3,0)*0.475*44/12</f>
        <v>0.4194159295662801</v>
      </c>
      <c r="AW151" s="21">
        <f>EXP(-LN(2)/2)*AW150+(1-EXP(-LN(2)/2))/(LN(2)/2)*AQ151*AT151*VLOOKUP('Données projet'!$B$10,Paramètres!$A$1:$I$89,3,0)*0.475*44/12</f>
        <v>2.0819885363694683E-12</v>
      </c>
      <c r="AX151" s="21">
        <f t="shared" si="114"/>
        <v>10.644148749581069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318.99999999999994</v>
      </c>
      <c r="BE151" s="13">
        <f>BD151*VLOOKUP('Données projet'!$B$11,Paramètres!$A$1:$I$89,3,0)*VLOOKUP('Données projet'!$B$11,Paramètres!$A$1:$I$89,5,0)</f>
        <v>253.79639999999995</v>
      </c>
      <c r="BF151" s="13">
        <f t="shared" si="145"/>
        <v>61.398168322280704</v>
      </c>
      <c r="BG151" s="20">
        <f t="shared" si="115"/>
        <v>548.9638731613054</v>
      </c>
      <c r="BH151" s="59">
        <f t="shared" si="116"/>
        <v>842.29720649463866</v>
      </c>
      <c r="BI151" s="59">
        <f ca="1">AVERAGE(OFFSET($BH$3,0,0,'Données projet'!$E$11+1,1))-AVERAGE(OFFSET($H$3,0,0,'Données projet'!$E$11+1,1))</f>
        <v>244.50301885429764</v>
      </c>
      <c r="BJ151" s="59">
        <f t="shared" si="146"/>
        <v>248.77995374147798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9.9518675125867428</v>
      </c>
      <c r="BQ151" s="21">
        <f>EXP(-LN(2)/25)*BQ150+(1-EXP(-LN(2)/25))/(LN(2)/25)*Calculateur!BL151*Calculateur!BN151*VLOOKUP('Données projet'!$B$11,Paramètres!$A$1:$I$89,3,0)*0.475*44/12</f>
        <v>0.45779464653201624</v>
      </c>
      <c r="BR151" s="21">
        <f>EXP(-LN(2)/2)*BR150+(1-EXP(-LN(2)/2))/(LN(2)/2)*BL151*BO151*VLOOKUP('Données projet'!$B$11,Paramètres!$A$1:$I$89,3,0)*0.475*44/12</f>
        <v>3.5854702688949366E-11</v>
      </c>
      <c r="BS151" s="22">
        <f t="shared" si="117"/>
        <v>10.409662159154614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1">
        <f t="shared" si="140"/>
        <v>34.034806623706274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67">
        <f t="shared" si="110"/>
        <v>579.31710153628819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311.298</v>
      </c>
      <c r="P152" s="13">
        <f t="shared" si="141"/>
        <v>73.539838278528748</v>
      </c>
      <c r="Q152" s="20">
        <f t="shared" si="108"/>
        <v>670.25923500177089</v>
      </c>
      <c r="R152" s="59">
        <f t="shared" si="109"/>
        <v>963.59256833510426</v>
      </c>
      <c r="S152" s="59">
        <f ca="1">AVERAGE(OFFSET($R$3,0,0,'Données projet'!$E$9+1,1))-AVERAGE(OFFSET($H$3,0,0,'Données projet'!$E$9+1,1))</f>
        <v>342.91408684769942</v>
      </c>
      <c r="T152" s="59">
        <f t="shared" si="142"/>
        <v>209.92380505963234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40.569881374861275</v>
      </c>
      <c r="AA152" s="21">
        <f>EXP(-LN(2)/25)*AA151+(1-EXP(-LN(2)/25))/(LN(2)/25)*Calculateur!V152*Calculateur!X152*VLOOKUP('Données projet'!$B$9,Paramètres!$A$1:$I$89,3,0)*0.475*44/12</f>
        <v>1.7353248030298203</v>
      </c>
      <c r="AB152" s="21">
        <f>EXP(-LN(2)/2)*AB151+(1-EXP(-LN(2)/2))/(LN(2)/2)*V152*Y152*VLOOKUP('Données projet'!$B$9,Paramètres!$A$1:$I$89,3,0)*0.475*44/12</f>
        <v>1.2882559631834263E-5</v>
      </c>
      <c r="AC152" s="22">
        <f t="shared" si="111"/>
        <v>42.305219060450725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432.99999999999989</v>
      </c>
      <c r="AJ152" s="13">
        <f>AI152*VLOOKUP('Données projet'!$B$10,Paramètres!$A$1:$I$89,3,0)*VLOOKUP('Données projet'!$B$10,Paramètres!$A$1:$I$89,5,0)</f>
        <v>290.45639999999992</v>
      </c>
      <c r="AK152" s="13">
        <f t="shared" si="143"/>
        <v>69.172009514864612</v>
      </c>
      <c r="AL152" s="20">
        <f t="shared" si="112"/>
        <v>626.3528132383891</v>
      </c>
      <c r="AM152" s="59">
        <f t="shared" si="113"/>
        <v>919.68614657172247</v>
      </c>
      <c r="AN152" s="59">
        <f ca="1">AVERAGE(OFFSET($AM$3,0,0,'Données projet'!$E$10+1,1))-AVERAGE(OFFSET($H$3,0,0,'Données projet'!$E$10+1,1))</f>
        <v>296.25231821504275</v>
      </c>
      <c r="AO152" s="59">
        <f t="shared" si="144"/>
        <v>316.20936902390275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10.024232045883476</v>
      </c>
      <c r="AV152" s="21">
        <f>EXP(-LN(2)/25)*AV151+(1-EXP(-LN(2)/25))/(LN(2)/25)*Calculateur!AQ152*Calculateur!AS152*VLOOKUP('Données projet'!$B$10,Paramètres!$A$1:$I$89,3,0)*0.475*44/12</f>
        <v>0.40794697891616505</v>
      </c>
      <c r="AW152" s="21">
        <f>EXP(-LN(2)/2)*AW151+(1-EXP(-LN(2)/2))/(LN(2)/2)*AQ152*AT152*VLOOKUP('Données projet'!$B$10,Paramètres!$A$1:$I$89,3,0)*0.475*44/12</f>
        <v>1.472188212419506E-12</v>
      </c>
      <c r="AX152" s="21">
        <f t="shared" si="114"/>
        <v>10.432179024801114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318.99999999999994</v>
      </c>
      <c r="BE152" s="13">
        <f>BD152*VLOOKUP('Données projet'!$B$11,Paramètres!$A$1:$I$89,3,0)*VLOOKUP('Données projet'!$B$11,Paramètres!$A$1:$I$89,5,0)</f>
        <v>253.79639999999995</v>
      </c>
      <c r="BF152" s="13">
        <f t="shared" si="145"/>
        <v>61.398168322280704</v>
      </c>
      <c r="BG152" s="20">
        <f t="shared" si="115"/>
        <v>548.9638731613054</v>
      </c>
      <c r="BH152" s="59">
        <f t="shared" si="116"/>
        <v>842.29720649463866</v>
      </c>
      <c r="BI152" s="59">
        <f ca="1">AVERAGE(OFFSET($BH$3,0,0,'Données projet'!$E$11+1,1))-AVERAGE(OFFSET($H$3,0,0,'Données projet'!$E$11+1,1))</f>
        <v>244.50301885429764</v>
      </c>
      <c r="BJ152" s="59">
        <f t="shared" si="146"/>
        <v>248.77995374147798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9.7567174607047331</v>
      </c>
      <c r="BQ152" s="21">
        <f>EXP(-LN(2)/25)*BQ151+(1-EXP(-LN(2)/25))/(LN(2)/25)*Calculateur!BL152*Calculateur!BN152*VLOOKUP('Données projet'!$B$11,Paramètres!$A$1:$I$89,3,0)*0.475*44/12</f>
        <v>0.44527622784822407</v>
      </c>
      <c r="BR152" s="21">
        <f>EXP(-LN(2)/2)*BR151+(1-EXP(-LN(2)/2))/(LN(2)/2)*BL152*BO152*VLOOKUP('Données projet'!$B$11,Paramètres!$A$1:$I$89,3,0)*0.475*44/12</f>
        <v>2.5353103408783637E-11</v>
      </c>
      <c r="BS152" s="22">
        <f t="shared" si="117"/>
        <v>10.201993688578311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1">
        <f t="shared" si="140"/>
        <v>34.236561238949889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67">
        <f t="shared" si="110"/>
        <v>581.19001082450416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311.298</v>
      </c>
      <c r="P153" s="13">
        <f t="shared" si="141"/>
        <v>73.539838278528748</v>
      </c>
      <c r="Q153" s="20">
        <f t="shared" si="108"/>
        <v>670.25923500177089</v>
      </c>
      <c r="R153" s="59">
        <f t="shared" si="109"/>
        <v>963.59256833510426</v>
      </c>
      <c r="S153" s="59">
        <f ca="1">AVERAGE(OFFSET($R$3,0,0,'Données projet'!$E$9+1,1))-AVERAGE(OFFSET($H$3,0,0,'Données projet'!$E$9+1,1))</f>
        <v>342.91408684769942</v>
      </c>
      <c r="T153" s="59">
        <f t="shared" si="142"/>
        <v>209.92380505963234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39.774330746284498</v>
      </c>
      <c r="AA153" s="21">
        <f>EXP(-LN(2)/25)*AA152+(1-EXP(-LN(2)/25))/(LN(2)/25)*Calculateur!V153*Calculateur!X153*VLOOKUP('Données projet'!$B$9,Paramètres!$A$1:$I$89,3,0)*0.475*44/12</f>
        <v>1.6878722550342047</v>
      </c>
      <c r="AB153" s="21">
        <f>EXP(-LN(2)/2)*AB152+(1-EXP(-LN(2)/2))/(LN(2)/2)*V153*Y153*VLOOKUP('Données projet'!$B$9,Paramètres!$A$1:$I$89,3,0)*0.475*44/12</f>
        <v>9.1093452747100803E-6</v>
      </c>
      <c r="AC153" s="22">
        <f t="shared" si="111"/>
        <v>41.462212110663984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432.99999999999989</v>
      </c>
      <c r="AJ153" s="13">
        <f>AI153*VLOOKUP('Données projet'!$B$10,Paramètres!$A$1:$I$89,3,0)*VLOOKUP('Données projet'!$B$10,Paramètres!$A$1:$I$89,5,0)</f>
        <v>290.45639999999992</v>
      </c>
      <c r="AK153" s="13">
        <f t="shared" si="143"/>
        <v>69.172009514864612</v>
      </c>
      <c r="AL153" s="20">
        <f t="shared" si="112"/>
        <v>626.3528132383891</v>
      </c>
      <c r="AM153" s="59">
        <f t="shared" si="113"/>
        <v>919.68614657172247</v>
      </c>
      <c r="AN153" s="59">
        <f ca="1">AVERAGE(OFFSET($AM$3,0,0,'Données projet'!$E$10+1,1))-AVERAGE(OFFSET($H$3,0,0,'Données projet'!$E$10+1,1))</f>
        <v>296.25231821504275</v>
      </c>
      <c r="AO153" s="59">
        <f t="shared" si="144"/>
        <v>316.20936902390275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9.8276629696415245</v>
      </c>
      <c r="AV153" s="21">
        <f>EXP(-LN(2)/25)*AV152+(1-EXP(-LN(2)/25))/(LN(2)/25)*Calculateur!AQ153*Calculateur!AS153*VLOOKUP('Données projet'!$B$10,Paramètres!$A$1:$I$89,3,0)*0.475*44/12</f>
        <v>0.39679164732470329</v>
      </c>
      <c r="AW153" s="21">
        <f>EXP(-LN(2)/2)*AW152+(1-EXP(-LN(2)/2))/(LN(2)/2)*AQ153*AT153*VLOOKUP('Données projet'!$B$10,Paramètres!$A$1:$I$89,3,0)*0.475*44/12</f>
        <v>1.0409942681847342E-12</v>
      </c>
      <c r="AX153" s="21">
        <f t="shared" si="114"/>
        <v>10.224454616967268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318.99999999999994</v>
      </c>
      <c r="BE153" s="13">
        <f>BD153*VLOOKUP('Données projet'!$B$11,Paramètres!$A$1:$I$89,3,0)*VLOOKUP('Données projet'!$B$11,Paramètres!$A$1:$I$89,5,0)</f>
        <v>253.79639999999995</v>
      </c>
      <c r="BF153" s="13">
        <f t="shared" si="145"/>
        <v>61.398168322280704</v>
      </c>
      <c r="BG153" s="20">
        <f t="shared" si="115"/>
        <v>548.9638731613054</v>
      </c>
      <c r="BH153" s="59">
        <f t="shared" si="116"/>
        <v>842.29720649463866</v>
      </c>
      <c r="BI153" s="59">
        <f ca="1">AVERAGE(OFFSET($BH$3,0,0,'Données projet'!$E$11+1,1))-AVERAGE(OFFSET($H$3,0,0,'Données projet'!$E$11+1,1))</f>
        <v>244.50301885429764</v>
      </c>
      <c r="BJ153" s="59">
        <f t="shared" si="146"/>
        <v>248.77995374147798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9.5653941823103512</v>
      </c>
      <c r="BQ153" s="21">
        <f>EXP(-LN(2)/25)*BQ152+(1-EXP(-LN(2)/25))/(LN(2)/25)*Calculateur!BL153*Calculateur!BN153*VLOOKUP('Données projet'!$B$11,Paramètres!$A$1:$I$89,3,0)*0.475*44/12</f>
        <v>0.43310012598165526</v>
      </c>
      <c r="BR153" s="21">
        <f>EXP(-LN(2)/2)*BR152+(1-EXP(-LN(2)/2))/(LN(2)/2)*BL153*BO153*VLOOKUP('Données projet'!$B$11,Paramètres!$A$1:$I$89,3,0)*0.475*44/12</f>
        <v>1.7927351344474683E-11</v>
      </c>
      <c r="BS153" s="22">
        <f t="shared" si="117"/>
        <v>9.9984943083099331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1">
        <f t="shared" si="140"/>
        <v>34.438159352115974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67">
        <f t="shared" si="110"/>
        <v>583.06264753826849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311.298</v>
      </c>
      <c r="P154" s="13">
        <f t="shared" si="141"/>
        <v>73.539838278528748</v>
      </c>
      <c r="Q154" s="20">
        <f t="shared" ref="Q154:Q203" si="162">(O154+P154)*0.475*44/12</f>
        <v>670.25923500177089</v>
      </c>
      <c r="R154" s="59">
        <f t="shared" si="109"/>
        <v>963.59256833510426</v>
      </c>
      <c r="S154" s="59">
        <f ca="1">AVERAGE(OFFSET($R$3,0,0,'Données projet'!$E$9+1,1))-AVERAGE(OFFSET($H$3,0,0,'Données projet'!$E$9+1,1))</f>
        <v>342.91408684769942</v>
      </c>
      <c r="T154" s="59">
        <f t="shared" si="142"/>
        <v>209.92380505963234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38.994380380296143</v>
      </c>
      <c r="AA154" s="21">
        <f>EXP(-LN(2)/25)*AA153+(1-EXP(-LN(2)/25))/(LN(2)/25)*Calculateur!V154*Calculateur!X154*VLOOKUP('Données projet'!$B$9,Paramètres!$A$1:$I$89,3,0)*0.475*44/12</f>
        <v>1.6417172994589502</v>
      </c>
      <c r="AB154" s="21">
        <f>EXP(-LN(2)/2)*AB153+(1-EXP(-LN(2)/2))/(LN(2)/2)*V154*Y154*VLOOKUP('Données projet'!$B$9,Paramètres!$A$1:$I$89,3,0)*0.475*44/12</f>
        <v>6.4412798159171315E-6</v>
      </c>
      <c r="AC154" s="22">
        <f t="shared" ref="AC154:AC203" si="163">SUM(Z154:AB154)</f>
        <v>40.636104121034911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432.99999999999989</v>
      </c>
      <c r="AJ154" s="13">
        <f>AI154*VLOOKUP('Données projet'!$B$10,Paramètres!$A$1:$I$89,3,0)*VLOOKUP('Données projet'!$B$10,Paramètres!$A$1:$I$89,5,0)</f>
        <v>290.45639999999992</v>
      </c>
      <c r="AK154" s="13">
        <f t="shared" ref="AK154:AK203" si="164">EXP(-1.0587+0.8836*LN(AJ154)+0.284)</f>
        <v>69.172009514864612</v>
      </c>
      <c r="AL154" s="20">
        <f t="shared" ref="AL154:AL203" si="165">(AJ154+AK154)*0.475*44/12</f>
        <v>626.3528132383891</v>
      </c>
      <c r="AM154" s="59">
        <f t="shared" si="113"/>
        <v>919.68614657172247</v>
      </c>
      <c r="AN154" s="59">
        <f ca="1">AVERAGE(OFFSET($AM$3,0,0,'Données projet'!$E$10+1,1))-AVERAGE(OFFSET($H$3,0,0,'Données projet'!$E$10+1,1))</f>
        <v>296.25231821504275</v>
      </c>
      <c r="AO154" s="59">
        <f t="shared" si="144"/>
        <v>316.20936902390275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9.6349484930893787</v>
      </c>
      <c r="AV154" s="21">
        <f>EXP(-LN(2)/25)*AV153+(1-EXP(-LN(2)/25))/(LN(2)/25)*Calculateur!AQ154*Calculateur!AS154*VLOOKUP('Données projet'!$B$10,Paramètres!$A$1:$I$89,3,0)*0.475*44/12</f>
        <v>0.3859413588622434</v>
      </c>
      <c r="AW154" s="21">
        <f>EXP(-LN(2)/2)*AW153+(1-EXP(-LN(2)/2))/(LN(2)/2)*AQ154*AT154*VLOOKUP('Données projet'!$B$10,Paramètres!$A$1:$I$89,3,0)*0.475*44/12</f>
        <v>7.3609410620975299E-13</v>
      </c>
      <c r="AX154" s="21">
        <f t="shared" ref="AX154:AX203" si="166">SUM(AU154:AW154)</f>
        <v>10.020889851952358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318.99999999999994</v>
      </c>
      <c r="BE154" s="13">
        <f>BD154*VLOOKUP('Données projet'!$B$11,Paramètres!$A$1:$I$89,3,0)*VLOOKUP('Données projet'!$B$11,Paramètres!$A$1:$I$89,5,0)</f>
        <v>253.79639999999995</v>
      </c>
      <c r="BF154" s="13">
        <f t="shared" ref="BF154:BF203" si="167">EXP(-1.0587+0.8836*LN(BE154)+0.284)</f>
        <v>61.398168322280704</v>
      </c>
      <c r="BG154" s="20">
        <f t="shared" ref="BG154:BG203" si="168">(BE154+BF154)*0.475*44/12</f>
        <v>548.9638731613054</v>
      </c>
      <c r="BH154" s="59">
        <f t="shared" si="116"/>
        <v>842.29720649463866</v>
      </c>
      <c r="BI154" s="59">
        <f ca="1">AVERAGE(OFFSET($BH$3,0,0,'Données projet'!$E$11+1,1))-AVERAGE(OFFSET($H$3,0,0,'Données projet'!$E$11+1,1))</f>
        <v>244.50301885429764</v>
      </c>
      <c r="BJ154" s="59">
        <f t="shared" si="146"/>
        <v>248.77995374147798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9.377822636709606</v>
      </c>
      <c r="BQ154" s="21">
        <f>EXP(-LN(2)/25)*BQ153+(1-EXP(-LN(2)/25))/(LN(2)/25)*Calculateur!BL154*Calculateur!BN154*VLOOKUP('Données projet'!$B$11,Paramètres!$A$1:$I$89,3,0)*0.475*44/12</f>
        <v>0.42125698026094116</v>
      </c>
      <c r="BR154" s="21">
        <f>EXP(-LN(2)/2)*BR153+(1-EXP(-LN(2)/2))/(LN(2)/2)*BL154*BO154*VLOOKUP('Données projet'!$B$11,Paramètres!$A$1:$I$89,3,0)*0.475*44/12</f>
        <v>1.2676551704391818E-11</v>
      </c>
      <c r="BS154" s="22">
        <f t="shared" ref="BS154:BS203" si="169">SUM(BP154:BR154)</f>
        <v>9.7990796169832226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1">
        <f t="shared" si="140"/>
        <v>34.63960211985458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67">
        <f t="shared" si="110"/>
        <v>584.93501369207979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311.298</v>
      </c>
      <c r="P155" s="13">
        <f t="shared" si="141"/>
        <v>73.539838278528748</v>
      </c>
      <c r="Q155" s="20">
        <f t="shared" si="162"/>
        <v>670.25923500177089</v>
      </c>
      <c r="R155" s="59">
        <f t="shared" si="109"/>
        <v>963.59256833510426</v>
      </c>
      <c r="S155" s="59">
        <f ca="1">AVERAGE(OFFSET($R$3,0,0,'Données projet'!$E$9+1,1))-AVERAGE(OFFSET($H$3,0,0,'Données projet'!$E$9+1,1))</f>
        <v>342.91408684769942</v>
      </c>
      <c r="T155" s="59">
        <f t="shared" si="142"/>
        <v>209.92380505963234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38.229724365262072</v>
      </c>
      <c r="AA155" s="21">
        <f>EXP(-LN(2)/25)*AA154+(1-EXP(-LN(2)/25))/(LN(2)/25)*Calculateur!V155*Calculateur!X155*VLOOKUP('Données projet'!$B$9,Paramètres!$A$1:$I$89,3,0)*0.475*44/12</f>
        <v>1.5968244535710845</v>
      </c>
      <c r="AB155" s="21">
        <f>EXP(-LN(2)/2)*AB154+(1-EXP(-LN(2)/2))/(LN(2)/2)*V155*Y155*VLOOKUP('Données projet'!$B$9,Paramètres!$A$1:$I$89,3,0)*0.475*44/12</f>
        <v>4.5546726373550402E-6</v>
      </c>
      <c r="AC155" s="22">
        <f t="shared" si="163"/>
        <v>39.826553373505796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432.99999999999989</v>
      </c>
      <c r="AJ155" s="13">
        <f>AI155*VLOOKUP('Données projet'!$B$10,Paramètres!$A$1:$I$89,3,0)*VLOOKUP('Données projet'!$B$10,Paramètres!$A$1:$I$89,5,0)</f>
        <v>290.45639999999992</v>
      </c>
      <c r="AK155" s="13">
        <f t="shared" si="164"/>
        <v>69.172009514864612</v>
      </c>
      <c r="AL155" s="20">
        <f t="shared" si="165"/>
        <v>626.3528132383891</v>
      </c>
      <c r="AM155" s="59">
        <f t="shared" si="113"/>
        <v>919.68614657172247</v>
      </c>
      <c r="AN155" s="59">
        <f ca="1">AVERAGE(OFFSET($AM$3,0,0,'Données projet'!$E$10+1,1))-AVERAGE(OFFSET($H$3,0,0,'Données projet'!$E$10+1,1))</f>
        <v>296.25231821504275</v>
      </c>
      <c r="AO155" s="59">
        <f t="shared" si="144"/>
        <v>316.20936902390275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9.4460130298781966</v>
      </c>
      <c r="AV155" s="21">
        <f>EXP(-LN(2)/25)*AV154+(1-EXP(-LN(2)/25))/(LN(2)/25)*Calculateur!AQ155*Calculateur!AS155*VLOOKUP('Données projet'!$B$10,Paramètres!$A$1:$I$89,3,0)*0.475*44/12</f>
        <v>0.37538777210838137</v>
      </c>
      <c r="AW155" s="21">
        <f>EXP(-LN(2)/2)*AW154+(1-EXP(-LN(2)/2))/(LN(2)/2)*AQ155*AT155*VLOOKUP('Données projet'!$B$10,Paramètres!$A$1:$I$89,3,0)*0.475*44/12</f>
        <v>5.2049713409236708E-13</v>
      </c>
      <c r="AX155" s="21">
        <f t="shared" si="166"/>
        <v>9.8214008019870978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318.99999999999994</v>
      </c>
      <c r="BE155" s="13">
        <f>BD155*VLOOKUP('Données projet'!$B$11,Paramètres!$A$1:$I$89,3,0)*VLOOKUP('Données projet'!$B$11,Paramètres!$A$1:$I$89,5,0)</f>
        <v>253.79639999999995</v>
      </c>
      <c r="BF155" s="13">
        <f t="shared" si="167"/>
        <v>61.398168322280704</v>
      </c>
      <c r="BG155" s="20">
        <f t="shared" si="168"/>
        <v>548.9638731613054</v>
      </c>
      <c r="BH155" s="59">
        <f t="shared" si="116"/>
        <v>842.29720649463866</v>
      </c>
      <c r="BI155" s="59">
        <f ca="1">AVERAGE(OFFSET($BH$3,0,0,'Données projet'!$E$11+1,1))-AVERAGE(OFFSET($H$3,0,0,'Données projet'!$E$11+1,1))</f>
        <v>244.50301885429764</v>
      </c>
      <c r="BJ155" s="59">
        <f t="shared" si="146"/>
        <v>248.77995374147798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9.1939292547107456</v>
      </c>
      <c r="BQ155" s="21">
        <f>EXP(-LN(2)/25)*BQ154+(1-EXP(-LN(2)/25))/(LN(2)/25)*Calculateur!BL155*Calculateur!BN155*VLOOKUP('Données projet'!$B$11,Paramètres!$A$1:$I$89,3,0)*0.475*44/12</f>
        <v>0.40973768598276394</v>
      </c>
      <c r="BR155" s="21">
        <f>EXP(-LN(2)/2)*BR154+(1-EXP(-LN(2)/2))/(LN(2)/2)*BL155*BO155*VLOOKUP('Données projet'!$B$11,Paramètres!$A$1:$I$89,3,0)*0.475*44/12</f>
        <v>8.9636756722373415E-12</v>
      </c>
      <c r="BS155" s="22">
        <f t="shared" si="169"/>
        <v>9.6036669407024728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1">
        <f t="shared" si="140"/>
        <v>34.840890682716719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67">
        <f t="shared" si="110"/>
        <v>586.80711127239806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311.298</v>
      </c>
      <c r="P156" s="13">
        <f t="shared" si="141"/>
        <v>73.539838278528748</v>
      </c>
      <c r="Q156" s="20">
        <f t="shared" si="162"/>
        <v>670.25923500177089</v>
      </c>
      <c r="R156" s="59">
        <f t="shared" si="109"/>
        <v>963.59256833510426</v>
      </c>
      <c r="S156" s="59">
        <f ca="1">AVERAGE(OFFSET($R$3,0,0,'Données projet'!$E$9+1,1))-AVERAGE(OFFSET($H$3,0,0,'Données projet'!$E$9+1,1))</f>
        <v>342.91408684769942</v>
      </c>
      <c r="T156" s="59">
        <f t="shared" si="142"/>
        <v>209.92380505963234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37.480062788288699</v>
      </c>
      <c r="AA156" s="21">
        <f>EXP(-LN(2)/25)*AA155+(1-EXP(-LN(2)/25))/(LN(2)/25)*Calculateur!V156*Calculateur!X156*VLOOKUP('Données projet'!$B$9,Paramètres!$A$1:$I$89,3,0)*0.475*44/12</f>
        <v>1.5531592049148348</v>
      </c>
      <c r="AB156" s="21">
        <f>EXP(-LN(2)/2)*AB155+(1-EXP(-LN(2)/2))/(LN(2)/2)*V156*Y156*VLOOKUP('Données projet'!$B$9,Paramètres!$A$1:$I$89,3,0)*0.475*44/12</f>
        <v>3.2206399079585657E-6</v>
      </c>
      <c r="AC156" s="22">
        <f t="shared" si="163"/>
        <v>39.033225213843444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432.99999999999989</v>
      </c>
      <c r="AJ156" s="13">
        <f>AI156*VLOOKUP('Données projet'!$B$10,Paramètres!$A$1:$I$89,3,0)*VLOOKUP('Données projet'!$B$10,Paramètres!$A$1:$I$89,5,0)</f>
        <v>290.45639999999992</v>
      </c>
      <c r="AK156" s="13">
        <f t="shared" si="164"/>
        <v>69.172009514864612</v>
      </c>
      <c r="AL156" s="20">
        <f t="shared" si="165"/>
        <v>626.3528132383891</v>
      </c>
      <c r="AM156" s="59">
        <f t="shared" si="113"/>
        <v>919.68614657172247</v>
      </c>
      <c r="AN156" s="59">
        <f ca="1">AVERAGE(OFFSET($AM$3,0,0,'Données projet'!$E$10+1,1))-AVERAGE(OFFSET($H$3,0,0,'Données projet'!$E$10+1,1))</f>
        <v>296.25231821504275</v>
      </c>
      <c r="AO156" s="59">
        <f t="shared" si="144"/>
        <v>316.20936902390275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9.2607824758613333</v>
      </c>
      <c r="AV156" s="21">
        <f>EXP(-LN(2)/25)*AV155+(1-EXP(-LN(2)/25))/(LN(2)/25)*Calculateur!AQ156*Calculateur!AS156*VLOOKUP('Données projet'!$B$10,Paramètres!$A$1:$I$89,3,0)*0.475*44/12</f>
        <v>0.36512277373929269</v>
      </c>
      <c r="AW156" s="21">
        <f>EXP(-LN(2)/2)*AW155+(1-EXP(-LN(2)/2))/(LN(2)/2)*AQ156*AT156*VLOOKUP('Données projet'!$B$10,Paramètres!$A$1:$I$89,3,0)*0.475*44/12</f>
        <v>3.680470531048765E-13</v>
      </c>
      <c r="AX156" s="21">
        <f t="shared" si="166"/>
        <v>9.6259052496009936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318.99999999999994</v>
      </c>
      <c r="BE156" s="13">
        <f>BD156*VLOOKUP('Données projet'!$B$11,Paramètres!$A$1:$I$89,3,0)*VLOOKUP('Données projet'!$B$11,Paramètres!$A$1:$I$89,5,0)</f>
        <v>253.79639999999995</v>
      </c>
      <c r="BF156" s="13">
        <f t="shared" si="167"/>
        <v>61.398168322280704</v>
      </c>
      <c r="BG156" s="20">
        <f t="shared" si="168"/>
        <v>548.9638731613054</v>
      </c>
      <c r="BH156" s="59">
        <f t="shared" si="116"/>
        <v>842.29720649463866</v>
      </c>
      <c r="BI156" s="59">
        <f ca="1">AVERAGE(OFFSET($BH$3,0,0,'Données projet'!$E$11+1,1))-AVERAGE(OFFSET($H$3,0,0,'Données projet'!$E$11+1,1))</f>
        <v>244.50301885429764</v>
      </c>
      <c r="BJ156" s="59">
        <f t="shared" si="146"/>
        <v>248.77995374147798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9.0136419097689942</v>
      </c>
      <c r="BQ156" s="21">
        <f>EXP(-LN(2)/25)*BQ155+(1-EXP(-LN(2)/25))/(LN(2)/25)*Calculateur!BL156*Calculateur!BN156*VLOOKUP('Données projet'!$B$11,Paramètres!$A$1:$I$89,3,0)*0.475*44/12</f>
        <v>0.3985333874123968</v>
      </c>
      <c r="BR156" s="21">
        <f>EXP(-LN(2)/2)*BR155+(1-EXP(-LN(2)/2))/(LN(2)/2)*BL156*BO156*VLOOKUP('Données projet'!$B$11,Paramètres!$A$1:$I$89,3,0)*0.475*44/12</f>
        <v>6.3382758521959092E-12</v>
      </c>
      <c r="BS156" s="22">
        <f t="shared" si="169"/>
        <v>9.4121752971877282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1">
        <f t="shared" si="140"/>
        <v>35.042026165482199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67">
        <f t="shared" si="110"/>
        <v>588.67894223821463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311.298</v>
      </c>
      <c r="P157" s="13">
        <f t="shared" si="141"/>
        <v>73.539838278528748</v>
      </c>
      <c r="Q157" s="20">
        <f t="shared" si="162"/>
        <v>670.25923500177089</v>
      </c>
      <c r="R157" s="59">
        <f t="shared" si="109"/>
        <v>963.59256833510426</v>
      </c>
      <c r="S157" s="59">
        <f ca="1">AVERAGE(OFFSET($R$3,0,0,'Données projet'!$E$9+1,1))-AVERAGE(OFFSET($H$3,0,0,'Données projet'!$E$9+1,1))</f>
        <v>342.91408684769942</v>
      </c>
      <c r="T157" s="59">
        <f t="shared" si="142"/>
        <v>209.92380505963234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36.745101617591367</v>
      </c>
      <c r="AA157" s="21">
        <f>EXP(-LN(2)/25)*AA156+(1-EXP(-LN(2)/25))/(LN(2)/25)*Calculateur!V157*Calculateur!X157*VLOOKUP('Données projet'!$B$9,Paramètres!$A$1:$I$89,3,0)*0.475*44/12</f>
        <v>1.510687984779346</v>
      </c>
      <c r="AB157" s="21">
        <f>EXP(-LN(2)/2)*AB156+(1-EXP(-LN(2)/2))/(LN(2)/2)*V157*Y157*VLOOKUP('Données projet'!$B$9,Paramètres!$A$1:$I$89,3,0)*0.475*44/12</f>
        <v>2.2773363186775201E-6</v>
      </c>
      <c r="AC157" s="22">
        <f t="shared" si="163"/>
        <v>38.255791879707033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432.99999999999989</v>
      </c>
      <c r="AJ157" s="13">
        <f>AI157*VLOOKUP('Données projet'!$B$10,Paramètres!$A$1:$I$89,3,0)*VLOOKUP('Données projet'!$B$10,Paramètres!$A$1:$I$89,5,0)</f>
        <v>290.45639999999992</v>
      </c>
      <c r="AK157" s="13">
        <f t="shared" si="164"/>
        <v>69.172009514864612</v>
      </c>
      <c r="AL157" s="20">
        <f t="shared" si="165"/>
        <v>626.3528132383891</v>
      </c>
      <c r="AM157" s="59">
        <f t="shared" si="113"/>
        <v>919.68614657172247</v>
      </c>
      <c r="AN157" s="59">
        <f ca="1">AVERAGE(OFFSET($AM$3,0,0,'Données projet'!$E$10+1,1))-AVERAGE(OFFSET($H$3,0,0,'Données projet'!$E$10+1,1))</f>
        <v>296.25231821504275</v>
      </c>
      <c r="AO157" s="59">
        <f t="shared" si="144"/>
        <v>316.20936902390275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9.079184180029257</v>
      </c>
      <c r="AV157" s="21">
        <f>EXP(-LN(2)/25)*AV156+(1-EXP(-LN(2)/25))/(LN(2)/25)*Calculateur!AQ157*Calculateur!AS157*VLOOKUP('Données projet'!$B$10,Paramètres!$A$1:$I$89,3,0)*0.475*44/12</f>
        <v>0.35513847229041956</v>
      </c>
      <c r="AW157" s="21">
        <f>EXP(-LN(2)/2)*AW156+(1-EXP(-LN(2)/2))/(LN(2)/2)*AQ157*AT157*VLOOKUP('Données projet'!$B$10,Paramètres!$A$1:$I$89,3,0)*0.475*44/12</f>
        <v>2.6024856704618354E-13</v>
      </c>
      <c r="AX157" s="21">
        <f t="shared" si="166"/>
        <v>9.4343226523199384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318.99999999999994</v>
      </c>
      <c r="BE157" s="13">
        <f>BD157*VLOOKUP('Données projet'!$B$11,Paramètres!$A$1:$I$89,3,0)*VLOOKUP('Données projet'!$B$11,Paramètres!$A$1:$I$89,5,0)</f>
        <v>253.79639999999995</v>
      </c>
      <c r="BF157" s="13">
        <f t="shared" si="167"/>
        <v>61.398168322280704</v>
      </c>
      <c r="BG157" s="20">
        <f t="shared" si="168"/>
        <v>548.9638731613054</v>
      </c>
      <c r="BH157" s="59">
        <f t="shared" si="116"/>
        <v>842.29720649463866</v>
      </c>
      <c r="BI157" s="59">
        <f ca="1">AVERAGE(OFFSET($BH$3,0,0,'Données projet'!$E$11+1,1))-AVERAGE(OFFSET($H$3,0,0,'Données projet'!$E$11+1,1))</f>
        <v>244.50301885429764</v>
      </c>
      <c r="BJ157" s="59">
        <f t="shared" si="146"/>
        <v>248.77995374147798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8.8368898896971277</v>
      </c>
      <c r="BQ157" s="21">
        <f>EXP(-LN(2)/25)*BQ156+(1-EXP(-LN(2)/25))/(LN(2)/25)*Calculateur!BL157*Calculateur!BN157*VLOOKUP('Données projet'!$B$11,Paramètres!$A$1:$I$89,3,0)*0.475*44/12</f>
        <v>0.38763547097564482</v>
      </c>
      <c r="BR157" s="21">
        <f>EXP(-LN(2)/2)*BR156+(1-EXP(-LN(2)/2))/(LN(2)/2)*BL157*BO157*VLOOKUP('Données projet'!$B$11,Paramètres!$A$1:$I$89,3,0)*0.475*44/12</f>
        <v>4.4818378361186708E-12</v>
      </c>
      <c r="BS157" s="22">
        <f t="shared" si="169"/>
        <v>9.224525360677255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1">
        <f t="shared" si="140"/>
        <v>35.243009677478732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67">
        <f t="shared" si="110"/>
        <v>590.55050852160866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311.298</v>
      </c>
      <c r="P158" s="13">
        <f t="shared" si="141"/>
        <v>73.539838278528748</v>
      </c>
      <c r="Q158" s="20">
        <f t="shared" si="162"/>
        <v>670.25923500177089</v>
      </c>
      <c r="R158" s="59">
        <f t="shared" si="109"/>
        <v>963.59256833510426</v>
      </c>
      <c r="S158" s="59">
        <f ca="1">AVERAGE(OFFSET($R$3,0,0,'Données projet'!$E$9+1,1))-AVERAGE(OFFSET($H$3,0,0,'Données projet'!$E$9+1,1))</f>
        <v>342.91408684769942</v>
      </c>
      <c r="T158" s="59">
        <f t="shared" si="142"/>
        <v>209.92380505963234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36.024552587169353</v>
      </c>
      <c r="AA158" s="21">
        <f>EXP(-LN(2)/25)*AA157+(1-EXP(-LN(2)/25))/(LN(2)/25)*Calculateur!V158*Calculateur!X158*VLOOKUP('Données projet'!$B$9,Paramètres!$A$1:$I$89,3,0)*0.475*44/12</f>
        <v>1.4693781423919263</v>
      </c>
      <c r="AB158" s="21">
        <f>EXP(-LN(2)/2)*AB157+(1-EXP(-LN(2)/2))/(LN(2)/2)*V158*Y158*VLOOKUP('Données projet'!$B$9,Paramètres!$A$1:$I$89,3,0)*0.475*44/12</f>
        <v>1.6103199539792829E-6</v>
      </c>
      <c r="AC158" s="22">
        <f t="shared" si="163"/>
        <v>37.493932339881233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432.99999999999989</v>
      </c>
      <c r="AJ158" s="13">
        <f>AI158*VLOOKUP('Données projet'!$B$10,Paramètres!$A$1:$I$89,3,0)*VLOOKUP('Données projet'!$B$10,Paramètres!$A$1:$I$89,5,0)</f>
        <v>290.45639999999992</v>
      </c>
      <c r="AK158" s="13">
        <f t="shared" si="164"/>
        <v>69.172009514864612</v>
      </c>
      <c r="AL158" s="20">
        <f t="shared" si="165"/>
        <v>626.3528132383891</v>
      </c>
      <c r="AM158" s="59">
        <f t="shared" si="113"/>
        <v>919.68614657172247</v>
      </c>
      <c r="AN158" s="59">
        <f ca="1">AVERAGE(OFFSET($AM$3,0,0,'Données projet'!$E$10+1,1))-AVERAGE(OFFSET($H$3,0,0,'Données projet'!$E$10+1,1))</f>
        <v>296.25231821504275</v>
      </c>
      <c r="AO158" s="59">
        <f t="shared" si="144"/>
        <v>316.20936902390275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8.9011469160144259</v>
      </c>
      <c r="AV158" s="21">
        <f>EXP(-LN(2)/25)*AV157+(1-EXP(-LN(2)/25))/(LN(2)/25)*Calculateur!AQ158*Calculateur!AS158*VLOOKUP('Données projet'!$B$10,Paramètres!$A$1:$I$89,3,0)*0.475*44/12</f>
        <v>0.34542719208971745</v>
      </c>
      <c r="AW158" s="21">
        <f>EXP(-LN(2)/2)*AW157+(1-EXP(-LN(2)/2))/(LN(2)/2)*AQ158*AT158*VLOOKUP('Données projet'!$B$10,Paramètres!$A$1:$I$89,3,0)*0.475*44/12</f>
        <v>1.8402352655243825E-13</v>
      </c>
      <c r="AX158" s="21">
        <f t="shared" si="166"/>
        <v>9.246574108104328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318.99999999999994</v>
      </c>
      <c r="BE158" s="13">
        <f>BD158*VLOOKUP('Données projet'!$B$11,Paramètres!$A$1:$I$89,3,0)*VLOOKUP('Données projet'!$B$11,Paramètres!$A$1:$I$89,5,0)</f>
        <v>253.79639999999995</v>
      </c>
      <c r="BF158" s="13">
        <f t="shared" si="167"/>
        <v>61.398168322280704</v>
      </c>
      <c r="BG158" s="20">
        <f t="shared" si="168"/>
        <v>548.9638731613054</v>
      </c>
      <c r="BH158" s="59">
        <f t="shared" si="116"/>
        <v>842.29720649463866</v>
      </c>
      <c r="BI158" s="59">
        <f ca="1">AVERAGE(OFFSET($BH$3,0,0,'Données projet'!$E$11+1,1))-AVERAGE(OFFSET($H$3,0,0,'Données projet'!$E$11+1,1))</f>
        <v>244.50301885429764</v>
      </c>
      <c r="BJ158" s="59">
        <f t="shared" si="146"/>
        <v>248.77995374147798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8.6636038689307853</v>
      </c>
      <c r="BQ158" s="21">
        <f>EXP(-LN(2)/25)*BQ157+(1-EXP(-LN(2)/25))/(LN(2)/25)*Calculateur!BL158*Calculateur!BN158*VLOOKUP('Données projet'!$B$11,Paramètres!$A$1:$I$89,3,0)*0.475*44/12</f>
        <v>0.37703555863695237</v>
      </c>
      <c r="BR158" s="21">
        <f>EXP(-LN(2)/2)*BR157+(1-EXP(-LN(2)/2))/(LN(2)/2)*BL158*BO158*VLOOKUP('Données projet'!$B$11,Paramètres!$A$1:$I$89,3,0)*0.475*44/12</f>
        <v>3.1691379260979546E-12</v>
      </c>
      <c r="BS158" s="22">
        <f t="shared" si="169"/>
        <v>9.0406394275709072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1">
        <f t="shared" si="140"/>
        <v>35.443842312892279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67">
        <f t="shared" si="110"/>
        <v>592.42181202828726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311.298</v>
      </c>
      <c r="P159" s="13">
        <f t="shared" si="141"/>
        <v>73.539838278528748</v>
      </c>
      <c r="Q159" s="20">
        <f t="shared" si="162"/>
        <v>670.25923500177089</v>
      </c>
      <c r="R159" s="59">
        <f t="shared" si="109"/>
        <v>963.59256833510426</v>
      </c>
      <c r="S159" s="59">
        <f ca="1">AVERAGE(OFFSET($R$3,0,0,'Données projet'!$E$9+1,1))-AVERAGE(OFFSET($H$3,0,0,'Données projet'!$E$9+1,1))</f>
        <v>342.91408684769942</v>
      </c>
      <c r="T159" s="59">
        <f t="shared" si="142"/>
        <v>209.92380505963234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35.318133083742403</v>
      </c>
      <c r="AA159" s="21">
        <f>EXP(-LN(2)/25)*AA158+(1-EXP(-LN(2)/25))/(LN(2)/25)*Calculateur!V159*Calculateur!X159*VLOOKUP('Données projet'!$B$9,Paramètres!$A$1:$I$89,3,0)*0.475*44/12</f>
        <v>1.4291979198169809</v>
      </c>
      <c r="AB159" s="21">
        <f>EXP(-LN(2)/2)*AB158+(1-EXP(-LN(2)/2))/(LN(2)/2)*V159*Y159*VLOOKUP('Données projet'!$B$9,Paramètres!$A$1:$I$89,3,0)*0.475*44/12</f>
        <v>1.13866815933876E-6</v>
      </c>
      <c r="AC159" s="22">
        <f t="shared" si="163"/>
        <v>36.747332142227542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432.99999999999989</v>
      </c>
      <c r="AJ159" s="13">
        <f>AI159*VLOOKUP('Données projet'!$B$10,Paramètres!$A$1:$I$89,3,0)*VLOOKUP('Données projet'!$B$10,Paramètres!$A$1:$I$89,5,0)</f>
        <v>290.45639999999992</v>
      </c>
      <c r="AK159" s="13">
        <f t="shared" si="164"/>
        <v>69.172009514864612</v>
      </c>
      <c r="AL159" s="20">
        <f t="shared" si="165"/>
        <v>626.3528132383891</v>
      </c>
      <c r="AM159" s="59">
        <f t="shared" si="113"/>
        <v>919.68614657172247</v>
      </c>
      <c r="AN159" s="59">
        <f ca="1">AVERAGE(OFFSET($AM$3,0,0,'Données projet'!$E$10+1,1))-AVERAGE(OFFSET($H$3,0,0,'Données projet'!$E$10+1,1))</f>
        <v>296.25231821504275</v>
      </c>
      <c r="AO159" s="59">
        <f t="shared" si="144"/>
        <v>316.20936902390275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8.7266008541549169</v>
      </c>
      <c r="AV159" s="21">
        <f>EXP(-LN(2)/25)*AV158+(1-EXP(-LN(2)/25))/(LN(2)/25)*Calculateur!AQ159*Calculateur!AS159*VLOOKUP('Données projet'!$B$10,Paramètres!$A$1:$I$89,3,0)*0.475*44/12</f>
        <v>0.33598146735679757</v>
      </c>
      <c r="AW159" s="21">
        <f>EXP(-LN(2)/2)*AW158+(1-EXP(-LN(2)/2))/(LN(2)/2)*AQ159*AT159*VLOOKUP('Données projet'!$B$10,Paramètres!$A$1:$I$89,3,0)*0.475*44/12</f>
        <v>1.3012428352309177E-13</v>
      </c>
      <c r="AX159" s="21">
        <f t="shared" si="166"/>
        <v>9.0625823215118437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318.99999999999994</v>
      </c>
      <c r="BE159" s="13">
        <f>BD159*VLOOKUP('Données projet'!$B$11,Paramètres!$A$1:$I$89,3,0)*VLOOKUP('Données projet'!$B$11,Paramètres!$A$1:$I$89,5,0)</f>
        <v>253.79639999999995</v>
      </c>
      <c r="BF159" s="13">
        <f t="shared" si="167"/>
        <v>61.398168322280704</v>
      </c>
      <c r="BG159" s="20">
        <f t="shared" si="168"/>
        <v>548.9638731613054</v>
      </c>
      <c r="BH159" s="59">
        <f t="shared" si="116"/>
        <v>842.29720649463866</v>
      </c>
      <c r="BI159" s="59">
        <f ca="1">AVERAGE(OFFSET($BH$3,0,0,'Données projet'!$E$11+1,1))-AVERAGE(OFFSET($H$3,0,0,'Données projet'!$E$11+1,1))</f>
        <v>244.50301885429764</v>
      </c>
      <c r="BJ159" s="59">
        <f t="shared" si="146"/>
        <v>248.77995374147798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8.4937158813376339</v>
      </c>
      <c r="BQ159" s="21">
        <f>EXP(-LN(2)/25)*BQ158+(1-EXP(-LN(2)/25))/(LN(2)/25)*Calculateur!BL159*Calculateur!BN159*VLOOKUP('Données projet'!$B$11,Paramètres!$A$1:$I$89,3,0)*0.475*44/12</f>
        <v>0.36672550145858662</v>
      </c>
      <c r="BR159" s="21">
        <f>EXP(-LN(2)/2)*BR158+(1-EXP(-LN(2)/2))/(LN(2)/2)*BL159*BO159*VLOOKUP('Données projet'!$B$11,Paramètres!$A$1:$I$89,3,0)*0.475*44/12</f>
        <v>2.2409189180593354E-12</v>
      </c>
      <c r="BS159" s="22">
        <f t="shared" si="169"/>
        <v>8.8604413827984629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1">
        <f t="shared" si="140"/>
        <v>35.644525151069693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67">
        <f t="shared" si="110"/>
        <v>594.29285463811289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311.298</v>
      </c>
      <c r="P160" s="13">
        <f t="shared" si="141"/>
        <v>73.539838278528748</v>
      </c>
      <c r="Q160" s="20">
        <f t="shared" si="162"/>
        <v>670.25923500177089</v>
      </c>
      <c r="R160" s="59">
        <f t="shared" si="109"/>
        <v>963.59256833510426</v>
      </c>
      <c r="S160" s="59">
        <f ca="1">AVERAGE(OFFSET($R$3,0,0,'Données projet'!$E$9+1,1))-AVERAGE(OFFSET($H$3,0,0,'Données projet'!$E$9+1,1))</f>
        <v>342.91408684769942</v>
      </c>
      <c r="T160" s="59">
        <f t="shared" si="142"/>
        <v>209.92380505963234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34.625566035904306</v>
      </c>
      <c r="AA160" s="21">
        <f>EXP(-LN(2)/25)*AA159+(1-EXP(-LN(2)/25))/(LN(2)/25)*Calculateur!V160*Calculateur!X160*VLOOKUP('Données projet'!$B$9,Paramètres!$A$1:$I$89,3,0)*0.475*44/12</f>
        <v>1.3901164275413334</v>
      </c>
      <c r="AB160" s="21">
        <f>EXP(-LN(2)/2)*AB159+(1-EXP(-LN(2)/2))/(LN(2)/2)*V160*Y160*VLOOKUP('Données projet'!$B$9,Paramètres!$A$1:$I$89,3,0)*0.475*44/12</f>
        <v>8.0515997698964144E-7</v>
      </c>
      <c r="AC160" s="22">
        <f t="shared" si="163"/>
        <v>36.015683268605621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432.99999999999989</v>
      </c>
      <c r="AJ160" s="13">
        <f>AI160*VLOOKUP('Données projet'!$B$10,Paramètres!$A$1:$I$89,3,0)*VLOOKUP('Données projet'!$B$10,Paramètres!$A$1:$I$89,5,0)</f>
        <v>290.45639999999992</v>
      </c>
      <c r="AK160" s="13">
        <f t="shared" si="164"/>
        <v>69.172009514864612</v>
      </c>
      <c r="AL160" s="20">
        <f t="shared" si="165"/>
        <v>626.3528132383891</v>
      </c>
      <c r="AM160" s="59">
        <f t="shared" si="113"/>
        <v>919.68614657172247</v>
      </c>
      <c r="AN160" s="59">
        <f ca="1">AVERAGE(OFFSET($AM$3,0,0,'Données projet'!$E$10+1,1))-AVERAGE(OFFSET($H$3,0,0,'Données projet'!$E$10+1,1))</f>
        <v>296.25231821504275</v>
      </c>
      <c r="AO160" s="59">
        <f t="shared" si="144"/>
        <v>316.20936902390275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8.5554775341058864</v>
      </c>
      <c r="AV160" s="21">
        <f>EXP(-LN(2)/25)*AV159+(1-EXP(-LN(2)/25))/(LN(2)/25)*Calculateur!AQ160*Calculateur!AS160*VLOOKUP('Données projet'!$B$10,Paramètres!$A$1:$I$89,3,0)*0.475*44/12</f>
        <v>0.32679403646342847</v>
      </c>
      <c r="AW160" s="21">
        <f>EXP(-LN(2)/2)*AW159+(1-EXP(-LN(2)/2))/(LN(2)/2)*AQ160*AT160*VLOOKUP('Données projet'!$B$10,Paramètres!$A$1:$I$89,3,0)*0.475*44/12</f>
        <v>9.2011763276219124E-14</v>
      </c>
      <c r="AX160" s="21">
        <f t="shared" si="166"/>
        <v>8.882271570569408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318.99999999999994</v>
      </c>
      <c r="BE160" s="13">
        <f>BD160*VLOOKUP('Données projet'!$B$11,Paramètres!$A$1:$I$89,3,0)*VLOOKUP('Données projet'!$B$11,Paramètres!$A$1:$I$89,5,0)</f>
        <v>253.79639999999995</v>
      </c>
      <c r="BF160" s="13">
        <f t="shared" si="167"/>
        <v>61.398168322280704</v>
      </c>
      <c r="BG160" s="20">
        <f t="shared" si="168"/>
        <v>548.9638731613054</v>
      </c>
      <c r="BH160" s="59">
        <f t="shared" si="116"/>
        <v>842.29720649463866</v>
      </c>
      <c r="BI160" s="59">
        <f ca="1">AVERAGE(OFFSET($BH$3,0,0,'Données projet'!$E$11+1,1))-AVERAGE(OFFSET($H$3,0,0,'Données projet'!$E$11+1,1))</f>
        <v>244.50301885429764</v>
      </c>
      <c r="BJ160" s="59">
        <f t="shared" si="146"/>
        <v>248.77995374147798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8.3271592935597436</v>
      </c>
      <c r="BQ160" s="21">
        <f>EXP(-LN(2)/25)*BQ159+(1-EXP(-LN(2)/25))/(LN(2)/25)*Calculateur!BL160*Calculateur!BN160*VLOOKUP('Données projet'!$B$11,Paramètres!$A$1:$I$89,3,0)*0.475*44/12</f>
        <v>0.35669737333594559</v>
      </c>
      <c r="BR160" s="21">
        <f>EXP(-LN(2)/2)*BR159+(1-EXP(-LN(2)/2))/(LN(2)/2)*BL160*BO160*VLOOKUP('Données projet'!$B$11,Paramètres!$A$1:$I$89,3,0)*0.475*44/12</f>
        <v>1.5845689630489773E-12</v>
      </c>
      <c r="BS160" s="22">
        <f t="shared" si="169"/>
        <v>8.6838566668972739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1">
        <f t="shared" si="140"/>
        <v>35.845059256813073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67">
        <f t="shared" si="110"/>
        <v>596.16363820561605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311.298</v>
      </c>
      <c r="P161" s="13">
        <f t="shared" si="141"/>
        <v>73.539838278528748</v>
      </c>
      <c r="Q161" s="20">
        <f t="shared" si="162"/>
        <v>670.25923500177089</v>
      </c>
      <c r="R161" s="59">
        <f t="shared" si="109"/>
        <v>963.59256833510426</v>
      </c>
      <c r="S161" s="59">
        <f ca="1">AVERAGE(OFFSET($R$3,0,0,'Données projet'!$E$9+1,1))-AVERAGE(OFFSET($H$3,0,0,'Données projet'!$E$9+1,1))</f>
        <v>342.91408684769942</v>
      </c>
      <c r="T161" s="59">
        <f t="shared" si="142"/>
        <v>209.92380505963234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33.946579805450128</v>
      </c>
      <c r="AA161" s="21">
        <f>EXP(-LN(2)/25)*AA160+(1-EXP(-LN(2)/25))/(LN(2)/25)*Calculateur!V161*Calculateur!X161*VLOOKUP('Données projet'!$B$9,Paramètres!$A$1:$I$89,3,0)*0.475*44/12</f>
        <v>1.3521036207271697</v>
      </c>
      <c r="AB161" s="21">
        <f>EXP(-LN(2)/2)*AB160+(1-EXP(-LN(2)/2))/(LN(2)/2)*V161*Y161*VLOOKUP('Données projet'!$B$9,Paramètres!$A$1:$I$89,3,0)*0.475*44/12</f>
        <v>5.6933407966938002E-7</v>
      </c>
      <c r="AC161" s="22">
        <f t="shared" si="163"/>
        <v>35.298683995511375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432.99999999999989</v>
      </c>
      <c r="AJ161" s="13">
        <f>AI161*VLOOKUP('Données projet'!$B$10,Paramètres!$A$1:$I$89,3,0)*VLOOKUP('Données projet'!$B$10,Paramètres!$A$1:$I$89,5,0)</f>
        <v>290.45639999999992</v>
      </c>
      <c r="AK161" s="13">
        <f t="shared" si="164"/>
        <v>69.172009514864612</v>
      </c>
      <c r="AL161" s="20">
        <f t="shared" si="165"/>
        <v>626.3528132383891</v>
      </c>
      <c r="AM161" s="59">
        <f t="shared" si="113"/>
        <v>919.68614657172247</v>
      </c>
      <c r="AN161" s="59">
        <f ca="1">AVERAGE(OFFSET($AM$3,0,0,'Données projet'!$E$10+1,1))-AVERAGE(OFFSET($H$3,0,0,'Données projet'!$E$10+1,1))</f>
        <v>296.25231821504275</v>
      </c>
      <c r="AO161" s="59">
        <f t="shared" si="144"/>
        <v>316.20936902390275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8.3877098379880994</v>
      </c>
      <c r="AV161" s="21">
        <f>EXP(-LN(2)/25)*AV160+(1-EXP(-LN(2)/25))/(LN(2)/25)*Calculateur!AQ161*Calculateur!AS161*VLOOKUP('Données projet'!$B$10,Paramètres!$A$1:$I$89,3,0)*0.475*44/12</f>
        <v>0.31785783635098452</v>
      </c>
      <c r="AW161" s="21">
        <f>EXP(-LN(2)/2)*AW160+(1-EXP(-LN(2)/2))/(LN(2)/2)*AQ161*AT161*VLOOKUP('Données projet'!$B$10,Paramètres!$A$1:$I$89,3,0)*0.475*44/12</f>
        <v>6.5062141761545885E-14</v>
      </c>
      <c r="AX161" s="21">
        <f t="shared" si="166"/>
        <v>8.7055676743391501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318.99999999999994</v>
      </c>
      <c r="BE161" s="13">
        <f>BD161*VLOOKUP('Données projet'!$B$11,Paramètres!$A$1:$I$89,3,0)*VLOOKUP('Données projet'!$B$11,Paramètres!$A$1:$I$89,5,0)</f>
        <v>253.79639999999995</v>
      </c>
      <c r="BF161" s="13">
        <f t="shared" si="167"/>
        <v>61.398168322280704</v>
      </c>
      <c r="BG161" s="20">
        <f t="shared" si="168"/>
        <v>548.9638731613054</v>
      </c>
      <c r="BH161" s="59">
        <f t="shared" si="116"/>
        <v>842.29720649463866</v>
      </c>
      <c r="BI161" s="59">
        <f ca="1">AVERAGE(OFFSET($BH$3,0,0,'Données projet'!$E$11+1,1))-AVERAGE(OFFSET($H$3,0,0,'Données projet'!$E$11+1,1))</f>
        <v>244.50301885429764</v>
      </c>
      <c r="BJ161" s="59">
        <f t="shared" si="146"/>
        <v>248.77995374147798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8.1638687788786903</v>
      </c>
      <c r="BQ161" s="21">
        <f>EXP(-LN(2)/25)*BQ160+(1-EXP(-LN(2)/25))/(LN(2)/25)*Calculateur!BL161*Calculateur!BN161*VLOOKUP('Données projet'!$B$11,Paramètres!$A$1:$I$89,3,0)*0.475*44/12</f>
        <v>0.34694346490417455</v>
      </c>
      <c r="BR161" s="21">
        <f>EXP(-LN(2)/2)*BR160+(1-EXP(-LN(2)/2))/(LN(2)/2)*BL161*BO161*VLOOKUP('Données projet'!$B$11,Paramètres!$A$1:$I$89,3,0)*0.475*44/12</f>
        <v>1.1204594590296677E-12</v>
      </c>
      <c r="BS161" s="22">
        <f t="shared" si="169"/>
        <v>8.5108122437839864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1">
        <f t="shared" si="140"/>
        <v>36.045445680666425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67">
        <f t="shared" si="110"/>
        <v>598.03416456049399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311.298</v>
      </c>
      <c r="P162" s="13">
        <f t="shared" si="141"/>
        <v>73.539838278528748</v>
      </c>
      <c r="Q162" s="20">
        <f t="shared" si="162"/>
        <v>670.25923500177089</v>
      </c>
      <c r="R162" s="59">
        <f t="shared" si="109"/>
        <v>963.59256833510426</v>
      </c>
      <c r="S162" s="59">
        <f ca="1">AVERAGE(OFFSET($R$3,0,0,'Données projet'!$E$9+1,1))-AVERAGE(OFFSET($H$3,0,0,'Données projet'!$E$9+1,1))</f>
        <v>342.91408684769942</v>
      </c>
      <c r="T162" s="59">
        <f t="shared" si="142"/>
        <v>209.92380505963234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33.280908080834443</v>
      </c>
      <c r="AA162" s="21">
        <f>EXP(-LN(2)/25)*AA161+(1-EXP(-LN(2)/25))/(LN(2)/25)*Calculateur!V162*Calculateur!X162*VLOOKUP('Données projet'!$B$9,Paramètres!$A$1:$I$89,3,0)*0.475*44/12</f>
        <v>1.3151302761143462</v>
      </c>
      <c r="AB162" s="21">
        <f>EXP(-LN(2)/2)*AB161+(1-EXP(-LN(2)/2))/(LN(2)/2)*V162*Y162*VLOOKUP('Données projet'!$B$9,Paramètres!$A$1:$I$89,3,0)*0.475*44/12</f>
        <v>4.0257998849482072E-7</v>
      </c>
      <c r="AC162" s="22">
        <f t="shared" si="163"/>
        <v>34.596038759528774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432.99999999999989</v>
      </c>
      <c r="AJ162" s="13">
        <f>AI162*VLOOKUP('Données projet'!$B$10,Paramètres!$A$1:$I$89,3,0)*VLOOKUP('Données projet'!$B$10,Paramètres!$A$1:$I$89,5,0)</f>
        <v>290.45639999999992</v>
      </c>
      <c r="AK162" s="13">
        <f t="shared" si="164"/>
        <v>69.172009514864612</v>
      </c>
      <c r="AL162" s="20">
        <f t="shared" si="165"/>
        <v>626.3528132383891</v>
      </c>
      <c r="AM162" s="59">
        <f t="shared" si="113"/>
        <v>919.68614657172247</v>
      </c>
      <c r="AN162" s="59">
        <f ca="1">AVERAGE(OFFSET($AM$3,0,0,'Données projet'!$E$10+1,1))-AVERAGE(OFFSET($H$3,0,0,'Données projet'!$E$10+1,1))</f>
        <v>296.25231821504275</v>
      </c>
      <c r="AO162" s="59">
        <f t="shared" si="144"/>
        <v>316.20936902390275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8.2232319640629914</v>
      </c>
      <c r="AV162" s="21">
        <f>EXP(-LN(2)/25)*AV161+(1-EXP(-LN(2)/25))/(LN(2)/25)*Calculateur!AQ162*Calculateur!AS162*VLOOKUP('Données projet'!$B$10,Paramètres!$A$1:$I$89,3,0)*0.475*44/12</f>
        <v>0.30916599710054971</v>
      </c>
      <c r="AW162" s="21">
        <f>EXP(-LN(2)/2)*AW161+(1-EXP(-LN(2)/2))/(LN(2)/2)*AQ162*AT162*VLOOKUP('Données projet'!$B$10,Paramètres!$A$1:$I$89,3,0)*0.475*44/12</f>
        <v>4.6005881638109562E-14</v>
      </c>
      <c r="AX162" s="21">
        <f t="shared" si="166"/>
        <v>8.5323979611635874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318.99999999999994</v>
      </c>
      <c r="BE162" s="13">
        <f>BD162*VLOOKUP('Données projet'!$B$11,Paramètres!$A$1:$I$89,3,0)*VLOOKUP('Données projet'!$B$11,Paramètres!$A$1:$I$89,5,0)</f>
        <v>253.79639999999995</v>
      </c>
      <c r="BF162" s="13">
        <f t="shared" si="167"/>
        <v>61.398168322280704</v>
      </c>
      <c r="BG162" s="20">
        <f t="shared" si="168"/>
        <v>548.9638731613054</v>
      </c>
      <c r="BH162" s="59">
        <f t="shared" si="116"/>
        <v>842.29720649463866</v>
      </c>
      <c r="BI162" s="59">
        <f ca="1">AVERAGE(OFFSET($BH$3,0,0,'Données projet'!$E$11+1,1))-AVERAGE(OFFSET($H$3,0,0,'Données projet'!$E$11+1,1))</f>
        <v>244.50301885429764</v>
      </c>
      <c r="BJ162" s="59">
        <f t="shared" si="146"/>
        <v>248.77995374147798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8.0037802915931522</v>
      </c>
      <c r="BQ162" s="21">
        <f>EXP(-LN(2)/25)*BQ161+(1-EXP(-LN(2)/25))/(LN(2)/25)*Calculateur!BL162*Calculateur!BN162*VLOOKUP('Données projet'!$B$11,Paramètres!$A$1:$I$89,3,0)*0.475*44/12</f>
        <v>0.33745627761140601</v>
      </c>
      <c r="BR162" s="21">
        <f>EXP(-LN(2)/2)*BR161+(1-EXP(-LN(2)/2))/(LN(2)/2)*BL162*BO162*VLOOKUP('Données projet'!$B$11,Paramètres!$A$1:$I$89,3,0)*0.475*44/12</f>
        <v>7.9228448152448865E-13</v>
      </c>
      <c r="BS162" s="22">
        <f t="shared" si="169"/>
        <v>8.3412365692053498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1">
        <f t="shared" si="140"/>
        <v>36.245685459195286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67">
        <f t="shared" si="110"/>
        <v>599.90443550809846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311.298</v>
      </c>
      <c r="P163" s="13">
        <f t="shared" si="141"/>
        <v>73.539838278528748</v>
      </c>
      <c r="Q163" s="20">
        <f t="shared" si="162"/>
        <v>670.25923500177089</v>
      </c>
      <c r="R163" s="59">
        <f t="shared" si="109"/>
        <v>963.59256833510426</v>
      </c>
      <c r="S163" s="59">
        <f ca="1">AVERAGE(OFFSET($R$3,0,0,'Données projet'!$E$9+1,1))-AVERAGE(OFFSET($H$3,0,0,'Données projet'!$E$9+1,1))</f>
        <v>342.91408684769942</v>
      </c>
      <c r="T163" s="59">
        <f t="shared" si="142"/>
        <v>209.92380505963234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32.628289772718816</v>
      </c>
      <c r="AA163" s="21">
        <f>EXP(-LN(2)/25)*AA162+(1-EXP(-LN(2)/25))/(LN(2)/25)*Calculateur!V163*Calculateur!X163*VLOOKUP('Données projet'!$B$9,Paramètres!$A$1:$I$89,3,0)*0.475*44/12</f>
        <v>1.2791679695543039</v>
      </c>
      <c r="AB163" s="21">
        <f>EXP(-LN(2)/2)*AB162+(1-EXP(-LN(2)/2))/(LN(2)/2)*V163*Y163*VLOOKUP('Données projet'!$B$9,Paramètres!$A$1:$I$89,3,0)*0.475*44/12</f>
        <v>2.8466703983469001E-7</v>
      </c>
      <c r="AC163" s="22">
        <f t="shared" si="163"/>
        <v>33.907458026940155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432.99999999999989</v>
      </c>
      <c r="AJ163" s="13">
        <f>AI163*VLOOKUP('Données projet'!$B$10,Paramètres!$A$1:$I$89,3,0)*VLOOKUP('Données projet'!$B$10,Paramètres!$A$1:$I$89,5,0)</f>
        <v>290.45639999999992</v>
      </c>
      <c r="AK163" s="13">
        <f t="shared" si="164"/>
        <v>69.172009514864612</v>
      </c>
      <c r="AL163" s="20">
        <f t="shared" si="165"/>
        <v>626.3528132383891</v>
      </c>
      <c r="AM163" s="59">
        <f t="shared" si="113"/>
        <v>919.68614657172247</v>
      </c>
      <c r="AN163" s="59">
        <f ca="1">AVERAGE(OFFSET($AM$3,0,0,'Données projet'!$E$10+1,1))-AVERAGE(OFFSET($H$3,0,0,'Données projet'!$E$10+1,1))</f>
        <v>296.25231821504275</v>
      </c>
      <c r="AO163" s="59">
        <f t="shared" si="144"/>
        <v>316.20936902390275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8.061979400923958</v>
      </c>
      <c r="AV163" s="21">
        <f>EXP(-LN(2)/25)*AV162+(1-EXP(-LN(2)/25))/(LN(2)/25)*Calculateur!AQ163*Calculateur!AS163*VLOOKUP('Données projet'!$B$10,Paramètres!$A$1:$I$89,3,0)*0.475*44/12</f>
        <v>0.30071183665150197</v>
      </c>
      <c r="AW163" s="21">
        <f>EXP(-LN(2)/2)*AW162+(1-EXP(-LN(2)/2))/(LN(2)/2)*AQ163*AT163*VLOOKUP('Données projet'!$B$10,Paramètres!$A$1:$I$89,3,0)*0.475*44/12</f>
        <v>3.2531070880772943E-14</v>
      </c>
      <c r="AX163" s="21">
        <f t="shared" si="166"/>
        <v>8.3626912375754916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318.99999999999994</v>
      </c>
      <c r="BE163" s="13">
        <f>BD163*VLOOKUP('Données projet'!$B$11,Paramètres!$A$1:$I$89,3,0)*VLOOKUP('Données projet'!$B$11,Paramètres!$A$1:$I$89,5,0)</f>
        <v>253.79639999999995</v>
      </c>
      <c r="BF163" s="13">
        <f t="shared" si="167"/>
        <v>61.398168322280704</v>
      </c>
      <c r="BG163" s="20">
        <f t="shared" si="168"/>
        <v>548.9638731613054</v>
      </c>
      <c r="BH163" s="59">
        <f t="shared" si="116"/>
        <v>842.29720649463866</v>
      </c>
      <c r="BI163" s="59">
        <f ca="1">AVERAGE(OFFSET($BH$3,0,0,'Données projet'!$E$11+1,1))-AVERAGE(OFFSET($H$3,0,0,'Données projet'!$E$11+1,1))</f>
        <v>244.50301885429764</v>
      </c>
      <c r="BJ163" s="59">
        <f t="shared" si="146"/>
        <v>248.77995374147798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7.8468310418989482</v>
      </c>
      <c r="BQ163" s="21">
        <f>EXP(-LN(2)/25)*BQ162+(1-EXP(-LN(2)/25))/(LN(2)/25)*Calculateur!BL163*Calculateur!BN163*VLOOKUP('Données projet'!$B$11,Paramètres!$A$1:$I$89,3,0)*0.475*44/12</f>
        <v>0.32822851795406771</v>
      </c>
      <c r="BR163" s="21">
        <f>EXP(-LN(2)/2)*BR162+(1-EXP(-LN(2)/2))/(LN(2)/2)*BL163*BO163*VLOOKUP('Données projet'!$B$11,Paramètres!$A$1:$I$89,3,0)*0.475*44/12</f>
        <v>5.6022972951483384E-13</v>
      </c>
      <c r="BS163" s="22">
        <f t="shared" si="169"/>
        <v>8.175059559853576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1">
        <f t="shared" si="140"/>
        <v>36.445779615258601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67">
        <f t="shared" si="110"/>
        <v>601.77445282990868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311.298</v>
      </c>
      <c r="P164" s="13">
        <f t="shared" si="141"/>
        <v>73.539838278528748</v>
      </c>
      <c r="Q164" s="20">
        <f t="shared" si="162"/>
        <v>670.25923500177089</v>
      </c>
      <c r="R164" s="59">
        <f t="shared" si="109"/>
        <v>963.59256833510426</v>
      </c>
      <c r="S164" s="59">
        <f ca="1">AVERAGE(OFFSET($R$3,0,0,'Données projet'!$E$9+1,1))-AVERAGE(OFFSET($H$3,0,0,'Données projet'!$E$9+1,1))</f>
        <v>342.91408684769942</v>
      </c>
      <c r="T164" s="59">
        <f t="shared" si="142"/>
        <v>209.92380505963234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31.988468911567473</v>
      </c>
      <c r="AA164" s="21">
        <f>EXP(-LN(2)/25)*AA163+(1-EXP(-LN(2)/25))/(LN(2)/25)*Calculateur!V164*Calculateur!X164*VLOOKUP('Données projet'!$B$9,Paramètres!$A$1:$I$89,3,0)*0.475*44/12</f>
        <v>1.2441890541583216</v>
      </c>
      <c r="AB164" s="21">
        <f>EXP(-LN(2)/2)*AB163+(1-EXP(-LN(2)/2))/(LN(2)/2)*V164*Y164*VLOOKUP('Données projet'!$B$9,Paramètres!$A$1:$I$89,3,0)*0.475*44/12</f>
        <v>2.0128999424741036E-7</v>
      </c>
      <c r="AC164" s="22">
        <f t="shared" si="163"/>
        <v>33.232658167015785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432.99999999999989</v>
      </c>
      <c r="AJ164" s="13">
        <f>AI164*VLOOKUP('Données projet'!$B$10,Paramètres!$A$1:$I$89,3,0)*VLOOKUP('Données projet'!$B$10,Paramètres!$A$1:$I$89,5,0)</f>
        <v>290.45639999999992</v>
      </c>
      <c r="AK164" s="13">
        <f t="shared" si="164"/>
        <v>69.172009514864612</v>
      </c>
      <c r="AL164" s="20">
        <f t="shared" si="165"/>
        <v>626.3528132383891</v>
      </c>
      <c r="AM164" s="59">
        <f t="shared" si="113"/>
        <v>919.68614657172247</v>
      </c>
      <c r="AN164" s="59">
        <f ca="1">AVERAGE(OFFSET($AM$3,0,0,'Données projet'!$E$10+1,1))-AVERAGE(OFFSET($H$3,0,0,'Données projet'!$E$10+1,1))</f>
        <v>296.25231821504275</v>
      </c>
      <c r="AO164" s="59">
        <f t="shared" si="144"/>
        <v>316.20936902390275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7.9038889021937289</v>
      </c>
      <c r="AV164" s="21">
        <f>EXP(-LN(2)/25)*AV163+(1-EXP(-LN(2)/25))/(LN(2)/25)*Calculateur!AQ164*Calculateur!AS164*VLOOKUP('Données projet'!$B$10,Paramètres!$A$1:$I$89,3,0)*0.475*44/12</f>
        <v>0.29248885566451843</v>
      </c>
      <c r="AW164" s="21">
        <f>EXP(-LN(2)/2)*AW163+(1-EXP(-LN(2)/2))/(LN(2)/2)*AQ164*AT164*VLOOKUP('Données projet'!$B$10,Paramètres!$A$1:$I$89,3,0)*0.475*44/12</f>
        <v>2.3002940819054781E-14</v>
      </c>
      <c r="AX164" s="21">
        <f t="shared" si="166"/>
        <v>8.1963777578582704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318.99999999999994</v>
      </c>
      <c r="BE164" s="13">
        <f>BD164*VLOOKUP('Données projet'!$B$11,Paramètres!$A$1:$I$89,3,0)*VLOOKUP('Données projet'!$B$11,Paramètres!$A$1:$I$89,5,0)</f>
        <v>253.79639999999995</v>
      </c>
      <c r="BF164" s="13">
        <f t="shared" si="167"/>
        <v>61.398168322280704</v>
      </c>
      <c r="BG164" s="20">
        <f t="shared" si="168"/>
        <v>548.9638731613054</v>
      </c>
      <c r="BH164" s="59">
        <f t="shared" si="116"/>
        <v>842.29720649463866</v>
      </c>
      <c r="BI164" s="59">
        <f ca="1">AVERAGE(OFFSET($BH$3,0,0,'Données projet'!$E$11+1,1))-AVERAGE(OFFSET($H$3,0,0,'Données projet'!$E$11+1,1))</f>
        <v>244.50301885429764</v>
      </c>
      <c r="BJ164" s="59">
        <f t="shared" si="146"/>
        <v>248.77995374147798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7.6929594712616582</v>
      </c>
      <c r="BQ164" s="21">
        <f>EXP(-LN(2)/25)*BQ163+(1-EXP(-LN(2)/25))/(LN(2)/25)*Calculateur!BL164*Calculateur!BN164*VLOOKUP('Données projet'!$B$11,Paramètres!$A$1:$I$89,3,0)*0.475*44/12</f>
        <v>0.31925309186982614</v>
      </c>
      <c r="BR164" s="21">
        <f>EXP(-LN(2)/2)*BR163+(1-EXP(-LN(2)/2))/(LN(2)/2)*BL164*BO164*VLOOKUP('Données projet'!$B$11,Paramètres!$A$1:$I$89,3,0)*0.475*44/12</f>
        <v>3.9614224076224433E-13</v>
      </c>
      <c r="BS164" s="22">
        <f t="shared" si="169"/>
        <v>8.0122125631318806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1">
        <f t="shared" si="140"/>
        <v>36.645729158274158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67">
        <f t="shared" si="110"/>
        <v>603.64421828399406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311.298</v>
      </c>
      <c r="P165" s="13">
        <f t="shared" si="141"/>
        <v>73.539838278528748</v>
      </c>
      <c r="Q165" s="20">
        <f t="shared" si="162"/>
        <v>670.25923500177089</v>
      </c>
      <c r="R165" s="59">
        <f t="shared" si="109"/>
        <v>963.59256833510426</v>
      </c>
      <c r="S165" s="59">
        <f ca="1">AVERAGE(OFFSET($R$3,0,0,'Données projet'!$E$9+1,1))-AVERAGE(OFFSET($H$3,0,0,'Données projet'!$E$9+1,1))</f>
        <v>342.91408684769942</v>
      </c>
      <c r="T165" s="59">
        <f t="shared" si="142"/>
        <v>209.92380505963234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31.361194547251117</v>
      </c>
      <c r="AA165" s="21">
        <f>EXP(-LN(2)/25)*AA164+(1-EXP(-LN(2)/25))/(LN(2)/25)*Calculateur!V165*Calculateur!X165*VLOOKUP('Données projet'!$B$9,Paramètres!$A$1:$I$89,3,0)*0.475*44/12</f>
        <v>1.2101666390433035</v>
      </c>
      <c r="AB165" s="21">
        <f>EXP(-LN(2)/2)*AB164+(1-EXP(-LN(2)/2))/(LN(2)/2)*V165*Y165*VLOOKUP('Données projet'!$B$9,Paramètres!$A$1:$I$89,3,0)*0.475*44/12</f>
        <v>1.42333519917345E-7</v>
      </c>
      <c r="AC165" s="22">
        <f t="shared" si="163"/>
        <v>32.571361328627937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432.99999999999989</v>
      </c>
      <c r="AJ165" s="13">
        <f>AI165*VLOOKUP('Données projet'!$B$10,Paramètres!$A$1:$I$89,3,0)*VLOOKUP('Données projet'!$B$10,Paramètres!$A$1:$I$89,5,0)</f>
        <v>290.45639999999992</v>
      </c>
      <c r="AK165" s="13">
        <f t="shared" si="164"/>
        <v>69.172009514864612</v>
      </c>
      <c r="AL165" s="20">
        <f t="shared" si="165"/>
        <v>626.3528132383891</v>
      </c>
      <c r="AM165" s="59">
        <f t="shared" si="113"/>
        <v>919.68614657172247</v>
      </c>
      <c r="AN165" s="59">
        <f ca="1">AVERAGE(OFFSET($AM$3,0,0,'Données projet'!$E$10+1,1))-AVERAGE(OFFSET($H$3,0,0,'Données projet'!$E$10+1,1))</f>
        <v>296.25231821504275</v>
      </c>
      <c r="AO165" s="59">
        <f t="shared" si="144"/>
        <v>316.20936902390275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7.748898461717916</v>
      </c>
      <c r="AV165" s="21">
        <f>EXP(-LN(2)/25)*AV164+(1-EXP(-LN(2)/25))/(LN(2)/25)*Calculateur!AQ165*Calculateur!AS165*VLOOKUP('Données projet'!$B$10,Paramètres!$A$1:$I$89,3,0)*0.475*44/12</f>
        <v>0.28449073252505175</v>
      </c>
      <c r="AW165" s="21">
        <f>EXP(-LN(2)/2)*AW164+(1-EXP(-LN(2)/2))/(LN(2)/2)*AQ165*AT165*VLOOKUP('Données projet'!$B$10,Paramètres!$A$1:$I$89,3,0)*0.475*44/12</f>
        <v>1.6265535440386471E-14</v>
      </c>
      <c r="AX165" s="21">
        <f t="shared" si="166"/>
        <v>8.033389194242984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318.99999999999994</v>
      </c>
      <c r="BE165" s="13">
        <f>BD165*VLOOKUP('Données projet'!$B$11,Paramètres!$A$1:$I$89,3,0)*VLOOKUP('Données projet'!$B$11,Paramètres!$A$1:$I$89,5,0)</f>
        <v>253.79639999999995</v>
      </c>
      <c r="BF165" s="13">
        <f t="shared" si="167"/>
        <v>61.398168322280704</v>
      </c>
      <c r="BG165" s="20">
        <f t="shared" si="168"/>
        <v>548.9638731613054</v>
      </c>
      <c r="BH165" s="59">
        <f t="shared" si="116"/>
        <v>842.29720649463866</v>
      </c>
      <c r="BI165" s="59">
        <f ca="1">AVERAGE(OFFSET($BH$3,0,0,'Données projet'!$E$11+1,1))-AVERAGE(OFFSET($H$3,0,0,'Données projet'!$E$11+1,1))</f>
        <v>244.50301885429764</v>
      </c>
      <c r="BJ165" s="59">
        <f t="shared" si="146"/>
        <v>248.77995374147798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7.5421052282721739</v>
      </c>
      <c r="BQ165" s="21">
        <f>EXP(-LN(2)/25)*BQ164+(1-EXP(-LN(2)/25))/(LN(2)/25)*Calculateur!BL165*Calculateur!BN165*VLOOKUP('Données projet'!$B$11,Paramètres!$A$1:$I$89,3,0)*0.475*44/12</f>
        <v>0.3105230992838553</v>
      </c>
      <c r="BR165" s="21">
        <f>EXP(-LN(2)/2)*BR164+(1-EXP(-LN(2)/2))/(LN(2)/2)*BL165*BO165*VLOOKUP('Données projet'!$B$11,Paramètres!$A$1:$I$89,3,0)*0.475*44/12</f>
        <v>2.8011486475741692E-13</v>
      </c>
      <c r="BS165" s="22">
        <f t="shared" si="169"/>
        <v>7.8526283275563094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1">
        <f t="shared" si="140"/>
        <v>36.845535084476985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67">
        <f t="shared" si="110"/>
        <v>605.51373360546404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311.298</v>
      </c>
      <c r="P166" s="13">
        <f t="shared" si="141"/>
        <v>73.539838278528748</v>
      </c>
      <c r="Q166" s="20">
        <f t="shared" si="162"/>
        <v>670.25923500177089</v>
      </c>
      <c r="R166" s="59">
        <f t="shared" si="109"/>
        <v>963.59256833510426</v>
      </c>
      <c r="S166" s="59">
        <f ca="1">AVERAGE(OFFSET($R$3,0,0,'Données projet'!$E$9+1,1))-AVERAGE(OFFSET($H$3,0,0,'Données projet'!$E$9+1,1))</f>
        <v>342.91408684769942</v>
      </c>
      <c r="T166" s="59">
        <f t="shared" si="142"/>
        <v>209.92380505963234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30.746220650619421</v>
      </c>
      <c r="AA166" s="21">
        <f>EXP(-LN(2)/25)*AA165+(1-EXP(-LN(2)/25))/(LN(2)/25)*Calculateur!V166*Calculateur!X166*VLOOKUP('Données projet'!$B$9,Paramètres!$A$1:$I$89,3,0)*0.475*44/12</f>
        <v>1.1770745686587667</v>
      </c>
      <c r="AB166" s="21">
        <f>EXP(-LN(2)/2)*AB165+(1-EXP(-LN(2)/2))/(LN(2)/2)*V166*Y166*VLOOKUP('Données projet'!$B$9,Paramètres!$A$1:$I$89,3,0)*0.475*44/12</f>
        <v>1.0064499712370518E-7</v>
      </c>
      <c r="AC166" s="22">
        <f t="shared" si="163"/>
        <v>31.923295319923184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432.99999999999989</v>
      </c>
      <c r="AJ166" s="13">
        <f>AI166*VLOOKUP('Données projet'!$B$10,Paramètres!$A$1:$I$89,3,0)*VLOOKUP('Données projet'!$B$10,Paramètres!$A$1:$I$89,5,0)</f>
        <v>290.45639999999992</v>
      </c>
      <c r="AK166" s="13">
        <f t="shared" si="164"/>
        <v>69.172009514864612</v>
      </c>
      <c r="AL166" s="20">
        <f t="shared" si="165"/>
        <v>626.3528132383891</v>
      </c>
      <c r="AM166" s="59">
        <f t="shared" si="113"/>
        <v>919.68614657172247</v>
      </c>
      <c r="AN166" s="59">
        <f ca="1">AVERAGE(OFFSET($AM$3,0,0,'Données projet'!$E$10+1,1))-AVERAGE(OFFSET($H$3,0,0,'Données projet'!$E$10+1,1))</f>
        <v>296.25231821504275</v>
      </c>
      <c r="AO166" s="59">
        <f t="shared" si="144"/>
        <v>316.20936902390275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7.5969472892449996</v>
      </c>
      <c r="AV166" s="21">
        <f>EXP(-LN(2)/25)*AV165+(1-EXP(-LN(2)/25))/(LN(2)/25)*Calculateur!AQ166*Calculateur!AS166*VLOOKUP('Données projet'!$B$10,Paramètres!$A$1:$I$89,3,0)*0.475*44/12</f>
        <v>0.27671131848343677</v>
      </c>
      <c r="AW166" s="21">
        <f>EXP(-LN(2)/2)*AW165+(1-EXP(-LN(2)/2))/(LN(2)/2)*AQ166*AT166*VLOOKUP('Données projet'!$B$10,Paramètres!$A$1:$I$89,3,0)*0.475*44/12</f>
        <v>1.1501470409527391E-14</v>
      </c>
      <c r="AX166" s="21">
        <f t="shared" si="166"/>
        <v>7.8736586077284478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318.99999999999994</v>
      </c>
      <c r="BE166" s="13">
        <f>BD166*VLOOKUP('Données projet'!$B$11,Paramètres!$A$1:$I$89,3,0)*VLOOKUP('Données projet'!$B$11,Paramètres!$A$1:$I$89,5,0)</f>
        <v>253.79639999999995</v>
      </c>
      <c r="BF166" s="13">
        <f t="shared" si="167"/>
        <v>61.398168322280704</v>
      </c>
      <c r="BG166" s="20">
        <f t="shared" si="168"/>
        <v>548.9638731613054</v>
      </c>
      <c r="BH166" s="59">
        <f t="shared" si="116"/>
        <v>842.29720649463866</v>
      </c>
      <c r="BI166" s="59">
        <f ca="1">AVERAGE(OFFSET($BH$3,0,0,'Données projet'!$E$11+1,1))-AVERAGE(OFFSET($H$3,0,0,'Données projet'!$E$11+1,1))</f>
        <v>244.50301885429764</v>
      </c>
      <c r="BJ166" s="59">
        <f t="shared" si="146"/>
        <v>248.77995374147798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7.3942091449757106</v>
      </c>
      <c r="BQ166" s="21">
        <f>EXP(-LN(2)/25)*BQ165+(1-EXP(-LN(2)/25))/(LN(2)/25)*Calculateur!BL166*Calculateur!BN166*VLOOKUP('Données projet'!$B$11,Paramètres!$A$1:$I$89,3,0)*0.475*44/12</f>
        <v>0.30203182880423818</v>
      </c>
      <c r="BR166" s="21">
        <f>EXP(-LN(2)/2)*BR165+(1-EXP(-LN(2)/2))/(LN(2)/2)*BL166*BO166*VLOOKUP('Données projet'!$B$11,Paramètres!$A$1:$I$89,3,0)*0.475*44/12</f>
        <v>1.9807112038112216E-13</v>
      </c>
      <c r="BS166" s="22">
        <f t="shared" si="169"/>
        <v>7.6962409737801467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1">
        <f t="shared" si="140"/>
        <v>37.045198377171303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67">
        <f t="shared" si="110"/>
        <v>607.38300050690668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311.298</v>
      </c>
      <c r="P167" s="13">
        <f t="shared" si="141"/>
        <v>73.539838278528748</v>
      </c>
      <c r="Q167" s="20">
        <f t="shared" si="162"/>
        <v>670.25923500177089</v>
      </c>
      <c r="R167" s="59">
        <f t="shared" si="109"/>
        <v>963.59256833510426</v>
      </c>
      <c r="S167" s="59">
        <f ca="1">AVERAGE(OFFSET($R$3,0,0,'Données projet'!$E$9+1,1))-AVERAGE(OFFSET($H$3,0,0,'Données projet'!$E$9+1,1))</f>
        <v>342.91408684769942</v>
      </c>
      <c r="T167" s="59">
        <f t="shared" si="142"/>
        <v>209.92380505963234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30.143306017003631</v>
      </c>
      <c r="AA167" s="21">
        <f>EXP(-LN(2)/25)*AA166+(1-EXP(-LN(2)/25))/(LN(2)/25)*Calculateur!V167*Calculateur!X167*VLOOKUP('Données projet'!$B$9,Paramètres!$A$1:$I$89,3,0)*0.475*44/12</f>
        <v>1.1448874026791314</v>
      </c>
      <c r="AB167" s="21">
        <f>EXP(-LN(2)/2)*AB166+(1-EXP(-LN(2)/2))/(LN(2)/2)*V167*Y167*VLOOKUP('Données projet'!$B$9,Paramètres!$A$1:$I$89,3,0)*0.475*44/12</f>
        <v>7.1166759958672502E-8</v>
      </c>
      <c r="AC167" s="22">
        <f t="shared" si="163"/>
        <v>31.288193490849523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432.99999999999989</v>
      </c>
      <c r="AJ167" s="13">
        <f>AI167*VLOOKUP('Données projet'!$B$10,Paramètres!$A$1:$I$89,3,0)*VLOOKUP('Données projet'!$B$10,Paramètres!$A$1:$I$89,5,0)</f>
        <v>290.45639999999992</v>
      </c>
      <c r="AK167" s="13">
        <f t="shared" si="164"/>
        <v>69.172009514864612</v>
      </c>
      <c r="AL167" s="20">
        <f t="shared" si="165"/>
        <v>626.3528132383891</v>
      </c>
      <c r="AM167" s="59">
        <f t="shared" si="113"/>
        <v>919.68614657172247</v>
      </c>
      <c r="AN167" s="59">
        <f ca="1">AVERAGE(OFFSET($AM$3,0,0,'Données projet'!$E$10+1,1))-AVERAGE(OFFSET($H$3,0,0,'Données projet'!$E$10+1,1))</f>
        <v>296.25231821504275</v>
      </c>
      <c r="AO167" s="59">
        <f t="shared" si="144"/>
        <v>316.20936902390275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7.4479757865832141</v>
      </c>
      <c r="AV167" s="21">
        <f>EXP(-LN(2)/25)*AV166+(1-EXP(-LN(2)/25))/(LN(2)/25)*Calculateur!AQ167*Calculateur!AS167*VLOOKUP('Données projet'!$B$10,Paramètres!$A$1:$I$89,3,0)*0.475*44/12</f>
        <v>0.26914463292789137</v>
      </c>
      <c r="AW167" s="21">
        <f>EXP(-LN(2)/2)*AW166+(1-EXP(-LN(2)/2))/(LN(2)/2)*AQ167*AT167*VLOOKUP('Données projet'!$B$10,Paramètres!$A$1:$I$89,3,0)*0.475*44/12</f>
        <v>8.1327677201932357E-15</v>
      </c>
      <c r="AX167" s="21">
        <f t="shared" si="166"/>
        <v>7.7171204195111134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318.99999999999994</v>
      </c>
      <c r="BE167" s="13">
        <f>BD167*VLOOKUP('Données projet'!$B$11,Paramètres!$A$1:$I$89,3,0)*VLOOKUP('Données projet'!$B$11,Paramètres!$A$1:$I$89,5,0)</f>
        <v>253.79639999999995</v>
      </c>
      <c r="BF167" s="13">
        <f t="shared" si="167"/>
        <v>61.398168322280704</v>
      </c>
      <c r="BG167" s="20">
        <f t="shared" si="168"/>
        <v>548.9638731613054</v>
      </c>
      <c r="BH167" s="59">
        <f t="shared" si="116"/>
        <v>842.29720649463866</v>
      </c>
      <c r="BI167" s="59">
        <f ca="1">AVERAGE(OFFSET($BH$3,0,0,'Données projet'!$E$11+1,1))-AVERAGE(OFFSET($H$3,0,0,'Données projet'!$E$11+1,1))</f>
        <v>244.50301885429764</v>
      </c>
      <c r="BJ167" s="59">
        <f t="shared" si="146"/>
        <v>248.77995374147798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7.2492132136649881</v>
      </c>
      <c r="BQ167" s="21">
        <f>EXP(-LN(2)/25)*BQ166+(1-EXP(-LN(2)/25))/(LN(2)/25)*Calculateur!BL167*Calculateur!BN167*VLOOKUP('Données projet'!$B$11,Paramètres!$A$1:$I$89,3,0)*0.475*44/12</f>
        <v>0.29377275256242269</v>
      </c>
      <c r="BR167" s="21">
        <f>EXP(-LN(2)/2)*BR166+(1-EXP(-LN(2)/2))/(LN(2)/2)*BL167*BO167*VLOOKUP('Données projet'!$B$11,Paramètres!$A$1:$I$89,3,0)*0.475*44/12</f>
        <v>1.4005743237870846E-13</v>
      </c>
      <c r="BS167" s="22">
        <f t="shared" si="169"/>
        <v>7.5429859662275511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1">
        <f t="shared" si="140"/>
        <v>37.244720006976252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67">
        <f t="shared" si="110"/>
        <v>609.25202067881696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311.298</v>
      </c>
      <c r="P168" s="13">
        <f t="shared" si="141"/>
        <v>73.539838278528748</v>
      </c>
      <c r="Q168" s="20">
        <f t="shared" si="162"/>
        <v>670.25923500177089</v>
      </c>
      <c r="R168" s="59">
        <f t="shared" si="109"/>
        <v>963.59256833510426</v>
      </c>
      <c r="S168" s="59">
        <f ca="1">AVERAGE(OFFSET($R$3,0,0,'Données projet'!$E$9+1,1))-AVERAGE(OFFSET($H$3,0,0,'Données projet'!$E$9+1,1))</f>
        <v>342.91408684769942</v>
      </c>
      <c r="T168" s="59">
        <f t="shared" si="142"/>
        <v>209.92380505963234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29.552214171611432</v>
      </c>
      <c r="AA168" s="21">
        <f>EXP(-LN(2)/25)*AA167+(1-EXP(-LN(2)/25))/(LN(2)/25)*Calculateur!V168*Calculateur!X168*VLOOKUP('Données projet'!$B$9,Paramètres!$A$1:$I$89,3,0)*0.475*44/12</f>
        <v>1.1135803964458586</v>
      </c>
      <c r="AB168" s="21">
        <f>EXP(-LN(2)/2)*AB167+(1-EXP(-LN(2)/2))/(LN(2)/2)*V168*Y168*VLOOKUP('Données projet'!$B$9,Paramètres!$A$1:$I$89,3,0)*0.475*44/12</f>
        <v>5.032249856185259E-8</v>
      </c>
      <c r="AC168" s="22">
        <f t="shared" si="163"/>
        <v>30.665794618379788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432.99999999999989</v>
      </c>
      <c r="AJ168" s="13">
        <f>AI168*VLOOKUP('Données projet'!$B$10,Paramètres!$A$1:$I$89,3,0)*VLOOKUP('Données projet'!$B$10,Paramètres!$A$1:$I$89,5,0)</f>
        <v>290.45639999999992</v>
      </c>
      <c r="AK168" s="13">
        <f t="shared" si="164"/>
        <v>69.172009514864612</v>
      </c>
      <c r="AL168" s="20">
        <f t="shared" si="165"/>
        <v>626.3528132383891</v>
      </c>
      <c r="AM168" s="59">
        <f t="shared" si="113"/>
        <v>919.68614657172247</v>
      </c>
      <c r="AN168" s="59">
        <f ca="1">AVERAGE(OFFSET($AM$3,0,0,'Données projet'!$E$10+1,1))-AVERAGE(OFFSET($H$3,0,0,'Données projet'!$E$10+1,1))</f>
        <v>296.25231821504275</v>
      </c>
      <c r="AO168" s="59">
        <f t="shared" si="144"/>
        <v>316.20936902390275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7.3019255242249814</v>
      </c>
      <c r="AV168" s="21">
        <f>EXP(-LN(2)/25)*AV167+(1-EXP(-LN(2)/25))/(LN(2)/25)*Calculateur!AQ168*Calculateur!AS168*VLOOKUP('Données projet'!$B$10,Paramètres!$A$1:$I$89,3,0)*0.475*44/12</f>
        <v>0.2617848587867771</v>
      </c>
      <c r="AW168" s="21">
        <f>EXP(-LN(2)/2)*AW167+(1-EXP(-LN(2)/2))/(LN(2)/2)*AQ168*AT168*VLOOKUP('Données projet'!$B$10,Paramètres!$A$1:$I$89,3,0)*0.475*44/12</f>
        <v>5.7507352047636953E-15</v>
      </c>
      <c r="AX168" s="21">
        <f t="shared" si="166"/>
        <v>7.563710383011764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318.99999999999994</v>
      </c>
      <c r="BE168" s="13">
        <f>BD168*VLOOKUP('Données projet'!$B$11,Paramètres!$A$1:$I$89,3,0)*VLOOKUP('Données projet'!$B$11,Paramètres!$A$1:$I$89,5,0)</f>
        <v>253.79639999999995</v>
      </c>
      <c r="BF168" s="13">
        <f t="shared" si="167"/>
        <v>61.398168322280704</v>
      </c>
      <c r="BG168" s="20">
        <f t="shared" si="168"/>
        <v>548.9638731613054</v>
      </c>
      <c r="BH168" s="59">
        <f t="shared" si="116"/>
        <v>842.29720649463866</v>
      </c>
      <c r="BI168" s="59">
        <f ca="1">AVERAGE(OFFSET($BH$3,0,0,'Données projet'!$E$11+1,1))-AVERAGE(OFFSET($H$3,0,0,'Données projet'!$E$11+1,1))</f>
        <v>244.50301885429764</v>
      </c>
      <c r="BJ168" s="59">
        <f t="shared" si="146"/>
        <v>248.77995374147798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7.1070605641284832</v>
      </c>
      <c r="BQ168" s="21">
        <f>EXP(-LN(2)/25)*BQ167+(1-EXP(-LN(2)/25))/(LN(2)/25)*Calculateur!BL168*Calculateur!BN168*VLOOKUP('Données projet'!$B$11,Paramètres!$A$1:$I$89,3,0)*0.475*44/12</f>
        <v>0.28573952119476559</v>
      </c>
      <c r="BR168" s="21">
        <f>EXP(-LN(2)/2)*BR167+(1-EXP(-LN(2)/2))/(LN(2)/2)*BL168*BO168*VLOOKUP('Données projet'!$B$11,Paramètres!$A$1:$I$89,3,0)*0.475*44/12</f>
        <v>9.9035560190561082E-14</v>
      </c>
      <c r="BS168" s="22">
        <f t="shared" si="169"/>
        <v>7.3928000853233486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1">
        <f t="shared" si="140"/>
        <v>37.444100932065233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67">
        <f t="shared" si="110"/>
        <v>611.12079579001363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311.298</v>
      </c>
      <c r="P169" s="13">
        <f t="shared" si="141"/>
        <v>73.539838278528748</v>
      </c>
      <c r="Q169" s="20">
        <f t="shared" si="162"/>
        <v>670.25923500177089</v>
      </c>
      <c r="R169" s="59">
        <f t="shared" si="109"/>
        <v>963.59256833510426</v>
      </c>
      <c r="S169" s="59">
        <f ca="1">AVERAGE(OFFSET($R$3,0,0,'Données projet'!$E$9+1,1))-AVERAGE(OFFSET($H$3,0,0,'Données projet'!$E$9+1,1))</f>
        <v>342.91408684769942</v>
      </c>
      <c r="T169" s="59">
        <f t="shared" si="142"/>
        <v>209.92380505963234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28.972713276776947</v>
      </c>
      <c r="AA169" s="21">
        <f>EXP(-LN(2)/25)*AA168+(1-EXP(-LN(2)/25))/(LN(2)/25)*Calculateur!V169*Calculateur!X169*VLOOKUP('Données projet'!$B$9,Paramètres!$A$1:$I$89,3,0)*0.475*44/12</f>
        <v>1.0831294819443986</v>
      </c>
      <c r="AB169" s="21">
        <f>EXP(-LN(2)/2)*AB168+(1-EXP(-LN(2)/2))/(LN(2)/2)*V169*Y169*VLOOKUP('Données projet'!$B$9,Paramètres!$A$1:$I$89,3,0)*0.475*44/12</f>
        <v>3.5583379979336251E-8</v>
      </c>
      <c r="AC169" s="22">
        <f t="shared" si="163"/>
        <v>30.055842794304727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432.99999999999989</v>
      </c>
      <c r="AJ169" s="13">
        <f>AI169*VLOOKUP('Données projet'!$B$10,Paramètres!$A$1:$I$89,3,0)*VLOOKUP('Données projet'!$B$10,Paramètres!$A$1:$I$89,5,0)</f>
        <v>290.45639999999992</v>
      </c>
      <c r="AK169" s="13">
        <f t="shared" si="164"/>
        <v>69.172009514864612</v>
      </c>
      <c r="AL169" s="20">
        <f t="shared" si="165"/>
        <v>626.3528132383891</v>
      </c>
      <c r="AM169" s="59">
        <f t="shared" si="113"/>
        <v>919.68614657172247</v>
      </c>
      <c r="AN169" s="59">
        <f ca="1">AVERAGE(OFFSET($AM$3,0,0,'Données projet'!$E$10+1,1))-AVERAGE(OFFSET($H$3,0,0,'Données projet'!$E$10+1,1))</f>
        <v>296.25231821504275</v>
      </c>
      <c r="AO169" s="59">
        <f t="shared" si="144"/>
        <v>316.20936902390275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7.1587392184297292</v>
      </c>
      <c r="AV169" s="21">
        <f>EXP(-LN(2)/25)*AV168+(1-EXP(-LN(2)/25))/(LN(2)/25)*Calculateur!AQ169*Calculateur!AS169*VLOOKUP('Données projet'!$B$10,Paramètres!$A$1:$I$89,3,0)*0.475*44/12</f>
        <v>0.25462633805658524</v>
      </c>
      <c r="AW169" s="21">
        <f>EXP(-LN(2)/2)*AW168+(1-EXP(-LN(2)/2))/(LN(2)/2)*AQ169*AT169*VLOOKUP('Données projet'!$B$10,Paramètres!$A$1:$I$89,3,0)*0.475*44/12</f>
        <v>4.0663838600966178E-15</v>
      </c>
      <c r="AX169" s="21">
        <f t="shared" si="166"/>
        <v>7.413365556486319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318.99999999999994</v>
      </c>
      <c r="BE169" s="13">
        <f>BD169*VLOOKUP('Données projet'!$B$11,Paramètres!$A$1:$I$89,3,0)*VLOOKUP('Données projet'!$B$11,Paramètres!$A$1:$I$89,5,0)</f>
        <v>253.79639999999995</v>
      </c>
      <c r="BF169" s="13">
        <f t="shared" si="167"/>
        <v>61.398168322280704</v>
      </c>
      <c r="BG169" s="20">
        <f t="shared" si="168"/>
        <v>548.9638731613054</v>
      </c>
      <c r="BH169" s="59">
        <f t="shared" si="116"/>
        <v>842.29720649463866</v>
      </c>
      <c r="BI169" s="59">
        <f ca="1">AVERAGE(OFFSET($BH$3,0,0,'Données projet'!$E$11+1,1))-AVERAGE(OFFSET($H$3,0,0,'Données projet'!$E$11+1,1))</f>
        <v>244.50301885429764</v>
      </c>
      <c r="BJ169" s="59">
        <f t="shared" si="146"/>
        <v>248.77995374147798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6.9676954413448344</v>
      </c>
      <c r="BQ169" s="21">
        <f>EXP(-LN(2)/25)*BQ168+(1-EXP(-LN(2)/25))/(LN(2)/25)*Calculateur!BL169*Calculateur!BN169*VLOOKUP('Données projet'!$B$11,Paramètres!$A$1:$I$89,3,0)*0.475*44/12</f>
        <v>0.2779259589613064</v>
      </c>
      <c r="BR169" s="21">
        <f>EXP(-LN(2)/2)*BR168+(1-EXP(-LN(2)/2))/(LN(2)/2)*BL169*BO169*VLOOKUP('Données projet'!$B$11,Paramètres!$A$1:$I$89,3,0)*0.475*44/12</f>
        <v>7.0028716189354231E-14</v>
      </c>
      <c r="BS169" s="22">
        <f t="shared" si="169"/>
        <v>7.2456214003062112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1">
        <f t="shared" si="140"/>
        <v>37.643342098399685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67">
        <f t="shared" si="110"/>
        <v>612.98932748804623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311.298</v>
      </c>
      <c r="P170" s="13">
        <f t="shared" si="141"/>
        <v>73.539838278528748</v>
      </c>
      <c r="Q170" s="20">
        <f t="shared" si="162"/>
        <v>670.25923500177089</v>
      </c>
      <c r="R170" s="59">
        <f t="shared" si="109"/>
        <v>963.59256833510426</v>
      </c>
      <c r="S170" s="59">
        <f ca="1">AVERAGE(OFFSET($R$3,0,0,'Données projet'!$E$9+1,1))-AVERAGE(OFFSET($H$3,0,0,'Données projet'!$E$9+1,1))</f>
        <v>342.91408684769942</v>
      </c>
      <c r="T170" s="59">
        <f t="shared" si="142"/>
        <v>209.92380505963234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28.404576041029522</v>
      </c>
      <c r="AA170" s="21">
        <f>EXP(-LN(2)/25)*AA169+(1-EXP(-LN(2)/25))/(LN(2)/25)*Calculateur!V170*Calculateur!X170*VLOOKUP('Données projet'!$B$9,Paramètres!$A$1:$I$89,3,0)*0.475*44/12</f>
        <v>1.053511249301325</v>
      </c>
      <c r="AB170" s="21">
        <f>EXP(-LN(2)/2)*AB169+(1-EXP(-LN(2)/2))/(LN(2)/2)*V170*Y170*VLOOKUP('Données projet'!$B$9,Paramètres!$A$1:$I$89,3,0)*0.475*44/12</f>
        <v>2.5161249280926295E-8</v>
      </c>
      <c r="AC170" s="22">
        <f t="shared" si="163"/>
        <v>29.458087315492097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432.99999999999989</v>
      </c>
      <c r="AJ170" s="13">
        <f>AI170*VLOOKUP('Données projet'!$B$10,Paramètres!$A$1:$I$89,3,0)*VLOOKUP('Données projet'!$B$10,Paramètres!$A$1:$I$89,5,0)</f>
        <v>290.45639999999992</v>
      </c>
      <c r="AK170" s="13">
        <f t="shared" si="164"/>
        <v>69.172009514864612</v>
      </c>
      <c r="AL170" s="20">
        <f t="shared" si="165"/>
        <v>626.3528132383891</v>
      </c>
      <c r="AM170" s="59">
        <f t="shared" si="113"/>
        <v>919.68614657172247</v>
      </c>
      <c r="AN170" s="59">
        <f ca="1">AVERAGE(OFFSET($AM$3,0,0,'Données projet'!$E$10+1,1))-AVERAGE(OFFSET($H$3,0,0,'Données projet'!$E$10+1,1))</f>
        <v>296.25231821504275</v>
      </c>
      <c r="AO170" s="59">
        <f t="shared" si="144"/>
        <v>316.20936902390275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7.0183607087560995</v>
      </c>
      <c r="AV170" s="21">
        <f>EXP(-LN(2)/25)*AV169+(1-EXP(-LN(2)/25))/(LN(2)/25)*Calculateur!AQ170*Calculateur!AS170*VLOOKUP('Données projet'!$B$10,Paramètres!$A$1:$I$89,3,0)*0.475*44/12</f>
        <v>0.24766356745221077</v>
      </c>
      <c r="AW170" s="21">
        <f>EXP(-LN(2)/2)*AW169+(1-EXP(-LN(2)/2))/(LN(2)/2)*AQ170*AT170*VLOOKUP('Données projet'!$B$10,Paramètres!$A$1:$I$89,3,0)*0.475*44/12</f>
        <v>2.8753676023818476E-15</v>
      </c>
      <c r="AX170" s="21">
        <f t="shared" si="166"/>
        <v>7.2660242762083129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318.99999999999994</v>
      </c>
      <c r="BE170" s="13">
        <f>BD170*VLOOKUP('Données projet'!$B$11,Paramètres!$A$1:$I$89,3,0)*VLOOKUP('Données projet'!$B$11,Paramètres!$A$1:$I$89,5,0)</f>
        <v>253.79639999999995</v>
      </c>
      <c r="BF170" s="13">
        <f t="shared" si="167"/>
        <v>61.398168322280704</v>
      </c>
      <c r="BG170" s="20">
        <f t="shared" si="168"/>
        <v>548.9638731613054</v>
      </c>
      <c r="BH170" s="59">
        <f t="shared" si="116"/>
        <v>842.29720649463866</v>
      </c>
      <c r="BI170" s="59">
        <f ca="1">AVERAGE(OFFSET($BH$3,0,0,'Données projet'!$E$11+1,1))-AVERAGE(OFFSET($H$3,0,0,'Données projet'!$E$11+1,1))</f>
        <v>244.50301885429764</v>
      </c>
      <c r="BJ170" s="59">
        <f t="shared" si="146"/>
        <v>248.77995374147798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6.8310631836146412</v>
      </c>
      <c r="BQ170" s="21">
        <f>EXP(-LN(2)/25)*BQ169+(1-EXP(-LN(2)/25))/(LN(2)/25)*Calculateur!BL170*Calculateur!BN170*VLOOKUP('Données projet'!$B$11,Paramètres!$A$1:$I$89,3,0)*0.475*44/12</f>
        <v>0.27032605899801848</v>
      </c>
      <c r="BR170" s="21">
        <f>EXP(-LN(2)/2)*BR169+(1-EXP(-LN(2)/2))/(LN(2)/2)*BL170*BO170*VLOOKUP('Données projet'!$B$11,Paramètres!$A$1:$I$89,3,0)*0.475*44/12</f>
        <v>4.9517780095280541E-14</v>
      </c>
      <c r="BS170" s="22">
        <f t="shared" si="169"/>
        <v>7.1013892426127097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1">
        <f t="shared" si="140"/>
        <v>37.842444439956665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67">
        <f t="shared" si="110"/>
        <v>614.85761739959128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311.298</v>
      </c>
      <c r="P171" s="13">
        <f t="shared" si="141"/>
        <v>73.539838278528748</v>
      </c>
      <c r="Q171" s="20">
        <f t="shared" si="162"/>
        <v>670.25923500177089</v>
      </c>
      <c r="R171" s="59">
        <f t="shared" si="109"/>
        <v>963.59256833510426</v>
      </c>
      <c r="S171" s="59">
        <f ca="1">AVERAGE(OFFSET($R$3,0,0,'Données projet'!$E$9+1,1))-AVERAGE(OFFSET($H$3,0,0,'Données projet'!$E$9+1,1))</f>
        <v>342.91408684769942</v>
      </c>
      <c r="T171" s="59">
        <f t="shared" si="142"/>
        <v>209.92380505963234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27.847579629945606</v>
      </c>
      <c r="AA171" s="21">
        <f>EXP(-LN(2)/25)*AA170+(1-EXP(-LN(2)/25))/(LN(2)/25)*Calculateur!V171*Calculateur!X171*VLOOKUP('Données projet'!$B$9,Paramètres!$A$1:$I$89,3,0)*0.475*44/12</f>
        <v>1.0247029287874314</v>
      </c>
      <c r="AB171" s="21">
        <f>EXP(-LN(2)/2)*AB170+(1-EXP(-LN(2)/2))/(LN(2)/2)*V171*Y171*VLOOKUP('Données projet'!$B$9,Paramètres!$A$1:$I$89,3,0)*0.475*44/12</f>
        <v>1.7791689989668126E-8</v>
      </c>
      <c r="AC171" s="22">
        <f t="shared" si="163"/>
        <v>28.872282576524729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432.99999999999989</v>
      </c>
      <c r="AJ171" s="13">
        <f>AI171*VLOOKUP('Données projet'!$B$10,Paramètres!$A$1:$I$89,3,0)*VLOOKUP('Données projet'!$B$10,Paramètres!$A$1:$I$89,5,0)</f>
        <v>290.45639999999992</v>
      </c>
      <c r="AK171" s="13">
        <f t="shared" si="164"/>
        <v>69.172009514864612</v>
      </c>
      <c r="AL171" s="20">
        <f t="shared" si="165"/>
        <v>626.3528132383891</v>
      </c>
      <c r="AM171" s="59">
        <f t="shared" si="113"/>
        <v>919.68614657172247</v>
      </c>
      <c r="AN171" s="59">
        <f ca="1">AVERAGE(OFFSET($AM$3,0,0,'Données projet'!$E$10+1,1))-AVERAGE(OFFSET($H$3,0,0,'Données projet'!$E$10+1,1))</f>
        <v>296.25231821504275</v>
      </c>
      <c r="AO171" s="59">
        <f t="shared" si="144"/>
        <v>316.20936902390275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6.8807349360347327</v>
      </c>
      <c r="AV171" s="21">
        <f>EXP(-LN(2)/25)*AV170+(1-EXP(-LN(2)/25))/(LN(2)/25)*Calculateur!AQ171*Calculateur!AS171*VLOOKUP('Données projet'!$B$10,Paramètres!$A$1:$I$89,3,0)*0.475*44/12</f>
        <v>0.24089119417616911</v>
      </c>
      <c r="AW171" s="21">
        <f>EXP(-LN(2)/2)*AW170+(1-EXP(-LN(2)/2))/(LN(2)/2)*AQ171*AT171*VLOOKUP('Données projet'!$B$10,Paramètres!$A$1:$I$89,3,0)*0.475*44/12</f>
        <v>2.0331919300483089E-15</v>
      </c>
      <c r="AX171" s="21">
        <f t="shared" si="166"/>
        <v>7.1216261302109034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318.99999999999994</v>
      </c>
      <c r="BE171" s="13">
        <f>BD171*VLOOKUP('Données projet'!$B$11,Paramètres!$A$1:$I$89,3,0)*VLOOKUP('Données projet'!$B$11,Paramètres!$A$1:$I$89,5,0)</f>
        <v>253.79639999999995</v>
      </c>
      <c r="BF171" s="13">
        <f t="shared" si="167"/>
        <v>61.398168322280704</v>
      </c>
      <c r="BG171" s="20">
        <f t="shared" si="168"/>
        <v>548.9638731613054</v>
      </c>
      <c r="BH171" s="59">
        <f t="shared" si="116"/>
        <v>842.29720649463866</v>
      </c>
      <c r="BI171" s="59">
        <f ca="1">AVERAGE(OFFSET($BH$3,0,0,'Données projet'!$E$11+1,1))-AVERAGE(OFFSET($H$3,0,0,'Données projet'!$E$11+1,1))</f>
        <v>244.50301885429764</v>
      </c>
      <c r="BJ171" s="59">
        <f t="shared" si="146"/>
        <v>248.77995374147798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6.697110201121089</v>
      </c>
      <c r="BQ171" s="21">
        <f>EXP(-LN(2)/25)*BQ170+(1-EXP(-LN(2)/25))/(LN(2)/25)*Calculateur!BL171*Calculateur!BN171*VLOOKUP('Données projet'!$B$11,Paramètres!$A$1:$I$89,3,0)*0.475*44/12</f>
        <v>0.26293397869888807</v>
      </c>
      <c r="BR171" s="21">
        <f>EXP(-LN(2)/2)*BR170+(1-EXP(-LN(2)/2))/(LN(2)/2)*BL171*BO171*VLOOKUP('Données projet'!$B$11,Paramètres!$A$1:$I$89,3,0)*0.475*44/12</f>
        <v>3.5014358094677115E-14</v>
      </c>
      <c r="BS171" s="22">
        <f t="shared" si="169"/>
        <v>6.9600441798200121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1">
        <f t="shared" si="140"/>
        <v>38.04140887895133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67">
        <f t="shared" si="110"/>
        <v>616.72566713084029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311.298</v>
      </c>
      <c r="P172" s="13">
        <f t="shared" si="141"/>
        <v>73.539838278528748</v>
      </c>
      <c r="Q172" s="20">
        <f t="shared" si="162"/>
        <v>670.25923500177089</v>
      </c>
      <c r="R172" s="59">
        <f t="shared" si="109"/>
        <v>963.59256833510426</v>
      </c>
      <c r="S172" s="59">
        <f ca="1">AVERAGE(OFFSET($R$3,0,0,'Données projet'!$E$9+1,1))-AVERAGE(OFFSET($H$3,0,0,'Données projet'!$E$9+1,1))</f>
        <v>342.91408684769942</v>
      </c>
      <c r="T172" s="59">
        <f t="shared" si="142"/>
        <v>209.92380505963234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27.301505578748785</v>
      </c>
      <c r="AA172" s="21">
        <f>EXP(-LN(2)/25)*AA171+(1-EXP(-LN(2)/25))/(LN(2)/25)*Calculateur!V172*Calculateur!X172*VLOOKUP('Données projet'!$B$9,Paramètres!$A$1:$I$89,3,0)*0.475*44/12</f>
        <v>0.99668237331295406</v>
      </c>
      <c r="AB172" s="21">
        <f>EXP(-LN(2)/2)*AB171+(1-EXP(-LN(2)/2))/(LN(2)/2)*V172*Y172*VLOOKUP('Données projet'!$B$9,Paramètres!$A$1:$I$89,3,0)*0.475*44/12</f>
        <v>1.2580624640463147E-8</v>
      </c>
      <c r="AC172" s="22">
        <f t="shared" si="163"/>
        <v>28.298187964642363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432.99999999999989</v>
      </c>
      <c r="AJ172" s="13">
        <f>AI172*VLOOKUP('Données projet'!$B$10,Paramètres!$A$1:$I$89,3,0)*VLOOKUP('Données projet'!$B$10,Paramètres!$A$1:$I$89,5,0)</f>
        <v>290.45639999999992</v>
      </c>
      <c r="AK172" s="13">
        <f t="shared" si="164"/>
        <v>69.172009514864612</v>
      </c>
      <c r="AL172" s="20">
        <f t="shared" si="165"/>
        <v>626.3528132383891</v>
      </c>
      <c r="AM172" s="59">
        <f t="shared" si="113"/>
        <v>919.68614657172247</v>
      </c>
      <c r="AN172" s="59">
        <f ca="1">AVERAGE(OFFSET($AM$3,0,0,'Données projet'!$E$10+1,1))-AVERAGE(OFFSET($H$3,0,0,'Données projet'!$E$10+1,1))</f>
        <v>296.25231821504275</v>
      </c>
      <c r="AO172" s="59">
        <f t="shared" si="144"/>
        <v>316.20936902390275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6.7458079207729993</v>
      </c>
      <c r="AV172" s="21">
        <f>EXP(-LN(2)/25)*AV171+(1-EXP(-LN(2)/25))/(LN(2)/25)*Calculateur!AQ172*Calculateur!AS172*VLOOKUP('Données projet'!$B$10,Paramètres!$A$1:$I$89,3,0)*0.475*44/12</f>
        <v>0.23430401180350444</v>
      </c>
      <c r="AW172" s="21">
        <f>EXP(-LN(2)/2)*AW171+(1-EXP(-LN(2)/2))/(LN(2)/2)*AQ172*AT172*VLOOKUP('Données projet'!$B$10,Paramètres!$A$1:$I$89,3,0)*0.475*44/12</f>
        <v>1.4376838011909238E-15</v>
      </c>
      <c r="AX172" s="21">
        <f t="shared" si="166"/>
        <v>6.9801119325765058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318.99999999999994</v>
      </c>
      <c r="BE172" s="13">
        <f>BD172*VLOOKUP('Données projet'!$B$11,Paramètres!$A$1:$I$89,3,0)*VLOOKUP('Données projet'!$B$11,Paramètres!$A$1:$I$89,5,0)</f>
        <v>253.79639999999995</v>
      </c>
      <c r="BF172" s="13">
        <f t="shared" si="167"/>
        <v>61.398168322280704</v>
      </c>
      <c r="BG172" s="20">
        <f t="shared" si="168"/>
        <v>548.9638731613054</v>
      </c>
      <c r="BH172" s="59">
        <f t="shared" si="116"/>
        <v>842.29720649463866</v>
      </c>
      <c r="BI172" s="59">
        <f ca="1">AVERAGE(OFFSET($BH$3,0,0,'Données projet'!$E$11+1,1))-AVERAGE(OFFSET($H$3,0,0,'Données projet'!$E$11+1,1))</f>
        <v>244.50301885429764</v>
      </c>
      <c r="BJ172" s="59">
        <f t="shared" si="146"/>
        <v>248.77995374147798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6.5657839549109829</v>
      </c>
      <c r="BQ172" s="21">
        <f>EXP(-LN(2)/25)*BQ171+(1-EXP(-LN(2)/25))/(LN(2)/25)*Calculateur!BL172*Calculateur!BN172*VLOOKUP('Données projet'!$B$11,Paramètres!$A$1:$I$89,3,0)*0.475*44/12</f>
        <v>0.25574403522426997</v>
      </c>
      <c r="BR172" s="21">
        <f>EXP(-LN(2)/2)*BR171+(1-EXP(-LN(2)/2))/(LN(2)/2)*BL172*BO172*VLOOKUP('Données projet'!$B$11,Paramètres!$A$1:$I$89,3,0)*0.475*44/12</f>
        <v>2.475889004764027E-14</v>
      </c>
      <c r="BS172" s="22">
        <f t="shared" si="169"/>
        <v>6.8215279901352774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1">
        <f t="shared" si="140"/>
        <v>38.240236326053541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67">
        <f t="shared" si="110"/>
        <v>618.59347826787666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311.298</v>
      </c>
      <c r="P173" s="13">
        <f t="shared" si="141"/>
        <v>73.539838278528748</v>
      </c>
      <c r="Q173" s="20">
        <f t="shared" si="162"/>
        <v>670.25923500177089</v>
      </c>
      <c r="R173" s="59">
        <f t="shared" si="109"/>
        <v>963.59256833510426</v>
      </c>
      <c r="S173" s="59">
        <f ca="1">AVERAGE(OFFSET($R$3,0,0,'Données projet'!$E$9+1,1))-AVERAGE(OFFSET($H$3,0,0,'Données projet'!$E$9+1,1))</f>
        <v>342.91408684769942</v>
      </c>
      <c r="T173" s="59">
        <f t="shared" si="142"/>
        <v>209.92380505963234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26.766139706623647</v>
      </c>
      <c r="AA173" s="21">
        <f>EXP(-LN(2)/25)*AA172+(1-EXP(-LN(2)/25))/(LN(2)/25)*Calculateur!V173*Calculateur!X173*VLOOKUP('Données projet'!$B$9,Paramètres!$A$1:$I$89,3,0)*0.475*44/12</f>
        <v>0.96942804140146321</v>
      </c>
      <c r="AB173" s="21">
        <f>EXP(-LN(2)/2)*AB172+(1-EXP(-LN(2)/2))/(LN(2)/2)*V173*Y173*VLOOKUP('Données projet'!$B$9,Paramètres!$A$1:$I$89,3,0)*0.475*44/12</f>
        <v>8.8958449948340628E-9</v>
      </c>
      <c r="AC173" s="22">
        <f t="shared" si="163"/>
        <v>27.735567756920958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432.99999999999989</v>
      </c>
      <c r="AJ173" s="13">
        <f>AI173*VLOOKUP('Données projet'!$B$10,Paramètres!$A$1:$I$89,3,0)*VLOOKUP('Données projet'!$B$10,Paramètres!$A$1:$I$89,5,0)</f>
        <v>290.45639999999992</v>
      </c>
      <c r="AK173" s="13">
        <f t="shared" si="164"/>
        <v>69.172009514864612</v>
      </c>
      <c r="AL173" s="20">
        <f t="shared" si="165"/>
        <v>626.3528132383891</v>
      </c>
      <c r="AM173" s="59">
        <f t="shared" si="113"/>
        <v>919.68614657172247</v>
      </c>
      <c r="AN173" s="59">
        <f ca="1">AVERAGE(OFFSET($AM$3,0,0,'Données projet'!$E$10+1,1))-AVERAGE(OFFSET($H$3,0,0,'Données projet'!$E$10+1,1))</f>
        <v>296.25231821504275</v>
      </c>
      <c r="AO173" s="59">
        <f t="shared" si="144"/>
        <v>316.20936902390275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6.613526741983196</v>
      </c>
      <c r="AV173" s="21">
        <f>EXP(-LN(2)/25)*AV172+(1-EXP(-LN(2)/25))/(LN(2)/25)*Calculateur!AQ173*Calculateur!AS173*VLOOKUP('Données projet'!$B$10,Paramètres!$A$1:$I$89,3,0)*0.475*44/12</f>
        <v>0.22789695627922513</v>
      </c>
      <c r="AW173" s="21">
        <f>EXP(-LN(2)/2)*AW172+(1-EXP(-LN(2)/2))/(LN(2)/2)*AQ173*AT173*VLOOKUP('Données projet'!$B$10,Paramètres!$A$1:$I$89,3,0)*0.475*44/12</f>
        <v>1.0165959650241545E-15</v>
      </c>
      <c r="AX173" s="21">
        <f t="shared" si="166"/>
        <v>6.8414236982624219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318.99999999999994</v>
      </c>
      <c r="BE173" s="13">
        <f>BD173*VLOOKUP('Données projet'!$B$11,Paramètres!$A$1:$I$89,3,0)*VLOOKUP('Données projet'!$B$11,Paramètres!$A$1:$I$89,5,0)</f>
        <v>253.79639999999995</v>
      </c>
      <c r="BF173" s="13">
        <f t="shared" si="167"/>
        <v>61.398168322280704</v>
      </c>
      <c r="BG173" s="20">
        <f t="shared" si="168"/>
        <v>548.9638731613054</v>
      </c>
      <c r="BH173" s="59">
        <f t="shared" si="116"/>
        <v>842.29720649463866</v>
      </c>
      <c r="BI173" s="59">
        <f ca="1">AVERAGE(OFFSET($BH$3,0,0,'Données projet'!$E$11+1,1))-AVERAGE(OFFSET($H$3,0,0,'Données projet'!$E$11+1,1))</f>
        <v>244.50301885429764</v>
      </c>
      <c r="BJ173" s="59">
        <f t="shared" si="146"/>
        <v>248.77995374147798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6.4370329362879568</v>
      </c>
      <c r="BQ173" s="21">
        <f>EXP(-LN(2)/25)*BQ172+(1-EXP(-LN(2)/25))/(LN(2)/25)*Calculateur!BL173*Calculateur!BN173*VLOOKUP('Données projet'!$B$11,Paramètres!$A$1:$I$89,3,0)*0.475*44/12</f>
        <v>0.24875070113206801</v>
      </c>
      <c r="BR173" s="21">
        <f>EXP(-LN(2)/2)*BR172+(1-EXP(-LN(2)/2))/(LN(2)/2)*BL173*BO173*VLOOKUP('Données projet'!$B$11,Paramètres!$A$1:$I$89,3,0)*0.475*44/12</f>
        <v>1.7507179047338558E-14</v>
      </c>
      <c r="BS173" s="22">
        <f t="shared" si="169"/>
        <v>6.6857836374200428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1">
        <f t="shared" si="140"/>
        <v>38.438927680599626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67">
        <f t="shared" si="110"/>
        <v>620.46105237704444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311.298</v>
      </c>
      <c r="P174" s="13">
        <f t="shared" si="141"/>
        <v>73.539838278528748</v>
      </c>
      <c r="Q174" s="20">
        <f t="shared" si="162"/>
        <v>670.25923500177089</v>
      </c>
      <c r="R174" s="59">
        <f t="shared" si="109"/>
        <v>963.59256833510426</v>
      </c>
      <c r="S174" s="59">
        <f ca="1">AVERAGE(OFFSET($R$3,0,0,'Données projet'!$E$9+1,1))-AVERAGE(OFFSET($H$3,0,0,'Données projet'!$E$9+1,1))</f>
        <v>342.91408684769942</v>
      </c>
      <c r="T174" s="59">
        <f t="shared" si="142"/>
        <v>209.92380505963234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26.241272032709947</v>
      </c>
      <c r="AA174" s="21">
        <f>EXP(-LN(2)/25)*AA173+(1-EXP(-LN(2)/25))/(LN(2)/25)*Calculateur!V174*Calculateur!X174*VLOOKUP('Données projet'!$B$9,Paramètres!$A$1:$I$89,3,0)*0.475*44/12</f>
        <v>0.94291898062933521</v>
      </c>
      <c r="AB174" s="21">
        <f>EXP(-LN(2)/2)*AB173+(1-EXP(-LN(2)/2))/(LN(2)/2)*V174*Y174*VLOOKUP('Données projet'!$B$9,Paramètres!$A$1:$I$89,3,0)*0.475*44/12</f>
        <v>6.2903123202315737E-9</v>
      </c>
      <c r="AC174" s="22">
        <f t="shared" si="163"/>
        <v>27.184191019629598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432.99999999999989</v>
      </c>
      <c r="AJ174" s="13">
        <f>AI174*VLOOKUP('Données projet'!$B$10,Paramètres!$A$1:$I$89,3,0)*VLOOKUP('Données projet'!$B$10,Paramètres!$A$1:$I$89,5,0)</f>
        <v>290.45639999999992</v>
      </c>
      <c r="AK174" s="13">
        <f t="shared" si="164"/>
        <v>69.172009514864612</v>
      </c>
      <c r="AL174" s="20">
        <f t="shared" si="165"/>
        <v>626.3528132383891</v>
      </c>
      <c r="AM174" s="59">
        <f t="shared" si="113"/>
        <v>919.68614657172247</v>
      </c>
      <c r="AN174" s="59">
        <f ca="1">AVERAGE(OFFSET($AM$3,0,0,'Données projet'!$E$10+1,1))-AVERAGE(OFFSET($H$3,0,0,'Données projet'!$E$10+1,1))</f>
        <v>296.25231821504275</v>
      </c>
      <c r="AO174" s="59">
        <f t="shared" si="144"/>
        <v>316.20936902390275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6.4838395164259079</v>
      </c>
      <c r="AV174" s="21">
        <f>EXP(-LN(2)/25)*AV173+(1-EXP(-LN(2)/25))/(LN(2)/25)*Calculateur!AQ174*Calculateur!AS174*VLOOKUP('Données projet'!$B$10,Paramètres!$A$1:$I$89,3,0)*0.475*44/12</f>
        <v>0.22166510202518966</v>
      </c>
      <c r="AW174" s="21">
        <f>EXP(-LN(2)/2)*AW173+(1-EXP(-LN(2)/2))/(LN(2)/2)*AQ174*AT174*VLOOKUP('Données projet'!$B$10,Paramètres!$A$1:$I$89,3,0)*0.475*44/12</f>
        <v>7.1884190059546191E-16</v>
      </c>
      <c r="AX174" s="21">
        <f t="shared" si="166"/>
        <v>6.7055046184510987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318.99999999999994</v>
      </c>
      <c r="BE174" s="13">
        <f>BD174*VLOOKUP('Données projet'!$B$11,Paramètres!$A$1:$I$89,3,0)*VLOOKUP('Données projet'!$B$11,Paramètres!$A$1:$I$89,5,0)</f>
        <v>253.79639999999995</v>
      </c>
      <c r="BF174" s="13">
        <f t="shared" si="167"/>
        <v>61.398168322280704</v>
      </c>
      <c r="BG174" s="20">
        <f t="shared" si="168"/>
        <v>548.9638731613054</v>
      </c>
      <c r="BH174" s="59">
        <f t="shared" si="116"/>
        <v>842.29720649463866</v>
      </c>
      <c r="BI174" s="59">
        <f ca="1">AVERAGE(OFFSET($BH$3,0,0,'Données projet'!$E$11+1,1))-AVERAGE(OFFSET($H$3,0,0,'Données projet'!$E$11+1,1))</f>
        <v>244.50301885429764</v>
      </c>
      <c r="BJ174" s="59">
        <f t="shared" si="146"/>
        <v>248.77995374147798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6.3108066466097608</v>
      </c>
      <c r="BQ174" s="21">
        <f>EXP(-LN(2)/25)*BQ173+(1-EXP(-LN(2)/25))/(LN(2)/25)*Calculateur!BL174*Calculateur!BN174*VLOOKUP('Données projet'!$B$11,Paramètres!$A$1:$I$89,3,0)*0.475*44/12</f>
        <v>0.24194860012838076</v>
      </c>
      <c r="BR174" s="21">
        <f>EXP(-LN(2)/2)*BR173+(1-EXP(-LN(2)/2))/(LN(2)/2)*BL174*BO174*VLOOKUP('Données projet'!$B$11,Paramètres!$A$1:$I$89,3,0)*0.475*44/12</f>
        <v>1.2379445023820135E-14</v>
      </c>
      <c r="BS174" s="22">
        <f t="shared" si="169"/>
        <v>6.5527552467381538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1">
        <f t="shared" si="140"/>
        <v>38.637483830798757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67">
        <f t="shared" si="110"/>
        <v>622.32839100530805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311.298</v>
      </c>
      <c r="P175" s="13">
        <f t="shared" si="141"/>
        <v>73.539838278528748</v>
      </c>
      <c r="Q175" s="20">
        <f t="shared" si="162"/>
        <v>670.25923500177089</v>
      </c>
      <c r="R175" s="59">
        <f t="shared" si="109"/>
        <v>963.59256833510426</v>
      </c>
      <c r="S175" s="59">
        <f ca="1">AVERAGE(OFFSET($R$3,0,0,'Données projet'!$E$9+1,1))-AVERAGE(OFFSET($H$3,0,0,'Données projet'!$E$9+1,1))</f>
        <v>342.91408684769942</v>
      </c>
      <c r="T175" s="59">
        <f t="shared" si="142"/>
        <v>209.92380505963234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25.726696693744024</v>
      </c>
      <c r="AA175" s="21">
        <f>EXP(-LN(2)/25)*AA174+(1-EXP(-LN(2)/25))/(LN(2)/25)*Calculateur!V175*Calculateur!X175*VLOOKUP('Données projet'!$B$9,Paramètres!$A$1:$I$89,3,0)*0.475*44/12</f>
        <v>0.91713481151807197</v>
      </c>
      <c r="AB175" s="21">
        <f>EXP(-LN(2)/2)*AB174+(1-EXP(-LN(2)/2))/(LN(2)/2)*V175*Y175*VLOOKUP('Données projet'!$B$9,Paramètres!$A$1:$I$89,3,0)*0.475*44/12</f>
        <v>4.4479224974170314E-9</v>
      </c>
      <c r="AC175" s="22">
        <f t="shared" si="163"/>
        <v>26.643831509710019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432.99999999999989</v>
      </c>
      <c r="AJ175" s="13">
        <f>AI175*VLOOKUP('Données projet'!$B$10,Paramètres!$A$1:$I$89,3,0)*VLOOKUP('Données projet'!$B$10,Paramètres!$A$1:$I$89,5,0)</f>
        <v>290.45639999999992</v>
      </c>
      <c r="AK175" s="13">
        <f t="shared" si="164"/>
        <v>69.172009514864612</v>
      </c>
      <c r="AL175" s="20">
        <f t="shared" si="165"/>
        <v>626.3528132383891</v>
      </c>
      <c r="AM175" s="59">
        <f t="shared" si="113"/>
        <v>919.68614657172247</v>
      </c>
      <c r="AN175" s="59">
        <f ca="1">AVERAGE(OFFSET($AM$3,0,0,'Données projet'!$E$10+1,1))-AVERAGE(OFFSET($H$3,0,0,'Données projet'!$E$10+1,1))</f>
        <v>296.25231821504275</v>
      </c>
      <c r="AO175" s="59">
        <f t="shared" si="144"/>
        <v>316.20936902390275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6.3566953782604019</v>
      </c>
      <c r="AV175" s="21">
        <f>EXP(-LN(2)/25)*AV174+(1-EXP(-LN(2)/25))/(LN(2)/25)*Calculateur!AQ175*Calculateur!AS175*VLOOKUP('Données projet'!$B$10,Paramètres!$A$1:$I$89,3,0)*0.475*44/12</f>
        <v>0.21560365815344976</v>
      </c>
      <c r="AW175" s="21">
        <f>EXP(-LN(2)/2)*AW174+(1-EXP(-LN(2)/2))/(LN(2)/2)*AQ175*AT175*VLOOKUP('Données projet'!$B$10,Paramètres!$A$1:$I$89,3,0)*0.475*44/12</f>
        <v>5.0829798251207723E-16</v>
      </c>
      <c r="AX175" s="21">
        <f t="shared" si="166"/>
        <v>6.5722990364138525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318.99999999999994</v>
      </c>
      <c r="BE175" s="13">
        <f>BD175*VLOOKUP('Données projet'!$B$11,Paramètres!$A$1:$I$89,3,0)*VLOOKUP('Données projet'!$B$11,Paramètres!$A$1:$I$89,5,0)</f>
        <v>253.79639999999995</v>
      </c>
      <c r="BF175" s="13">
        <f t="shared" si="167"/>
        <v>61.398168322280704</v>
      </c>
      <c r="BG175" s="20">
        <f t="shared" si="168"/>
        <v>548.9638731613054</v>
      </c>
      <c r="BH175" s="59">
        <f t="shared" si="116"/>
        <v>842.29720649463866</v>
      </c>
      <c r="BI175" s="59">
        <f ca="1">AVERAGE(OFFSET($BH$3,0,0,'Données projet'!$E$11+1,1))-AVERAGE(OFFSET($H$3,0,0,'Données projet'!$E$11+1,1))</f>
        <v>244.50301885429764</v>
      </c>
      <c r="BJ175" s="59">
        <f t="shared" si="146"/>
        <v>248.77995374147798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6.1870555774817193</v>
      </c>
      <c r="BQ175" s="21">
        <f>EXP(-LN(2)/25)*BQ174+(1-EXP(-LN(2)/25))/(LN(2)/25)*Calculateur!BL175*Calculateur!BN175*VLOOKUP('Données projet'!$B$11,Paramètres!$A$1:$I$89,3,0)*0.475*44/12</f>
        <v>0.23533250293434629</v>
      </c>
      <c r="BR175" s="21">
        <f>EXP(-LN(2)/2)*BR174+(1-EXP(-LN(2)/2))/(LN(2)/2)*BL175*BO175*VLOOKUP('Données projet'!$B$11,Paramètres!$A$1:$I$89,3,0)*0.475*44/12</f>
        <v>8.7535895236692788E-15</v>
      </c>
      <c r="BS175" s="22">
        <f t="shared" si="169"/>
        <v>6.4223880804160745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1">
        <f t="shared" si="140"/>
        <v>38.835905653934461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67">
        <f t="shared" si="110"/>
        <v>624.19549568060279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311.298</v>
      </c>
      <c r="P176" s="13">
        <f t="shared" si="141"/>
        <v>73.539838278528748</v>
      </c>
      <c r="Q176" s="20">
        <f t="shared" si="162"/>
        <v>670.25923500177089</v>
      </c>
      <c r="R176" s="59">
        <f t="shared" si="109"/>
        <v>963.59256833510426</v>
      </c>
      <c r="S176" s="59">
        <f ca="1">AVERAGE(OFFSET($R$3,0,0,'Données projet'!$E$9+1,1))-AVERAGE(OFFSET($H$3,0,0,'Données projet'!$E$9+1,1))</f>
        <v>342.91408684769942</v>
      </c>
      <c r="T176" s="59">
        <f t="shared" si="142"/>
        <v>209.92380505963234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25.222211863315255</v>
      </c>
      <c r="AA176" s="21">
        <f>EXP(-LN(2)/25)*AA175+(1-EXP(-LN(2)/25))/(LN(2)/25)*Calculateur!V176*Calculateur!X176*VLOOKUP('Données projet'!$B$9,Paramètres!$A$1:$I$89,3,0)*0.475*44/12</f>
        <v>0.89205571186708665</v>
      </c>
      <c r="AB176" s="21">
        <f>EXP(-LN(2)/2)*AB175+(1-EXP(-LN(2)/2))/(LN(2)/2)*V176*Y176*VLOOKUP('Données projet'!$B$9,Paramètres!$A$1:$I$89,3,0)*0.475*44/12</f>
        <v>3.1451561601157869E-9</v>
      </c>
      <c r="AC176" s="22">
        <f t="shared" si="163"/>
        <v>26.1142675783275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432.99999999999989</v>
      </c>
      <c r="AJ176" s="13">
        <f>AI176*VLOOKUP('Données projet'!$B$10,Paramètres!$A$1:$I$89,3,0)*VLOOKUP('Données projet'!$B$10,Paramètres!$A$1:$I$89,5,0)</f>
        <v>290.45639999999992</v>
      </c>
      <c r="AK176" s="13">
        <f t="shared" si="164"/>
        <v>69.172009514864612</v>
      </c>
      <c r="AL176" s="20">
        <f t="shared" si="165"/>
        <v>626.3528132383891</v>
      </c>
      <c r="AM176" s="59">
        <f t="shared" si="113"/>
        <v>919.68614657172247</v>
      </c>
      <c r="AN176" s="59">
        <f ca="1">AVERAGE(OFFSET($AM$3,0,0,'Données projet'!$E$10+1,1))-AVERAGE(OFFSET($H$3,0,0,'Données projet'!$E$10+1,1))</f>
        <v>296.25231821504275</v>
      </c>
      <c r="AO176" s="59">
        <f t="shared" si="144"/>
        <v>316.20936902390275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6.2320444590940545</v>
      </c>
      <c r="AV176" s="21">
        <f>EXP(-LN(2)/25)*AV175+(1-EXP(-LN(2)/25))/(LN(2)/25)*Calculateur!AQ176*Calculateur!AS176*VLOOKUP('Données projet'!$B$10,Paramètres!$A$1:$I$89,3,0)*0.475*44/12</f>
        <v>0.20970796478314005</v>
      </c>
      <c r="AW176" s="21">
        <f>EXP(-LN(2)/2)*AW175+(1-EXP(-LN(2)/2))/(LN(2)/2)*AQ176*AT176*VLOOKUP('Données projet'!$B$10,Paramètres!$A$1:$I$89,3,0)*0.475*44/12</f>
        <v>3.5942095029773095E-16</v>
      </c>
      <c r="AX176" s="21">
        <f t="shared" si="166"/>
        <v>6.4417524238771948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318.99999999999994</v>
      </c>
      <c r="BE176" s="13">
        <f>BD176*VLOOKUP('Données projet'!$B$11,Paramètres!$A$1:$I$89,3,0)*VLOOKUP('Données projet'!$B$11,Paramètres!$A$1:$I$89,5,0)</f>
        <v>253.79639999999995</v>
      </c>
      <c r="BF176" s="13">
        <f t="shared" si="167"/>
        <v>61.398168322280704</v>
      </c>
      <c r="BG176" s="20">
        <f t="shared" si="168"/>
        <v>548.9638731613054</v>
      </c>
      <c r="BH176" s="59">
        <f t="shared" si="116"/>
        <v>842.29720649463866</v>
      </c>
      <c r="BI176" s="59">
        <f ca="1">AVERAGE(OFFSET($BH$3,0,0,'Données projet'!$E$11+1,1))-AVERAGE(OFFSET($H$3,0,0,'Données projet'!$E$11+1,1))</f>
        <v>244.50301885429764</v>
      </c>
      <c r="BJ176" s="59">
        <f t="shared" si="146"/>
        <v>248.77995374147798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6.0657311913385801</v>
      </c>
      <c r="BQ176" s="21">
        <f>EXP(-LN(2)/25)*BQ175+(1-EXP(-LN(2)/25))/(LN(2)/25)*Calculateur!BL176*Calculateur!BN176*VLOOKUP('Données projet'!$B$11,Paramètres!$A$1:$I$89,3,0)*0.475*44/12</f>
        <v>0.22889732326600812</v>
      </c>
      <c r="BR176" s="21">
        <f>EXP(-LN(2)/2)*BR175+(1-EXP(-LN(2)/2))/(LN(2)/2)*BL176*BO176*VLOOKUP('Données projet'!$B$11,Paramètres!$A$1:$I$89,3,0)*0.475*44/12</f>
        <v>6.1897225119100676E-15</v>
      </c>
      <c r="BS176" s="22">
        <f t="shared" si="169"/>
        <v>6.2946285146045948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1">
        <f t="shared" si="140"/>
        <v>39.034194016561486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67">
        <f t="shared" si="110"/>
        <v>626.06236791217816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311.298</v>
      </c>
      <c r="P177" s="13">
        <f t="shared" si="141"/>
        <v>73.539838278528748</v>
      </c>
      <c r="Q177" s="20">
        <f t="shared" si="162"/>
        <v>670.25923500177089</v>
      </c>
      <c r="R177" s="59">
        <f t="shared" si="109"/>
        <v>963.59256833510426</v>
      </c>
      <c r="S177" s="59">
        <f ca="1">AVERAGE(OFFSET($R$3,0,0,'Données projet'!$E$9+1,1))-AVERAGE(OFFSET($H$3,0,0,'Données projet'!$E$9+1,1))</f>
        <v>342.91408684769942</v>
      </c>
      <c r="T177" s="59">
        <f t="shared" si="142"/>
        <v>209.92380505963234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24.727619672705835</v>
      </c>
      <c r="AA177" s="21">
        <f>EXP(-LN(2)/25)*AA176+(1-EXP(-LN(2)/25))/(LN(2)/25)*Calculateur!V177*Calculateur!X177*VLOOKUP('Données projet'!$B$9,Paramètres!$A$1:$I$89,3,0)*0.475*44/12</f>
        <v>0.86766240151491014</v>
      </c>
      <c r="AB177" s="21">
        <f>EXP(-LN(2)/2)*AB176+(1-EXP(-LN(2)/2))/(LN(2)/2)*V177*Y177*VLOOKUP('Données projet'!$B$9,Paramètres!$A$1:$I$89,3,0)*0.475*44/12</f>
        <v>2.2239612487085157E-9</v>
      </c>
      <c r="AC177" s="22">
        <f t="shared" si="163"/>
        <v>25.595282076444704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432.99999999999989</v>
      </c>
      <c r="AJ177" s="13">
        <f>AI177*VLOOKUP('Données projet'!$B$10,Paramètres!$A$1:$I$89,3,0)*VLOOKUP('Données projet'!$B$10,Paramètres!$A$1:$I$89,5,0)</f>
        <v>290.45639999999992</v>
      </c>
      <c r="AK177" s="13">
        <f t="shared" si="164"/>
        <v>69.172009514864612</v>
      </c>
      <c r="AL177" s="20">
        <f t="shared" si="165"/>
        <v>626.3528132383891</v>
      </c>
      <c r="AM177" s="59">
        <f t="shared" si="113"/>
        <v>919.68614657172247</v>
      </c>
      <c r="AN177" s="59">
        <f ca="1">AVERAGE(OFFSET($AM$3,0,0,'Données projet'!$E$10+1,1))-AVERAGE(OFFSET($H$3,0,0,'Données projet'!$E$10+1,1))</f>
        <v>296.25231821504275</v>
      </c>
      <c r="AO177" s="59">
        <f t="shared" si="144"/>
        <v>316.20936902390275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6.1098378684230052</v>
      </c>
      <c r="AV177" s="21">
        <f>EXP(-LN(2)/25)*AV176+(1-EXP(-LN(2)/25))/(LN(2)/25)*Calculateur!AQ177*Calculateur!AS177*VLOOKUP('Données projet'!$B$10,Paramètres!$A$1:$I$89,3,0)*0.475*44/12</f>
        <v>0.20397348945808252</v>
      </c>
      <c r="AW177" s="21">
        <f>EXP(-LN(2)/2)*AW176+(1-EXP(-LN(2)/2))/(LN(2)/2)*AQ177*AT177*VLOOKUP('Données projet'!$B$10,Paramètres!$A$1:$I$89,3,0)*0.475*44/12</f>
        <v>2.5414899125603861E-16</v>
      </c>
      <c r="AX177" s="21">
        <f t="shared" si="166"/>
        <v>6.3138113578810877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318.99999999999994</v>
      </c>
      <c r="BE177" s="13">
        <f>BD177*VLOOKUP('Données projet'!$B$11,Paramètres!$A$1:$I$89,3,0)*VLOOKUP('Données projet'!$B$11,Paramètres!$A$1:$I$89,5,0)</f>
        <v>253.79639999999995</v>
      </c>
      <c r="BF177" s="13">
        <f t="shared" si="167"/>
        <v>61.398168322280704</v>
      </c>
      <c r="BG177" s="20">
        <f t="shared" si="168"/>
        <v>548.9638731613054</v>
      </c>
      <c r="BH177" s="59">
        <f t="shared" si="116"/>
        <v>842.29720649463866</v>
      </c>
      <c r="BI177" s="59">
        <f ca="1">AVERAGE(OFFSET($BH$3,0,0,'Données projet'!$E$11+1,1))-AVERAGE(OFFSET($H$3,0,0,'Données projet'!$E$11+1,1))</f>
        <v>244.50301885429764</v>
      </c>
      <c r="BJ177" s="59">
        <f t="shared" si="146"/>
        <v>248.77995374147798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5.9467859024071394</v>
      </c>
      <c r="BQ177" s="21">
        <f>EXP(-LN(2)/25)*BQ176+(1-EXP(-LN(2)/25))/(LN(2)/25)*Calculateur!BL177*Calculateur!BN177*VLOOKUP('Données projet'!$B$11,Paramètres!$A$1:$I$89,3,0)*0.475*44/12</f>
        <v>0.22263811392411204</v>
      </c>
      <c r="BR177" s="21">
        <f>EXP(-LN(2)/2)*BR176+(1-EXP(-LN(2)/2))/(LN(2)/2)*BL177*BO177*VLOOKUP('Données projet'!$B$11,Paramètres!$A$1:$I$89,3,0)*0.475*44/12</f>
        <v>4.3767947618346394E-15</v>
      </c>
      <c r="BS177" s="22">
        <f t="shared" si="169"/>
        <v>6.1694240163312557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1">
        <f t="shared" si="140"/>
        <v>39.232349774697887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67">
        <f t="shared" si="110"/>
        <v>627.92900919093245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311.298</v>
      </c>
      <c r="P178" s="13">
        <f t="shared" si="141"/>
        <v>73.539838278528748</v>
      </c>
      <c r="Q178" s="20">
        <f t="shared" si="162"/>
        <v>670.25923500177089</v>
      </c>
      <c r="R178" s="59">
        <f t="shared" si="109"/>
        <v>963.59256833510426</v>
      </c>
      <c r="S178" s="59">
        <f ca="1">AVERAGE(OFFSET($R$3,0,0,'Données projet'!$E$9+1,1))-AVERAGE(OFFSET($H$3,0,0,'Données projet'!$E$9+1,1))</f>
        <v>342.91408684769942</v>
      </c>
      <c r="T178" s="59">
        <f t="shared" si="142"/>
        <v>209.92380505963234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24.242726133282815</v>
      </c>
      <c r="AA178" s="21">
        <f>EXP(-LN(2)/25)*AA177+(1-EXP(-LN(2)/25))/(LN(2)/25)*Calculateur!V178*Calculateur!X178*VLOOKUP('Données projet'!$B$9,Paramètres!$A$1:$I$89,3,0)*0.475*44/12</f>
        <v>0.84393612751710234</v>
      </c>
      <c r="AB178" s="21">
        <f>EXP(-LN(2)/2)*AB177+(1-EXP(-LN(2)/2))/(LN(2)/2)*V178*Y178*VLOOKUP('Données projet'!$B$9,Paramètres!$A$1:$I$89,3,0)*0.475*44/12</f>
        <v>1.5725780800578934E-9</v>
      </c>
      <c r="AC178" s="22">
        <f t="shared" si="163"/>
        <v>25.086662262372496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432.99999999999989</v>
      </c>
      <c r="AJ178" s="13">
        <f>AI178*VLOOKUP('Données projet'!$B$10,Paramètres!$A$1:$I$89,3,0)*VLOOKUP('Données projet'!$B$10,Paramètres!$A$1:$I$89,5,0)</f>
        <v>290.45639999999992</v>
      </c>
      <c r="AK178" s="13">
        <f t="shared" si="164"/>
        <v>69.172009514864612</v>
      </c>
      <c r="AL178" s="20">
        <f t="shared" si="165"/>
        <v>626.3528132383891</v>
      </c>
      <c r="AM178" s="59">
        <f t="shared" si="113"/>
        <v>919.68614657172247</v>
      </c>
      <c r="AN178" s="59">
        <f ca="1">AVERAGE(OFFSET($AM$3,0,0,'Données projet'!$E$10+1,1))-AVERAGE(OFFSET($H$3,0,0,'Données projet'!$E$10+1,1))</f>
        <v>296.25231821504275</v>
      </c>
      <c r="AO178" s="59">
        <f t="shared" si="144"/>
        <v>316.20936902390275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5.9900276744563552</v>
      </c>
      <c r="AV178" s="21">
        <f>EXP(-LN(2)/25)*AV177+(1-EXP(-LN(2)/25))/(LN(2)/25)*Calculateur!AQ178*Calculateur!AS178*VLOOKUP('Données projet'!$B$10,Paramètres!$A$1:$I$89,3,0)*0.475*44/12</f>
        <v>0.19839582366235164</v>
      </c>
      <c r="AW178" s="21">
        <f>EXP(-LN(2)/2)*AW177+(1-EXP(-LN(2)/2))/(LN(2)/2)*AQ178*AT178*VLOOKUP('Données projet'!$B$10,Paramètres!$A$1:$I$89,3,0)*0.475*44/12</f>
        <v>1.7971047514886548E-16</v>
      </c>
      <c r="AX178" s="21">
        <f t="shared" si="166"/>
        <v>6.1884234981187065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318.99999999999994</v>
      </c>
      <c r="BE178" s="13">
        <f>BD178*VLOOKUP('Données projet'!$B$11,Paramètres!$A$1:$I$89,3,0)*VLOOKUP('Données projet'!$B$11,Paramètres!$A$1:$I$89,5,0)</f>
        <v>253.79639999999995</v>
      </c>
      <c r="BF178" s="13">
        <f t="shared" si="167"/>
        <v>61.398168322280704</v>
      </c>
      <c r="BG178" s="20">
        <f t="shared" si="168"/>
        <v>548.9638731613054</v>
      </c>
      <c r="BH178" s="59">
        <f t="shared" si="116"/>
        <v>842.29720649463866</v>
      </c>
      <c r="BI178" s="59">
        <f ca="1">AVERAGE(OFFSET($BH$3,0,0,'Données projet'!$E$11+1,1))-AVERAGE(OFFSET($H$3,0,0,'Données projet'!$E$11+1,1))</f>
        <v>244.50301885429764</v>
      </c>
      <c r="BJ178" s="59">
        <f t="shared" si="146"/>
        <v>248.77995374147798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5.8301730580421811</v>
      </c>
      <c r="BQ178" s="21">
        <f>EXP(-LN(2)/25)*BQ177+(1-EXP(-LN(2)/25))/(LN(2)/25)*Calculateur!BL178*Calculateur!BN178*VLOOKUP('Données projet'!$B$11,Paramètres!$A$1:$I$89,3,0)*0.475*44/12</f>
        <v>0.21655006299082763</v>
      </c>
      <c r="BR178" s="21">
        <f>EXP(-LN(2)/2)*BR177+(1-EXP(-LN(2)/2))/(LN(2)/2)*BL178*BO178*VLOOKUP('Données projet'!$B$11,Paramètres!$A$1:$I$89,3,0)*0.475*44/12</f>
        <v>3.0948612559550338E-15</v>
      </c>
      <c r="BS178" s="22">
        <f t="shared" si="169"/>
        <v>6.0467231210330112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1">
        <f t="shared" si="140"/>
        <v>39.430373774012395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67">
        <f t="shared" si="110"/>
        <v>629.79542098973843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311.298</v>
      </c>
      <c r="P179" s="13">
        <f t="shared" si="141"/>
        <v>73.539838278528748</v>
      </c>
      <c r="Q179" s="20">
        <f t="shared" si="162"/>
        <v>670.25923500177089</v>
      </c>
      <c r="R179" s="59">
        <f t="shared" si="109"/>
        <v>963.59256833510426</v>
      </c>
      <c r="S179" s="59">
        <f ca="1">AVERAGE(OFFSET($R$3,0,0,'Données projet'!$E$9+1,1))-AVERAGE(OFFSET($H$3,0,0,'Données projet'!$E$9+1,1))</f>
        <v>342.91408684769942</v>
      </c>
      <c r="T179" s="59">
        <f t="shared" si="142"/>
        <v>209.92380505963234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23.767341060412026</v>
      </c>
      <c r="AA179" s="21">
        <f>EXP(-LN(2)/25)*AA178+(1-EXP(-LN(2)/25))/(LN(2)/25)*Calculateur!V179*Calculateur!X179*VLOOKUP('Données projet'!$B$9,Paramètres!$A$1:$I$89,3,0)*0.475*44/12</f>
        <v>0.82085864972947509</v>
      </c>
      <c r="AB179" s="21">
        <f>EXP(-LN(2)/2)*AB178+(1-EXP(-LN(2)/2))/(LN(2)/2)*V179*Y179*VLOOKUP('Données projet'!$B$9,Paramètres!$A$1:$I$89,3,0)*0.475*44/12</f>
        <v>1.1119806243542578E-9</v>
      </c>
      <c r="AC179" s="22">
        <f t="shared" si="163"/>
        <v>24.588199711253484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432.99999999999989</v>
      </c>
      <c r="AJ179" s="13">
        <f>AI179*VLOOKUP('Données projet'!$B$10,Paramètres!$A$1:$I$89,3,0)*VLOOKUP('Données projet'!$B$10,Paramètres!$A$1:$I$89,5,0)</f>
        <v>290.45639999999992</v>
      </c>
      <c r="AK179" s="13">
        <f t="shared" si="164"/>
        <v>69.172009514864612</v>
      </c>
      <c r="AL179" s="20">
        <f t="shared" si="165"/>
        <v>626.3528132383891</v>
      </c>
      <c r="AM179" s="59">
        <f t="shared" si="113"/>
        <v>919.68614657172247</v>
      </c>
      <c r="AN179" s="59">
        <f ca="1">AVERAGE(OFFSET($AM$3,0,0,'Données projet'!$E$10+1,1))-AVERAGE(OFFSET($H$3,0,0,'Données projet'!$E$10+1,1))</f>
        <v>296.25231821504275</v>
      </c>
      <c r="AO179" s="59">
        <f t="shared" si="144"/>
        <v>316.20936902390275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5.872566885316389</v>
      </c>
      <c r="AV179" s="21">
        <f>EXP(-LN(2)/25)*AV178+(1-EXP(-LN(2)/25))/(LN(2)/25)*Calculateur!AQ179*Calculateur!AS179*VLOOKUP('Données projet'!$B$10,Paramètres!$A$1:$I$89,3,0)*0.475*44/12</f>
        <v>0.1929706794311217</v>
      </c>
      <c r="AW179" s="21">
        <f>EXP(-LN(2)/2)*AW178+(1-EXP(-LN(2)/2))/(LN(2)/2)*AQ179*AT179*VLOOKUP('Données projet'!$B$10,Paramètres!$A$1:$I$89,3,0)*0.475*44/12</f>
        <v>1.2707449562801931E-16</v>
      </c>
      <c r="AX179" s="21">
        <f t="shared" si="166"/>
        <v>6.0655375647475109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318.99999999999994</v>
      </c>
      <c r="BE179" s="13">
        <f>BD179*VLOOKUP('Données projet'!$B$11,Paramètres!$A$1:$I$89,3,0)*VLOOKUP('Données projet'!$B$11,Paramètres!$A$1:$I$89,5,0)</f>
        <v>253.79639999999995</v>
      </c>
      <c r="BF179" s="13">
        <f t="shared" si="167"/>
        <v>61.398168322280704</v>
      </c>
      <c r="BG179" s="20">
        <f t="shared" si="168"/>
        <v>548.9638731613054</v>
      </c>
      <c r="BH179" s="59">
        <f t="shared" si="116"/>
        <v>842.29720649463866</v>
      </c>
      <c r="BI179" s="59">
        <f ca="1">AVERAGE(OFFSET($BH$3,0,0,'Données projet'!$E$11+1,1))-AVERAGE(OFFSET($H$3,0,0,'Données projet'!$E$11+1,1))</f>
        <v>244.50301885429764</v>
      </c>
      <c r="BJ179" s="59">
        <f t="shared" si="146"/>
        <v>248.77995374147798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5.7158469204284081</v>
      </c>
      <c r="BQ179" s="21">
        <f>EXP(-LN(2)/25)*BQ178+(1-EXP(-LN(2)/25))/(LN(2)/25)*Calculateur!BL179*Calculateur!BN179*VLOOKUP('Données projet'!$B$11,Paramètres!$A$1:$I$89,3,0)*0.475*44/12</f>
        <v>0.21062849013047058</v>
      </c>
      <c r="BR179" s="21">
        <f>EXP(-LN(2)/2)*BR178+(1-EXP(-LN(2)/2))/(LN(2)/2)*BL179*BO179*VLOOKUP('Données projet'!$B$11,Paramètres!$A$1:$I$89,3,0)*0.475*44/12</f>
        <v>2.1883973809173197E-15</v>
      </c>
      <c r="BS179" s="22">
        <f t="shared" si="169"/>
        <v>5.9264754105588802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1">
        <f t="shared" si="140"/>
        <v>39.628266850007975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67">
        <f t="shared" si="110"/>
        <v>631.6616047637641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311.298</v>
      </c>
      <c r="P180" s="13">
        <f t="shared" si="141"/>
        <v>73.539838278528748</v>
      </c>
      <c r="Q180" s="20">
        <f t="shared" si="162"/>
        <v>670.25923500177089</v>
      </c>
      <c r="R180" s="59">
        <f t="shared" si="109"/>
        <v>963.59256833510426</v>
      </c>
      <c r="S180" s="59">
        <f ca="1">AVERAGE(OFFSET($R$3,0,0,'Données projet'!$E$9+1,1))-AVERAGE(OFFSET($H$3,0,0,'Données projet'!$E$9+1,1))</f>
        <v>342.91408684769942</v>
      </c>
      <c r="T180" s="59">
        <f t="shared" si="142"/>
        <v>209.92380505963234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23.301277998863966</v>
      </c>
      <c r="AA180" s="21">
        <f>EXP(-LN(2)/25)*AA179+(1-EXP(-LN(2)/25))/(LN(2)/25)*Calculateur!V180*Calculateur!X180*VLOOKUP('Données projet'!$B$9,Paramètres!$A$1:$I$89,3,0)*0.475*44/12</f>
        <v>0.79841222678554225</v>
      </c>
      <c r="AB180" s="21">
        <f>EXP(-LN(2)/2)*AB179+(1-EXP(-LN(2)/2))/(LN(2)/2)*V180*Y180*VLOOKUP('Données projet'!$B$9,Paramètres!$A$1:$I$89,3,0)*0.475*44/12</f>
        <v>7.8628904002894672E-10</v>
      </c>
      <c r="AC180" s="22">
        <f t="shared" si="163"/>
        <v>24.099690226435801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432.99999999999989</v>
      </c>
      <c r="AJ180" s="13">
        <f>AI180*VLOOKUP('Données projet'!$B$10,Paramètres!$A$1:$I$89,3,0)*VLOOKUP('Données projet'!$B$10,Paramètres!$A$1:$I$89,5,0)</f>
        <v>290.45639999999992</v>
      </c>
      <c r="AK180" s="13">
        <f t="shared" si="164"/>
        <v>69.172009514864612</v>
      </c>
      <c r="AL180" s="20">
        <f t="shared" si="165"/>
        <v>626.3528132383891</v>
      </c>
      <c r="AM180" s="59">
        <f t="shared" si="113"/>
        <v>919.68614657172247</v>
      </c>
      <c r="AN180" s="59">
        <f ca="1">AVERAGE(OFFSET($AM$3,0,0,'Données projet'!$E$10+1,1))-AVERAGE(OFFSET($H$3,0,0,'Données projet'!$E$10+1,1))</f>
        <v>296.25231821504275</v>
      </c>
      <c r="AO180" s="59">
        <f t="shared" si="144"/>
        <v>316.20936902390275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5.7574094306074501</v>
      </c>
      <c r="AV180" s="21">
        <f>EXP(-LN(2)/25)*AV179+(1-EXP(-LN(2)/25))/(LN(2)/25)*Calculateur!AQ180*Calculateur!AS180*VLOOKUP('Données projet'!$B$10,Paramètres!$A$1:$I$89,3,0)*0.475*44/12</f>
        <v>0.18769388605419068</v>
      </c>
      <c r="AW180" s="21">
        <f>EXP(-LN(2)/2)*AW179+(1-EXP(-LN(2)/2))/(LN(2)/2)*AQ180*AT180*VLOOKUP('Données projet'!$B$10,Paramètres!$A$1:$I$89,3,0)*0.475*44/12</f>
        <v>8.9855237574432738E-17</v>
      </c>
      <c r="AX180" s="21">
        <f t="shared" si="166"/>
        <v>5.9451033166616405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318.99999999999994</v>
      </c>
      <c r="BE180" s="13">
        <f>BD180*VLOOKUP('Données projet'!$B$11,Paramètres!$A$1:$I$89,3,0)*VLOOKUP('Données projet'!$B$11,Paramètres!$A$1:$I$89,5,0)</f>
        <v>253.79639999999995</v>
      </c>
      <c r="BF180" s="13">
        <f t="shared" si="167"/>
        <v>61.398168322280704</v>
      </c>
      <c r="BG180" s="20">
        <f t="shared" si="168"/>
        <v>548.9638731613054</v>
      </c>
      <c r="BH180" s="59">
        <f t="shared" si="116"/>
        <v>842.29720649463866</v>
      </c>
      <c r="BI180" s="59">
        <f ca="1">AVERAGE(OFFSET($BH$3,0,0,'Données projet'!$E$11+1,1))-AVERAGE(OFFSET($H$3,0,0,'Données projet'!$E$11+1,1))</f>
        <v>244.50301885429764</v>
      </c>
      <c r="BJ180" s="59">
        <f t="shared" si="146"/>
        <v>248.77995374147798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5.6037626486411831</v>
      </c>
      <c r="BQ180" s="21">
        <f>EXP(-LN(2)/25)*BQ179+(1-EXP(-LN(2)/25))/(LN(2)/25)*Calculateur!BL180*Calculateur!BN180*VLOOKUP('Données projet'!$B$11,Paramètres!$A$1:$I$89,3,0)*0.475*44/12</f>
        <v>0.20486884299138197</v>
      </c>
      <c r="BR180" s="21">
        <f>EXP(-LN(2)/2)*BR179+(1-EXP(-LN(2)/2))/(LN(2)/2)*BL180*BO180*VLOOKUP('Données projet'!$B$11,Paramètres!$A$1:$I$89,3,0)*0.475*44/12</f>
        <v>1.5474306279775169E-15</v>
      </c>
      <c r="BS180" s="22">
        <f t="shared" si="169"/>
        <v>5.8086314916325668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1">
        <f t="shared" si="140"/>
        <v>39.826029828200369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67">
        <f t="shared" si="110"/>
        <v>633.52756195078257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311.298</v>
      </c>
      <c r="P181" s="13">
        <f t="shared" si="141"/>
        <v>73.539838278528748</v>
      </c>
      <c r="Q181" s="20">
        <f t="shared" si="162"/>
        <v>670.25923500177089</v>
      </c>
      <c r="R181" s="59">
        <f t="shared" si="109"/>
        <v>963.59256833510426</v>
      </c>
      <c r="S181" s="59">
        <f ca="1">AVERAGE(OFFSET($R$3,0,0,'Données projet'!$E$9+1,1))-AVERAGE(OFFSET($H$3,0,0,'Données projet'!$E$9+1,1))</f>
        <v>342.91408684769942</v>
      </c>
      <c r="T181" s="59">
        <f t="shared" si="142"/>
        <v>209.92380505963234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22.844354149682466</v>
      </c>
      <c r="AA181" s="21">
        <f>EXP(-LN(2)/25)*AA180+(1-EXP(-LN(2)/25))/(LN(2)/25)*Calculateur!V181*Calculateur!X181*VLOOKUP('Données projet'!$B$9,Paramètres!$A$1:$I$89,3,0)*0.475*44/12</f>
        <v>0.77657960245741742</v>
      </c>
      <c r="AB181" s="21">
        <f>EXP(-LN(2)/2)*AB180+(1-EXP(-LN(2)/2))/(LN(2)/2)*V181*Y181*VLOOKUP('Données projet'!$B$9,Paramètres!$A$1:$I$89,3,0)*0.475*44/12</f>
        <v>5.5599031217712892E-10</v>
      </c>
      <c r="AC181" s="22">
        <f t="shared" si="163"/>
        <v>23.620933752695873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432.99999999999989</v>
      </c>
      <c r="AJ181" s="13">
        <f>AI181*VLOOKUP('Données projet'!$B$10,Paramètres!$A$1:$I$89,3,0)*VLOOKUP('Données projet'!$B$10,Paramètres!$A$1:$I$89,5,0)</f>
        <v>290.45639999999992</v>
      </c>
      <c r="AK181" s="13">
        <f t="shared" si="164"/>
        <v>69.172009514864612</v>
      </c>
      <c r="AL181" s="20">
        <f t="shared" si="165"/>
        <v>626.3528132383891</v>
      </c>
      <c r="AM181" s="59">
        <f t="shared" si="113"/>
        <v>919.68614657172247</v>
      </c>
      <c r="AN181" s="59">
        <f ca="1">AVERAGE(OFFSET($AM$3,0,0,'Données projet'!$E$10+1,1))-AVERAGE(OFFSET($H$3,0,0,'Données projet'!$E$10+1,1))</f>
        <v>296.25231821504275</v>
      </c>
      <c r="AO181" s="59">
        <f t="shared" si="144"/>
        <v>316.20936902390275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5.6445101433462419</v>
      </c>
      <c r="AV181" s="21">
        <f>EXP(-LN(2)/25)*AV180+(1-EXP(-LN(2)/25))/(LN(2)/25)*Calculateur!AQ181*Calculateur!AS181*VLOOKUP('Données projet'!$B$10,Paramètres!$A$1:$I$89,3,0)*0.475*44/12</f>
        <v>0.18256138686964635</v>
      </c>
      <c r="AW181" s="21">
        <f>EXP(-LN(2)/2)*AW180+(1-EXP(-LN(2)/2))/(LN(2)/2)*AQ181*AT181*VLOOKUP('Données projet'!$B$10,Paramètres!$A$1:$I$89,3,0)*0.475*44/12</f>
        <v>6.3537247814009654E-17</v>
      </c>
      <c r="AX181" s="21">
        <f t="shared" si="166"/>
        <v>5.8270715302158882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318.99999999999994</v>
      </c>
      <c r="BE181" s="13">
        <f>BD181*VLOOKUP('Données projet'!$B$11,Paramètres!$A$1:$I$89,3,0)*VLOOKUP('Données projet'!$B$11,Paramètres!$A$1:$I$89,5,0)</f>
        <v>253.79639999999995</v>
      </c>
      <c r="BF181" s="13">
        <f t="shared" si="167"/>
        <v>61.398168322280704</v>
      </c>
      <c r="BG181" s="20">
        <f t="shared" si="168"/>
        <v>548.9638731613054</v>
      </c>
      <c r="BH181" s="59">
        <f t="shared" si="116"/>
        <v>842.29720649463866</v>
      </c>
      <c r="BI181" s="59">
        <f ca="1">AVERAGE(OFFSET($BH$3,0,0,'Données projet'!$E$11+1,1))-AVERAGE(OFFSET($H$3,0,0,'Données projet'!$E$11+1,1))</f>
        <v>244.50301885429764</v>
      </c>
      <c r="BJ181" s="59">
        <f t="shared" si="146"/>
        <v>248.77995374147798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5.49387628105905</v>
      </c>
      <c r="BQ181" s="21">
        <f>EXP(-LN(2)/25)*BQ180+(1-EXP(-LN(2)/25))/(LN(2)/25)*Calculateur!BL181*Calculateur!BN181*VLOOKUP('Données projet'!$B$11,Paramètres!$A$1:$I$89,3,0)*0.475*44/12</f>
        <v>0.1992666937061984</v>
      </c>
      <c r="BR181" s="21">
        <f>EXP(-LN(2)/2)*BR180+(1-EXP(-LN(2)/2))/(LN(2)/2)*BL181*BO181*VLOOKUP('Données projet'!$B$11,Paramètres!$A$1:$I$89,3,0)*0.475*44/12</f>
        <v>1.0941986904586599E-15</v>
      </c>
      <c r="BS181" s="22">
        <f t="shared" si="169"/>
        <v>5.6931429747652489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1">
        <f t="shared" si="140"/>
        <v>40.023663524293241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67">
        <f t="shared" si="110"/>
        <v>635.39329397147765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311.298</v>
      </c>
      <c r="P182" s="13">
        <f t="shared" si="141"/>
        <v>73.539838278528748</v>
      </c>
      <c r="Q182" s="20">
        <f t="shared" si="162"/>
        <v>670.25923500177089</v>
      </c>
      <c r="R182" s="59">
        <f t="shared" si="109"/>
        <v>963.59256833510426</v>
      </c>
      <c r="S182" s="59">
        <f ca="1">AVERAGE(OFFSET($R$3,0,0,'Données projet'!$E$9+1,1))-AVERAGE(OFFSET($H$3,0,0,'Données projet'!$E$9+1,1))</f>
        <v>342.91408684769942</v>
      </c>
      <c r="T182" s="59">
        <f t="shared" si="142"/>
        <v>209.92380505963234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22.39639029848739</v>
      </c>
      <c r="AA182" s="21">
        <f>EXP(-LN(2)/25)*AA181+(1-EXP(-LN(2)/25))/(LN(2)/25)*Calculateur!V182*Calculateur!X182*VLOOKUP('Données projet'!$B$9,Paramètres!$A$1:$I$89,3,0)*0.475*44/12</f>
        <v>0.75534399238967298</v>
      </c>
      <c r="AB182" s="21">
        <f>EXP(-LN(2)/2)*AB181+(1-EXP(-LN(2)/2))/(LN(2)/2)*V182*Y182*VLOOKUP('Données projet'!$B$9,Paramètres!$A$1:$I$89,3,0)*0.475*44/12</f>
        <v>3.9314452001447336E-10</v>
      </c>
      <c r="AC182" s="22">
        <f t="shared" si="163"/>
        <v>23.151734291270206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432.99999999999989</v>
      </c>
      <c r="AJ182" s="13">
        <f>AI182*VLOOKUP('Données projet'!$B$10,Paramètres!$A$1:$I$89,3,0)*VLOOKUP('Données projet'!$B$10,Paramètres!$A$1:$I$89,5,0)</f>
        <v>290.45639999999992</v>
      </c>
      <c r="AK182" s="13">
        <f t="shared" si="164"/>
        <v>69.172009514864612</v>
      </c>
      <c r="AL182" s="20">
        <f t="shared" si="165"/>
        <v>626.3528132383891</v>
      </c>
      <c r="AM182" s="59">
        <f t="shared" si="113"/>
        <v>919.68614657172247</v>
      </c>
      <c r="AN182" s="59">
        <f ca="1">AVERAGE(OFFSET($AM$3,0,0,'Données projet'!$E$10+1,1))-AVERAGE(OFFSET($H$3,0,0,'Données projet'!$E$10+1,1))</f>
        <v>296.25231821504275</v>
      </c>
      <c r="AO182" s="59">
        <f t="shared" si="144"/>
        <v>316.20936902390275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5.5338247422464599</v>
      </c>
      <c r="AV182" s="21">
        <f>EXP(-LN(2)/25)*AV181+(1-EXP(-LN(2)/25))/(LN(2)/25)*Calculateur!AQ182*Calculateur!AS182*VLOOKUP('Données projet'!$B$10,Paramètres!$A$1:$I$89,3,0)*0.475*44/12</f>
        <v>0.17756923614520978</v>
      </c>
      <c r="AW182" s="21">
        <f>EXP(-LN(2)/2)*AW181+(1-EXP(-LN(2)/2))/(LN(2)/2)*AQ182*AT182*VLOOKUP('Données projet'!$B$10,Paramètres!$A$1:$I$89,3,0)*0.475*44/12</f>
        <v>4.4927618787216369E-17</v>
      </c>
      <c r="AX182" s="21">
        <f t="shared" si="166"/>
        <v>5.7113939783916701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318.99999999999994</v>
      </c>
      <c r="BE182" s="13">
        <f>BD182*VLOOKUP('Données projet'!$B$11,Paramètres!$A$1:$I$89,3,0)*VLOOKUP('Données projet'!$B$11,Paramètres!$A$1:$I$89,5,0)</f>
        <v>253.79639999999995</v>
      </c>
      <c r="BF182" s="13">
        <f t="shared" si="167"/>
        <v>61.398168322280704</v>
      </c>
      <c r="BG182" s="20">
        <f t="shared" si="168"/>
        <v>548.9638731613054</v>
      </c>
      <c r="BH182" s="59">
        <f t="shared" si="116"/>
        <v>842.29720649463866</v>
      </c>
      <c r="BI182" s="59">
        <f ca="1">AVERAGE(OFFSET($BH$3,0,0,'Données projet'!$E$11+1,1))-AVERAGE(OFFSET($H$3,0,0,'Données projet'!$E$11+1,1))</f>
        <v>244.50301885429764</v>
      </c>
      <c r="BJ182" s="59">
        <f t="shared" si="146"/>
        <v>248.77995374147798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5.3861447181211366</v>
      </c>
      <c r="BQ182" s="21">
        <f>EXP(-LN(2)/25)*BQ181+(1-EXP(-LN(2)/25))/(LN(2)/25)*Calculateur!BL182*Calculateur!BN182*VLOOKUP('Données projet'!$B$11,Paramètres!$A$1:$I$89,3,0)*0.475*44/12</f>
        <v>0.19381773548782241</v>
      </c>
      <c r="BR182" s="21">
        <f>EXP(-LN(2)/2)*BR181+(1-EXP(-LN(2)/2))/(LN(2)/2)*BL182*BO182*VLOOKUP('Données projet'!$B$11,Paramètres!$A$1:$I$89,3,0)*0.475*44/12</f>
        <v>7.7371531398875845E-16</v>
      </c>
      <c r="BS182" s="22">
        <f t="shared" si="169"/>
        <v>5.5799624536089603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1">
        <f t="shared" si="140"/>
        <v>40.221168744348681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67">
        <f t="shared" si="110"/>
        <v>637.25880222974092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311.298</v>
      </c>
      <c r="P183" s="13">
        <f t="shared" si="141"/>
        <v>73.539838278528748</v>
      </c>
      <c r="Q183" s="20">
        <f t="shared" si="162"/>
        <v>670.25923500177089</v>
      </c>
      <c r="R183" s="59">
        <f t="shared" si="109"/>
        <v>963.59256833510426</v>
      </c>
      <c r="S183" s="59">
        <f ca="1">AVERAGE(OFFSET($R$3,0,0,'Données projet'!$E$9+1,1))-AVERAGE(OFFSET($H$3,0,0,'Données projet'!$E$9+1,1))</f>
        <v>342.91408684769942</v>
      </c>
      <c r="T183" s="59">
        <f t="shared" si="142"/>
        <v>209.92380505963234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21.957210745183275</v>
      </c>
      <c r="AA183" s="21">
        <f>EXP(-LN(2)/25)*AA182+(1-EXP(-LN(2)/25))/(LN(2)/25)*Calculateur!V183*Calculateur!X183*VLOOKUP('Données projet'!$B$9,Paramètres!$A$1:$I$89,3,0)*0.475*44/12</f>
        <v>0.73468907119596316</v>
      </c>
      <c r="AB183" s="21">
        <f>EXP(-LN(2)/2)*AB182+(1-EXP(-LN(2)/2))/(LN(2)/2)*V183*Y183*VLOOKUP('Données projet'!$B$9,Paramètres!$A$1:$I$89,3,0)*0.475*44/12</f>
        <v>2.7799515608856446E-10</v>
      </c>
      <c r="AC183" s="22">
        <f t="shared" si="163"/>
        <v>22.691899816657234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432.99999999999989</v>
      </c>
      <c r="AJ183" s="13">
        <f>AI183*VLOOKUP('Données projet'!$B$10,Paramètres!$A$1:$I$89,3,0)*VLOOKUP('Données projet'!$B$10,Paramètres!$A$1:$I$89,5,0)</f>
        <v>290.45639999999992</v>
      </c>
      <c r="AK183" s="13">
        <f t="shared" si="164"/>
        <v>69.172009514864612</v>
      </c>
      <c r="AL183" s="20">
        <f t="shared" si="165"/>
        <v>626.3528132383891</v>
      </c>
      <c r="AM183" s="59">
        <f t="shared" si="113"/>
        <v>919.68614657172247</v>
      </c>
      <c r="AN183" s="59">
        <f ca="1">AVERAGE(OFFSET($AM$3,0,0,'Données projet'!$E$10+1,1))-AVERAGE(OFFSET($H$3,0,0,'Données projet'!$E$10+1,1))</f>
        <v>296.25231821504275</v>
      </c>
      <c r="AO183" s="59">
        <f t="shared" si="144"/>
        <v>316.20936902390275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5.4253098143508165</v>
      </c>
      <c r="AV183" s="21">
        <f>EXP(-LN(2)/25)*AV182+(1-EXP(-LN(2)/25))/(LN(2)/25)*Calculateur!AQ183*Calculateur!AS183*VLOOKUP('Données projet'!$B$10,Paramètres!$A$1:$I$89,3,0)*0.475*44/12</f>
        <v>0.17271359604485872</v>
      </c>
      <c r="AW183" s="21">
        <f>EXP(-LN(2)/2)*AW182+(1-EXP(-LN(2)/2))/(LN(2)/2)*AQ183*AT183*VLOOKUP('Données projet'!$B$10,Paramètres!$A$1:$I$89,3,0)*0.475*44/12</f>
        <v>3.1768623907004827E-17</v>
      </c>
      <c r="AX183" s="21">
        <f t="shared" si="166"/>
        <v>5.5980234103956752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318.99999999999994</v>
      </c>
      <c r="BE183" s="13">
        <f>BD183*VLOOKUP('Données projet'!$B$11,Paramètres!$A$1:$I$89,3,0)*VLOOKUP('Données projet'!$B$11,Paramètres!$A$1:$I$89,5,0)</f>
        <v>253.79639999999995</v>
      </c>
      <c r="BF183" s="13">
        <f t="shared" si="167"/>
        <v>61.398168322280704</v>
      </c>
      <c r="BG183" s="20">
        <f t="shared" si="168"/>
        <v>548.9638731613054</v>
      </c>
      <c r="BH183" s="59">
        <f t="shared" si="116"/>
        <v>842.29720649463866</v>
      </c>
      <c r="BI183" s="59">
        <f ca="1">AVERAGE(OFFSET($BH$3,0,0,'Données projet'!$E$11+1,1))-AVERAGE(OFFSET($H$3,0,0,'Données projet'!$E$11+1,1))</f>
        <v>244.50301885429764</v>
      </c>
      <c r="BJ183" s="59">
        <f t="shared" si="146"/>
        <v>248.77995374147798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5.2805257054226704</v>
      </c>
      <c r="BQ183" s="21">
        <f>EXP(-LN(2)/25)*BQ182+(1-EXP(-LN(2)/25))/(LN(2)/25)*Calculateur!BL183*Calculateur!BN183*VLOOKUP('Données projet'!$B$11,Paramètres!$A$1:$I$89,3,0)*0.475*44/12</f>
        <v>0.18851777931847619</v>
      </c>
      <c r="BR183" s="21">
        <f>EXP(-LN(2)/2)*BR182+(1-EXP(-LN(2)/2))/(LN(2)/2)*BL183*BO183*VLOOKUP('Données projet'!$B$11,Paramètres!$A$1:$I$89,3,0)*0.475*44/12</f>
        <v>5.4709934522932993E-16</v>
      </c>
      <c r="BS183" s="22">
        <f t="shared" si="169"/>
        <v>5.4690434847411478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1">
        <f t="shared" si="140"/>
        <v>40.418546284954282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67">
        <f t="shared" si="110"/>
        <v>639.12408811296234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311.298</v>
      </c>
      <c r="P184" s="13">
        <f t="shared" si="141"/>
        <v>73.539838278528748</v>
      </c>
      <c r="Q184" s="20">
        <f t="shared" si="162"/>
        <v>670.25923500177089</v>
      </c>
      <c r="R184" s="59">
        <f t="shared" si="109"/>
        <v>963.59256833510426</v>
      </c>
      <c r="S184" s="59">
        <f ca="1">AVERAGE(OFFSET($R$3,0,0,'Données projet'!$E$9+1,1))-AVERAGE(OFFSET($H$3,0,0,'Données projet'!$E$9+1,1))</f>
        <v>342.91408684769942</v>
      </c>
      <c r="T184" s="59">
        <f t="shared" si="142"/>
        <v>209.92380505963234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21.526643235046379</v>
      </c>
      <c r="AA184" s="21">
        <f>EXP(-LN(2)/25)*AA183+(1-EXP(-LN(2)/25))/(LN(2)/25)*Calculateur!V184*Calculateur!X184*VLOOKUP('Données projet'!$B$9,Paramètres!$A$1:$I$89,3,0)*0.475*44/12</f>
        <v>0.71459895990849043</v>
      </c>
      <c r="AB184" s="21">
        <f>EXP(-LN(2)/2)*AB183+(1-EXP(-LN(2)/2))/(LN(2)/2)*V184*Y184*VLOOKUP('Données projet'!$B$9,Paramètres!$A$1:$I$89,3,0)*0.475*44/12</f>
        <v>1.9657226000723668E-10</v>
      </c>
      <c r="AC184" s="22">
        <f t="shared" si="163"/>
        <v>22.24124219515144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432.99999999999989</v>
      </c>
      <c r="AJ184" s="13">
        <f>AI184*VLOOKUP('Données projet'!$B$10,Paramètres!$A$1:$I$89,3,0)*VLOOKUP('Données projet'!$B$10,Paramètres!$A$1:$I$89,5,0)</f>
        <v>290.45639999999992</v>
      </c>
      <c r="AK184" s="13">
        <f t="shared" si="164"/>
        <v>69.172009514864612</v>
      </c>
      <c r="AL184" s="20">
        <f t="shared" si="165"/>
        <v>626.3528132383891</v>
      </c>
      <c r="AM184" s="59">
        <f t="shared" si="113"/>
        <v>919.68614657172247</v>
      </c>
      <c r="AN184" s="59">
        <f ca="1">AVERAGE(OFFSET($AM$3,0,0,'Données projet'!$E$10+1,1))-AVERAGE(OFFSET($H$3,0,0,'Données projet'!$E$10+1,1))</f>
        <v>296.25231821504275</v>
      </c>
      <c r="AO184" s="59">
        <f t="shared" si="144"/>
        <v>316.20936902390275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5.3189227980036362</v>
      </c>
      <c r="AV184" s="21">
        <f>EXP(-LN(2)/25)*AV183+(1-EXP(-LN(2)/25))/(LN(2)/25)*Calculateur!AQ184*Calculateur!AS184*VLOOKUP('Données projet'!$B$10,Paramètres!$A$1:$I$89,3,0)*0.475*44/12</f>
        <v>0.16799073367839878</v>
      </c>
      <c r="AW184" s="21">
        <f>EXP(-LN(2)/2)*AW183+(1-EXP(-LN(2)/2))/(LN(2)/2)*AQ184*AT184*VLOOKUP('Données projet'!$B$10,Paramètres!$A$1:$I$89,3,0)*0.475*44/12</f>
        <v>2.2463809393608185E-17</v>
      </c>
      <c r="AX184" s="21">
        <f t="shared" si="166"/>
        <v>5.4869135316820348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318.99999999999994</v>
      </c>
      <c r="BE184" s="13">
        <f>BD184*VLOOKUP('Données projet'!$B$11,Paramètres!$A$1:$I$89,3,0)*VLOOKUP('Données projet'!$B$11,Paramètres!$A$1:$I$89,5,0)</f>
        <v>253.79639999999995</v>
      </c>
      <c r="BF184" s="13">
        <f t="shared" si="167"/>
        <v>61.398168322280704</v>
      </c>
      <c r="BG184" s="20">
        <f t="shared" si="168"/>
        <v>548.9638731613054</v>
      </c>
      <c r="BH184" s="59">
        <f t="shared" si="116"/>
        <v>842.29720649463866</v>
      </c>
      <c r="BI184" s="59">
        <f ca="1">AVERAGE(OFFSET($BH$3,0,0,'Données projet'!$E$11+1,1))-AVERAGE(OFFSET($H$3,0,0,'Données projet'!$E$11+1,1))</f>
        <v>244.50301885429764</v>
      </c>
      <c r="BJ184" s="59">
        <f t="shared" si="146"/>
        <v>248.77995374147798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5.1769778171419842</v>
      </c>
      <c r="BQ184" s="21">
        <f>EXP(-LN(2)/25)*BQ183+(1-EXP(-LN(2)/25))/(LN(2)/25)*Calculateur!BL184*Calculateur!BN184*VLOOKUP('Données projet'!$B$11,Paramètres!$A$1:$I$89,3,0)*0.475*44/12</f>
        <v>0.18336275072929331</v>
      </c>
      <c r="BR184" s="21">
        <f>EXP(-LN(2)/2)*BR183+(1-EXP(-LN(2)/2))/(LN(2)/2)*BL184*BO184*VLOOKUP('Données projet'!$B$11,Paramètres!$A$1:$I$89,3,0)*0.475*44/12</f>
        <v>3.8685765699437922E-16</v>
      </c>
      <c r="BS184" s="22">
        <f t="shared" si="169"/>
        <v>5.3603405678712779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1">
        <f t="shared" si="140"/>
        <v>40.615796933386079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67">
        <f t="shared" si="110"/>
        <v>640.9891529923143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311.298</v>
      </c>
      <c r="P185" s="13">
        <f t="shared" si="141"/>
        <v>73.539838278528748</v>
      </c>
      <c r="Q185" s="20">
        <f t="shared" si="162"/>
        <v>670.25923500177089</v>
      </c>
      <c r="R185" s="59">
        <f t="shared" si="109"/>
        <v>963.59256833510426</v>
      </c>
      <c r="S185" s="59">
        <f ca="1">AVERAGE(OFFSET($R$3,0,0,'Données projet'!$E$9+1,1))-AVERAGE(OFFSET($H$3,0,0,'Données projet'!$E$9+1,1))</f>
        <v>342.91408684769942</v>
      </c>
      <c r="T185" s="59">
        <f t="shared" si="142"/>
        <v>209.92380505963234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21.104518891163018</v>
      </c>
      <c r="AA185" s="21">
        <f>EXP(-LN(2)/25)*AA184+(1-EXP(-LN(2)/25))/(LN(2)/25)*Calculateur!V185*Calculateur!X185*VLOOKUP('Données projet'!$B$9,Paramètres!$A$1:$I$89,3,0)*0.475*44/12</f>
        <v>0.69505821377066668</v>
      </c>
      <c r="AB185" s="21">
        <f>EXP(-LN(2)/2)*AB184+(1-EXP(-LN(2)/2))/(LN(2)/2)*V185*Y185*VLOOKUP('Données projet'!$B$9,Paramètres!$A$1:$I$89,3,0)*0.475*44/12</f>
        <v>1.3899757804428223E-10</v>
      </c>
      <c r="AC185" s="22">
        <f t="shared" si="163"/>
        <v>21.799577105072682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432.99999999999989</v>
      </c>
      <c r="AJ185" s="13">
        <f>AI185*VLOOKUP('Données projet'!$B$10,Paramètres!$A$1:$I$89,3,0)*VLOOKUP('Données projet'!$B$10,Paramètres!$A$1:$I$89,5,0)</f>
        <v>290.45639999999992</v>
      </c>
      <c r="AK185" s="13">
        <f t="shared" si="164"/>
        <v>69.172009514864612</v>
      </c>
      <c r="AL185" s="20">
        <f t="shared" si="165"/>
        <v>626.3528132383891</v>
      </c>
      <c r="AM185" s="59">
        <f t="shared" si="113"/>
        <v>919.68614657172247</v>
      </c>
      <c r="AN185" s="59">
        <f ca="1">AVERAGE(OFFSET($AM$3,0,0,'Données projet'!$E$10+1,1))-AVERAGE(OFFSET($H$3,0,0,'Données projet'!$E$10+1,1))</f>
        <v>296.25231821504275</v>
      </c>
      <c r="AO185" s="59">
        <f t="shared" si="144"/>
        <v>316.20936902390275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5.2146219661573516</v>
      </c>
      <c r="AV185" s="21">
        <f>EXP(-LN(2)/25)*AV184+(1-EXP(-LN(2)/25))/(LN(2)/25)*Calculateur!AQ185*Calculateur!AS185*VLOOKUP('Données projet'!$B$10,Paramètres!$A$1:$I$89,3,0)*0.475*44/12</f>
        <v>0.16339701823171424</v>
      </c>
      <c r="AW185" s="21">
        <f>EXP(-LN(2)/2)*AW184+(1-EXP(-LN(2)/2))/(LN(2)/2)*AQ185*AT185*VLOOKUP('Données projet'!$B$10,Paramètres!$A$1:$I$89,3,0)*0.475*44/12</f>
        <v>1.5884311953502413E-17</v>
      </c>
      <c r="AX185" s="21">
        <f t="shared" si="166"/>
        <v>5.3780189843890662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318.99999999999994</v>
      </c>
      <c r="BE185" s="13">
        <f>BD185*VLOOKUP('Données projet'!$B$11,Paramètres!$A$1:$I$89,3,0)*VLOOKUP('Données projet'!$B$11,Paramètres!$A$1:$I$89,5,0)</f>
        <v>253.79639999999995</v>
      </c>
      <c r="BF185" s="13">
        <f t="shared" si="167"/>
        <v>61.398168322280704</v>
      </c>
      <c r="BG185" s="20">
        <f t="shared" si="168"/>
        <v>548.9638731613054</v>
      </c>
      <c r="BH185" s="59">
        <f t="shared" si="116"/>
        <v>842.29720649463866</v>
      </c>
      <c r="BI185" s="59">
        <f ca="1">AVERAGE(OFFSET($BH$3,0,0,'Données projet'!$E$11+1,1))-AVERAGE(OFFSET($H$3,0,0,'Données projet'!$E$11+1,1))</f>
        <v>244.50301885429764</v>
      </c>
      <c r="BJ185" s="59">
        <f t="shared" si="146"/>
        <v>248.77995374147798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5.0754604397925069</v>
      </c>
      <c r="BQ185" s="21">
        <f>EXP(-LN(2)/25)*BQ184+(1-EXP(-LN(2)/25))/(LN(2)/25)*Calculateur!BL185*Calculateur!BN185*VLOOKUP('Données projet'!$B$11,Paramètres!$A$1:$I$89,3,0)*0.475*44/12</f>
        <v>0.17834868666797279</v>
      </c>
      <c r="BR185" s="21">
        <f>EXP(-LN(2)/2)*BR184+(1-EXP(-LN(2)/2))/(LN(2)/2)*BL185*BO185*VLOOKUP('Données projet'!$B$11,Paramètres!$A$1:$I$89,3,0)*0.475*44/12</f>
        <v>2.7354967261466496E-16</v>
      </c>
      <c r="BS185" s="22">
        <f t="shared" si="169"/>
        <v>5.2538091264604798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1">
        <f t="shared" si="140"/>
        <v>40.812921467768071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67">
        <f t="shared" si="110"/>
        <v>642.85399822302975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311.298</v>
      </c>
      <c r="P186" s="13">
        <f t="shared" si="141"/>
        <v>73.539838278528748</v>
      </c>
      <c r="Q186" s="20">
        <f t="shared" si="162"/>
        <v>670.25923500177089</v>
      </c>
      <c r="R186" s="59">
        <f t="shared" si="109"/>
        <v>963.59256833510426</v>
      </c>
      <c r="S186" s="59">
        <f ca="1">AVERAGE(OFFSET($R$3,0,0,'Données projet'!$E$9+1,1))-AVERAGE(OFFSET($H$3,0,0,'Données projet'!$E$9+1,1))</f>
        <v>342.91408684769942</v>
      </c>
      <c r="T186" s="59">
        <f t="shared" si="142"/>
        <v>209.92380505963234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20.690672148192782</v>
      </c>
      <c r="AA186" s="21">
        <f>EXP(-LN(2)/25)*AA185+(1-EXP(-LN(2)/25))/(LN(2)/25)*Calculateur!V186*Calculateur!X186*VLOOKUP('Données projet'!$B$9,Paramètres!$A$1:$I$89,3,0)*0.475*44/12</f>
        <v>0.67605181036358486</v>
      </c>
      <c r="AB186" s="21">
        <f>EXP(-LN(2)/2)*AB185+(1-EXP(-LN(2)/2))/(LN(2)/2)*V186*Y186*VLOOKUP('Données projet'!$B$9,Paramètres!$A$1:$I$89,3,0)*0.475*44/12</f>
        <v>9.8286130003618339E-11</v>
      </c>
      <c r="AC186" s="22">
        <f t="shared" si="163"/>
        <v>21.366723958654653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432.99999999999989</v>
      </c>
      <c r="AJ186" s="13">
        <f>AI186*VLOOKUP('Données projet'!$B$10,Paramètres!$A$1:$I$89,3,0)*VLOOKUP('Données projet'!$B$10,Paramètres!$A$1:$I$89,5,0)</f>
        <v>290.45639999999992</v>
      </c>
      <c r="AK186" s="13">
        <f t="shared" si="164"/>
        <v>69.172009514864612</v>
      </c>
      <c r="AL186" s="20">
        <f t="shared" si="165"/>
        <v>626.3528132383891</v>
      </c>
      <c r="AM186" s="59">
        <f t="shared" si="113"/>
        <v>919.68614657172247</v>
      </c>
      <c r="AN186" s="59">
        <f ca="1">AVERAGE(OFFSET($AM$3,0,0,'Données projet'!$E$10+1,1))-AVERAGE(OFFSET($H$3,0,0,'Données projet'!$E$10+1,1))</f>
        <v>296.25231821504275</v>
      </c>
      <c r="AO186" s="59">
        <f t="shared" si="144"/>
        <v>316.20936902390275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5.1123664100063468</v>
      </c>
      <c r="AV186" s="21">
        <f>EXP(-LN(2)/25)*AV185+(1-EXP(-LN(2)/25))/(LN(2)/25)*Calculateur!AQ186*Calculateur!AS186*VLOOKUP('Données projet'!$B$10,Paramètres!$A$1:$I$89,3,0)*0.475*44/12</f>
        <v>0.15892891817549226</v>
      </c>
      <c r="AW186" s="21">
        <f>EXP(-LN(2)/2)*AW185+(1-EXP(-LN(2)/2))/(LN(2)/2)*AQ186*AT186*VLOOKUP('Données projet'!$B$10,Paramètres!$A$1:$I$89,3,0)*0.475*44/12</f>
        <v>1.1231904696804092E-17</v>
      </c>
      <c r="AX186" s="21">
        <f t="shared" si="166"/>
        <v>5.2712953281818393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318.99999999999994</v>
      </c>
      <c r="BE186" s="13">
        <f>BD186*VLOOKUP('Données projet'!$B$11,Paramètres!$A$1:$I$89,3,0)*VLOOKUP('Données projet'!$B$11,Paramètres!$A$1:$I$89,5,0)</f>
        <v>253.79639999999995</v>
      </c>
      <c r="BF186" s="13">
        <f t="shared" si="167"/>
        <v>61.398168322280704</v>
      </c>
      <c r="BG186" s="20">
        <f t="shared" si="168"/>
        <v>548.9638731613054</v>
      </c>
      <c r="BH186" s="59">
        <f t="shared" si="116"/>
        <v>842.29720649463866</v>
      </c>
      <c r="BI186" s="59">
        <f ca="1">AVERAGE(OFFSET($BH$3,0,0,'Données projet'!$E$11+1,1))-AVERAGE(OFFSET($H$3,0,0,'Données projet'!$E$11+1,1))</f>
        <v>244.50301885429764</v>
      </c>
      <c r="BJ186" s="59">
        <f t="shared" si="146"/>
        <v>248.77995374147798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4.975933756293367</v>
      </c>
      <c r="BQ186" s="21">
        <f>EXP(-LN(2)/25)*BQ185+(1-EXP(-LN(2)/25))/(LN(2)/25)*Calculateur!BL186*Calculateur!BN186*VLOOKUP('Données projet'!$B$11,Paramètres!$A$1:$I$89,3,0)*0.475*44/12</f>
        <v>0.17347173245208727</v>
      </c>
      <c r="BR186" s="21">
        <f>EXP(-LN(2)/2)*BR185+(1-EXP(-LN(2)/2))/(LN(2)/2)*BL186*BO186*VLOOKUP('Données projet'!$B$11,Paramètres!$A$1:$I$89,3,0)*0.475*44/12</f>
        <v>1.9342882849718961E-16</v>
      </c>
      <c r="BS186" s="22">
        <f t="shared" si="169"/>
        <v>5.1494054887454546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1">
        <f t="shared" si="140"/>
        <v>41.00992065722788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67">
        <f t="shared" si="110"/>
        <v>644.71862514467216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311.298</v>
      </c>
      <c r="P187" s="13">
        <f t="shared" si="141"/>
        <v>73.539838278528748</v>
      </c>
      <c r="Q187" s="20">
        <f t="shared" si="162"/>
        <v>670.25923500177089</v>
      </c>
      <c r="R187" s="59">
        <f t="shared" si="109"/>
        <v>963.59256833510426</v>
      </c>
      <c r="S187" s="59">
        <f ca="1">AVERAGE(OFFSET($R$3,0,0,'Données projet'!$E$9+1,1))-AVERAGE(OFFSET($H$3,0,0,'Données projet'!$E$9+1,1))</f>
        <v>342.91408684769942</v>
      </c>
      <c r="T187" s="59">
        <f t="shared" si="142"/>
        <v>209.92380505963234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20.284940687430606</v>
      </c>
      <c r="AA187" s="21">
        <f>EXP(-LN(2)/25)*AA186+(1-EXP(-LN(2)/25))/(LN(2)/25)*Calculateur!V187*Calculateur!X187*VLOOKUP('Données projet'!$B$9,Paramètres!$A$1:$I$89,3,0)*0.475*44/12</f>
        <v>0.65756513805717309</v>
      </c>
      <c r="AB187" s="21">
        <f>EXP(-LN(2)/2)*AB186+(1-EXP(-LN(2)/2))/(LN(2)/2)*V187*Y187*VLOOKUP('Données projet'!$B$9,Paramètres!$A$1:$I$89,3,0)*0.475*44/12</f>
        <v>6.9498789022141116E-11</v>
      </c>
      <c r="AC187" s="22">
        <f t="shared" si="163"/>
        <v>20.942505825557276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432.99999999999989</v>
      </c>
      <c r="AJ187" s="13">
        <f>AI187*VLOOKUP('Données projet'!$B$10,Paramètres!$A$1:$I$89,3,0)*VLOOKUP('Données projet'!$B$10,Paramètres!$A$1:$I$89,5,0)</f>
        <v>290.45639999999992</v>
      </c>
      <c r="AK187" s="13">
        <f t="shared" si="164"/>
        <v>69.172009514864612</v>
      </c>
      <c r="AL187" s="20">
        <f t="shared" si="165"/>
        <v>626.3528132383891</v>
      </c>
      <c r="AM187" s="59">
        <f t="shared" si="113"/>
        <v>919.68614657172247</v>
      </c>
      <c r="AN187" s="59">
        <f ca="1">AVERAGE(OFFSET($AM$3,0,0,'Données projet'!$E$10+1,1))-AVERAGE(OFFSET($H$3,0,0,'Données projet'!$E$10+1,1))</f>
        <v>296.25231821504275</v>
      </c>
      <c r="AO187" s="59">
        <f t="shared" si="144"/>
        <v>316.20936902390275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5.0121160229417319</v>
      </c>
      <c r="AV187" s="21">
        <f>EXP(-LN(2)/25)*AV186+(1-EXP(-LN(2)/25))/(LN(2)/25)*Calculateur!AQ187*Calculateur!AS187*VLOOKUP('Données projet'!$B$10,Paramètres!$A$1:$I$89,3,0)*0.475*44/12</f>
        <v>0.15458299855027485</v>
      </c>
      <c r="AW187" s="21">
        <f>EXP(-LN(2)/2)*AW186+(1-EXP(-LN(2)/2))/(LN(2)/2)*AQ187*AT187*VLOOKUP('Données projet'!$B$10,Paramètres!$A$1:$I$89,3,0)*0.475*44/12</f>
        <v>7.9421559767512067E-18</v>
      </c>
      <c r="AX187" s="21">
        <f t="shared" si="166"/>
        <v>5.1666990214920068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318.99999999999994</v>
      </c>
      <c r="BE187" s="13">
        <f>BD187*VLOOKUP('Données projet'!$B$11,Paramètres!$A$1:$I$89,3,0)*VLOOKUP('Données projet'!$B$11,Paramètres!$A$1:$I$89,5,0)</f>
        <v>253.79639999999995</v>
      </c>
      <c r="BF187" s="13">
        <f t="shared" si="167"/>
        <v>61.398168322280704</v>
      </c>
      <c r="BG187" s="20">
        <f t="shared" si="168"/>
        <v>548.9638731613054</v>
      </c>
      <c r="BH187" s="59">
        <f t="shared" si="116"/>
        <v>842.29720649463866</v>
      </c>
      <c r="BI187" s="59">
        <f ca="1">AVERAGE(OFFSET($BH$3,0,0,'Données projet'!$E$11+1,1))-AVERAGE(OFFSET($H$3,0,0,'Données projet'!$E$11+1,1))</f>
        <v>244.50301885429764</v>
      </c>
      <c r="BJ187" s="59">
        <f t="shared" si="146"/>
        <v>248.77995374147798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4.8783587303523621</v>
      </c>
      <c r="BQ187" s="21">
        <f>EXP(-LN(2)/25)*BQ186+(1-EXP(-LN(2)/25))/(LN(2)/25)*Calculateur!BL187*Calculateur!BN187*VLOOKUP('Données projet'!$B$11,Paramètres!$A$1:$I$89,3,0)*0.475*44/12</f>
        <v>0.168728138805703</v>
      </c>
      <c r="BR187" s="21">
        <f>EXP(-LN(2)/2)*BR186+(1-EXP(-LN(2)/2))/(LN(2)/2)*BL187*BO187*VLOOKUP('Données projet'!$B$11,Paramètres!$A$1:$I$89,3,0)*0.475*44/12</f>
        <v>1.3677483630733248E-16</v>
      </c>
      <c r="BS187" s="22">
        <f t="shared" si="169"/>
        <v>5.0470868691580648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1">
        <f t="shared" si="140"/>
        <v>41.206795262049248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67">
        <f t="shared" si="110"/>
        <v>646.58303508140284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311.298</v>
      </c>
      <c r="P188" s="13">
        <f t="shared" si="141"/>
        <v>73.539838278528748</v>
      </c>
      <c r="Q188" s="20">
        <f t="shared" si="162"/>
        <v>670.25923500177089</v>
      </c>
      <c r="R188" s="59">
        <f t="shared" si="109"/>
        <v>963.59256833510426</v>
      </c>
      <c r="S188" s="59">
        <f ca="1">AVERAGE(OFFSET($R$3,0,0,'Données projet'!$E$9+1,1))-AVERAGE(OFFSET($H$3,0,0,'Données projet'!$E$9+1,1))</f>
        <v>342.91408684769942</v>
      </c>
      <c r="T188" s="59">
        <f t="shared" si="142"/>
        <v>209.92380505963234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19.887165373142217</v>
      </c>
      <c r="AA188" s="21">
        <f>EXP(-LN(2)/25)*AA187+(1-EXP(-LN(2)/25))/(LN(2)/25)*Calculateur!V188*Calculateur!X188*VLOOKUP('Données projet'!$B$9,Paramètres!$A$1:$I$89,3,0)*0.475*44/12</f>
        <v>0.63958398477715195</v>
      </c>
      <c r="AB188" s="21">
        <f>EXP(-LN(2)/2)*AB187+(1-EXP(-LN(2)/2))/(LN(2)/2)*V188*Y188*VLOOKUP('Données projet'!$B$9,Paramètres!$A$1:$I$89,3,0)*0.475*44/12</f>
        <v>4.914306500180917E-11</v>
      </c>
      <c r="AC188" s="22">
        <f t="shared" si="163"/>
        <v>20.526749357968512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432.99999999999989</v>
      </c>
      <c r="AJ188" s="13">
        <f>AI188*VLOOKUP('Données projet'!$B$10,Paramètres!$A$1:$I$89,3,0)*VLOOKUP('Données projet'!$B$10,Paramètres!$A$1:$I$89,5,0)</f>
        <v>290.45639999999992</v>
      </c>
      <c r="AK188" s="13">
        <f t="shared" si="164"/>
        <v>69.172009514864612</v>
      </c>
      <c r="AL188" s="20">
        <f t="shared" si="165"/>
        <v>626.3528132383891</v>
      </c>
      <c r="AM188" s="59">
        <f t="shared" si="113"/>
        <v>919.68614657172247</v>
      </c>
      <c r="AN188" s="59">
        <f ca="1">AVERAGE(OFFSET($AM$3,0,0,'Données projet'!$E$10+1,1))-AVERAGE(OFFSET($H$3,0,0,'Données projet'!$E$10+1,1))</f>
        <v>296.25231821504275</v>
      </c>
      <c r="AO188" s="59">
        <f t="shared" si="144"/>
        <v>316.20936902390275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4.913831484820756</v>
      </c>
      <c r="AV188" s="21">
        <f>EXP(-LN(2)/25)*AV187+(1-EXP(-LN(2)/25))/(LN(2)/25)*Calculateur!AQ188*Calculateur!AS188*VLOOKUP('Données projet'!$B$10,Paramètres!$A$1:$I$89,3,0)*0.475*44/12</f>
        <v>0.15035591832575099</v>
      </c>
      <c r="AW188" s="21">
        <f>EXP(-LN(2)/2)*AW187+(1-EXP(-LN(2)/2))/(LN(2)/2)*AQ188*AT188*VLOOKUP('Données projet'!$B$10,Paramètres!$A$1:$I$89,3,0)*0.475*44/12</f>
        <v>5.6159523484020461E-18</v>
      </c>
      <c r="AX188" s="21">
        <f t="shared" si="166"/>
        <v>5.0641874031465068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318.99999999999994</v>
      </c>
      <c r="BE188" s="13">
        <f>BD188*VLOOKUP('Données projet'!$B$11,Paramètres!$A$1:$I$89,3,0)*VLOOKUP('Données projet'!$B$11,Paramètres!$A$1:$I$89,5,0)</f>
        <v>253.79639999999995</v>
      </c>
      <c r="BF188" s="13">
        <f t="shared" si="167"/>
        <v>61.398168322280704</v>
      </c>
      <c r="BG188" s="20">
        <f t="shared" si="168"/>
        <v>548.9638731613054</v>
      </c>
      <c r="BH188" s="59">
        <f t="shared" si="116"/>
        <v>842.29720649463866</v>
      </c>
      <c r="BI188" s="59">
        <f ca="1">AVERAGE(OFFSET($BH$3,0,0,'Données projet'!$E$11+1,1))-AVERAGE(OFFSET($H$3,0,0,'Données projet'!$E$11+1,1))</f>
        <v>244.50301885429764</v>
      </c>
      <c r="BJ188" s="59">
        <f t="shared" si="146"/>
        <v>248.77995374147798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4.7826970911551712</v>
      </c>
      <c r="BQ188" s="21">
        <f>EXP(-LN(2)/25)*BQ187+(1-EXP(-LN(2)/25))/(LN(2)/25)*Calculateur!BL188*Calculateur!BN188*VLOOKUP('Données projet'!$B$11,Paramètres!$A$1:$I$89,3,0)*0.475*44/12</f>
        <v>0.16411425897703386</v>
      </c>
      <c r="BR188" s="21">
        <f>EXP(-LN(2)/2)*BR187+(1-EXP(-LN(2)/2))/(LN(2)/2)*BL188*BO188*VLOOKUP('Données projet'!$B$11,Paramètres!$A$1:$I$89,3,0)*0.475*44/12</f>
        <v>9.6714414248594806E-17</v>
      </c>
      <c r="BS188" s="22">
        <f t="shared" si="169"/>
        <v>4.9468113501322053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1">
        <f t="shared" si="140"/>
        <v>41.403546033820732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67">
        <f t="shared" si="110"/>
        <v>648.44722934223819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311.298</v>
      </c>
      <c r="P189" s="13">
        <f t="shared" si="141"/>
        <v>73.539838278528748</v>
      </c>
      <c r="Q189" s="20">
        <f t="shared" si="162"/>
        <v>670.25923500177089</v>
      </c>
      <c r="R189" s="59">
        <f t="shared" si="109"/>
        <v>963.59256833510426</v>
      </c>
      <c r="S189" s="59">
        <f ca="1">AVERAGE(OFFSET($R$3,0,0,'Données projet'!$E$9+1,1))-AVERAGE(OFFSET($H$3,0,0,'Données projet'!$E$9+1,1))</f>
        <v>342.91408684769942</v>
      </c>
      <c r="T189" s="59">
        <f t="shared" si="142"/>
        <v>209.92380505963234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19.497190190148039</v>
      </c>
      <c r="AA189" s="21">
        <f>EXP(-LN(2)/25)*AA188+(1-EXP(-LN(2)/25))/(LN(2)/25)*Calculateur!V189*Calculateur!X189*VLOOKUP('Données projet'!$B$9,Paramètres!$A$1:$I$89,3,0)*0.475*44/12</f>
        <v>0.6220945270791608</v>
      </c>
      <c r="AB189" s="21">
        <f>EXP(-LN(2)/2)*AB188+(1-EXP(-LN(2)/2))/(LN(2)/2)*V189*Y189*VLOOKUP('Données projet'!$B$9,Paramètres!$A$1:$I$89,3,0)*0.475*44/12</f>
        <v>3.4749394511070558E-11</v>
      </c>
      <c r="AC189" s="22">
        <f t="shared" si="163"/>
        <v>20.119284717261948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432.99999999999989</v>
      </c>
      <c r="AJ189" s="13">
        <f>AI189*VLOOKUP('Données projet'!$B$10,Paramètres!$A$1:$I$89,3,0)*VLOOKUP('Données projet'!$B$10,Paramètres!$A$1:$I$89,5,0)</f>
        <v>290.45639999999992</v>
      </c>
      <c r="AK189" s="13">
        <f t="shared" si="164"/>
        <v>69.172009514864612</v>
      </c>
      <c r="AL189" s="20">
        <f t="shared" si="165"/>
        <v>626.3528132383891</v>
      </c>
      <c r="AM189" s="59">
        <f t="shared" si="113"/>
        <v>919.68614657172247</v>
      </c>
      <c r="AN189" s="59">
        <f ca="1">AVERAGE(OFFSET($AM$3,0,0,'Données projet'!$E$10+1,1))-AVERAGE(OFFSET($H$3,0,0,'Données projet'!$E$10+1,1))</f>
        <v>296.25231821504275</v>
      </c>
      <c r="AO189" s="59">
        <f t="shared" si="144"/>
        <v>316.20936902390275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4.817474246544684</v>
      </c>
      <c r="AV189" s="21">
        <f>EXP(-LN(2)/25)*AV188+(1-EXP(-LN(2)/25))/(LN(2)/25)*Calculateur!AQ189*Calculateur!AS189*VLOOKUP('Données projet'!$B$10,Paramètres!$A$1:$I$89,3,0)*0.475*44/12</f>
        <v>0.14624442783225922</v>
      </c>
      <c r="AW189" s="21">
        <f>EXP(-LN(2)/2)*AW188+(1-EXP(-LN(2)/2))/(LN(2)/2)*AQ189*AT189*VLOOKUP('Données projet'!$B$10,Paramètres!$A$1:$I$89,3,0)*0.475*44/12</f>
        <v>3.9710779883756033E-18</v>
      </c>
      <c r="AX189" s="21">
        <f t="shared" si="166"/>
        <v>4.9637186743769437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318.99999999999994</v>
      </c>
      <c r="BE189" s="13">
        <f>BD189*VLOOKUP('Données projet'!$B$11,Paramètres!$A$1:$I$89,3,0)*VLOOKUP('Données projet'!$B$11,Paramètres!$A$1:$I$89,5,0)</f>
        <v>253.79639999999995</v>
      </c>
      <c r="BF189" s="13">
        <f t="shared" si="167"/>
        <v>61.398168322280704</v>
      </c>
      <c r="BG189" s="20">
        <f t="shared" si="168"/>
        <v>548.9638731613054</v>
      </c>
      <c r="BH189" s="59">
        <f t="shared" si="116"/>
        <v>842.29720649463866</v>
      </c>
      <c r="BI189" s="59">
        <f ca="1">AVERAGE(OFFSET($BH$3,0,0,'Données projet'!$E$11+1,1))-AVERAGE(OFFSET($H$3,0,0,'Données projet'!$E$11+1,1))</f>
        <v>244.50301885429764</v>
      </c>
      <c r="BJ189" s="59">
        <f t="shared" si="146"/>
        <v>248.77995374147798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4.6889113183547986</v>
      </c>
      <c r="BQ189" s="21">
        <f>EXP(-LN(2)/25)*BQ188+(1-EXP(-LN(2)/25))/(LN(2)/25)*Calculateur!BL189*Calculateur!BN189*VLOOKUP('Données projet'!$B$11,Paramètres!$A$1:$I$89,3,0)*0.475*44/12</f>
        <v>0.15962654593491307</v>
      </c>
      <c r="BR189" s="21">
        <f>EXP(-LN(2)/2)*BR188+(1-EXP(-LN(2)/2))/(LN(2)/2)*BL189*BO189*VLOOKUP('Données projet'!$B$11,Paramètres!$A$1:$I$89,3,0)*0.475*44/12</f>
        <v>6.8387418153666241E-17</v>
      </c>
      <c r="BS189" s="22">
        <f t="shared" si="169"/>
        <v>4.8485378642897112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1">
        <f t="shared" si="140"/>
        <v>41.600173715581704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67">
        <f t="shared" si="110"/>
        <v>650.31120922130515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311.298</v>
      </c>
      <c r="P190" s="13">
        <f t="shared" si="141"/>
        <v>73.539838278528748</v>
      </c>
      <c r="Q190" s="20">
        <f t="shared" si="162"/>
        <v>670.25923500177089</v>
      </c>
      <c r="R190" s="59">
        <f t="shared" si="109"/>
        <v>963.59256833510426</v>
      </c>
      <c r="S190" s="59">
        <f ca="1">AVERAGE(OFFSET($R$3,0,0,'Données projet'!$E$9+1,1))-AVERAGE(OFFSET($H$3,0,0,'Données projet'!$E$9+1,1))</f>
        <v>342.91408684769942</v>
      </c>
      <c r="T190" s="59">
        <f t="shared" si="142"/>
        <v>209.92380505963234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19.114862182631004</v>
      </c>
      <c r="AA190" s="21">
        <f>EXP(-LN(2)/25)*AA189+(1-EXP(-LN(2)/25))/(LN(2)/25)*Calculateur!V190*Calculateur!X190*VLOOKUP('Données projet'!$B$9,Paramètres!$A$1:$I$89,3,0)*0.475*44/12</f>
        <v>0.60508331952165173</v>
      </c>
      <c r="AB190" s="21">
        <f>EXP(-LN(2)/2)*AB189+(1-EXP(-LN(2)/2))/(LN(2)/2)*V190*Y190*VLOOKUP('Données projet'!$B$9,Paramètres!$A$1:$I$89,3,0)*0.475*44/12</f>
        <v>2.4571532500904585E-11</v>
      </c>
      <c r="AC190" s="22">
        <f t="shared" si="163"/>
        <v>19.719945502177225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432.99999999999989</v>
      </c>
      <c r="AJ190" s="13">
        <f>AI190*VLOOKUP('Données projet'!$B$10,Paramètres!$A$1:$I$89,3,0)*VLOOKUP('Données projet'!$B$10,Paramètres!$A$1:$I$89,5,0)</f>
        <v>290.45639999999992</v>
      </c>
      <c r="AK190" s="13">
        <f t="shared" si="164"/>
        <v>69.172009514864612</v>
      </c>
      <c r="AL190" s="20">
        <f t="shared" si="165"/>
        <v>626.3528132383891</v>
      </c>
      <c r="AM190" s="59">
        <f t="shared" si="113"/>
        <v>919.68614657172247</v>
      </c>
      <c r="AN190" s="59">
        <f ca="1">AVERAGE(OFFSET($AM$3,0,0,'Données projet'!$E$10+1,1))-AVERAGE(OFFSET($H$3,0,0,'Données projet'!$E$10+1,1))</f>
        <v>296.25231821504275</v>
      </c>
      <c r="AO190" s="59">
        <f t="shared" si="144"/>
        <v>316.20936902390275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4.723006514939093</v>
      </c>
      <c r="AV190" s="21">
        <f>EXP(-LN(2)/25)*AV189+(1-EXP(-LN(2)/25))/(LN(2)/25)*Calculateur!AQ190*Calculateur!AS190*VLOOKUP('Données projet'!$B$10,Paramètres!$A$1:$I$89,3,0)*0.475*44/12</f>
        <v>0.14224536626252587</v>
      </c>
      <c r="AW190" s="21">
        <f>EXP(-LN(2)/2)*AW189+(1-EXP(-LN(2)/2))/(LN(2)/2)*AQ190*AT190*VLOOKUP('Données projet'!$B$10,Paramètres!$A$1:$I$89,3,0)*0.475*44/12</f>
        <v>2.8079761742010231E-18</v>
      </c>
      <c r="AX190" s="21">
        <f t="shared" si="166"/>
        <v>4.865251881201619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318.99999999999994</v>
      </c>
      <c r="BE190" s="13">
        <f>BD190*VLOOKUP('Données projet'!$B$11,Paramètres!$A$1:$I$89,3,0)*VLOOKUP('Données projet'!$B$11,Paramètres!$A$1:$I$89,5,0)</f>
        <v>253.79639999999995</v>
      </c>
      <c r="BF190" s="13">
        <f t="shared" si="167"/>
        <v>61.398168322280704</v>
      </c>
      <c r="BG190" s="20">
        <f t="shared" si="168"/>
        <v>548.9638731613054</v>
      </c>
      <c r="BH190" s="59">
        <f t="shared" si="116"/>
        <v>842.29720649463866</v>
      </c>
      <c r="BI190" s="59">
        <f ca="1">AVERAGE(OFFSET($BH$3,0,0,'Données projet'!$E$11+1,1))-AVERAGE(OFFSET($H$3,0,0,'Données projet'!$E$11+1,1))</f>
        <v>244.50301885429764</v>
      </c>
      <c r="BJ190" s="59">
        <f t="shared" si="146"/>
        <v>248.77995374147798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4.5969646273553684</v>
      </c>
      <c r="BQ190" s="21">
        <f>EXP(-LN(2)/25)*BQ189+(1-EXP(-LN(2)/25))/(LN(2)/25)*Calculateur!BL190*Calculateur!BN190*VLOOKUP('Données projet'!$B$11,Paramètres!$A$1:$I$89,3,0)*0.475*44/12</f>
        <v>0.15526154964192765</v>
      </c>
      <c r="BR190" s="21">
        <f>EXP(-LN(2)/2)*BR189+(1-EXP(-LN(2)/2))/(LN(2)/2)*BL190*BO190*VLOOKUP('Données projet'!$B$11,Paramètres!$A$1:$I$89,3,0)*0.475*44/12</f>
        <v>4.8357207124297403E-17</v>
      </c>
      <c r="BS190" s="22">
        <f t="shared" si="169"/>
        <v>4.7522261769972962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1">
        <f t="shared" si="140"/>
        <v>41.796679041964389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67">
        <f t="shared" si="110"/>
        <v>652.17497599808837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311.298</v>
      </c>
      <c r="P191" s="13">
        <f t="shared" si="141"/>
        <v>73.539838278528748</v>
      </c>
      <c r="Q191" s="20">
        <f t="shared" si="162"/>
        <v>670.25923500177089</v>
      </c>
      <c r="R191" s="59">
        <f t="shared" si="109"/>
        <v>963.59256833510426</v>
      </c>
      <c r="S191" s="59">
        <f ca="1">AVERAGE(OFFSET($R$3,0,0,'Données projet'!$E$9+1,1))-AVERAGE(OFFSET($H$3,0,0,'Données projet'!$E$9+1,1))</f>
        <v>342.91408684769942</v>
      </c>
      <c r="T191" s="59">
        <f t="shared" si="142"/>
        <v>209.92380505963234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18.740031394144321</v>
      </c>
      <c r="AA191" s="21">
        <f>EXP(-LN(2)/25)*AA190+(1-EXP(-LN(2)/25))/(LN(2)/25)*Calculateur!V191*Calculateur!X191*VLOOKUP('Données projet'!$B$9,Paramètres!$A$1:$I$89,3,0)*0.475*44/12</f>
        <v>0.58853728432938335</v>
      </c>
      <c r="AB191" s="21">
        <f>EXP(-LN(2)/2)*AB190+(1-EXP(-LN(2)/2))/(LN(2)/2)*V191*Y191*VLOOKUP('Données projet'!$B$9,Paramètres!$A$1:$I$89,3,0)*0.475*44/12</f>
        <v>1.7374697255535279E-11</v>
      </c>
      <c r="AC191" s="22">
        <f t="shared" si="163"/>
        <v>19.328568678491081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432.99999999999989</v>
      </c>
      <c r="AJ191" s="13">
        <f>AI191*VLOOKUP('Données projet'!$B$10,Paramètres!$A$1:$I$89,3,0)*VLOOKUP('Données projet'!$B$10,Paramètres!$A$1:$I$89,5,0)</f>
        <v>290.45639999999992</v>
      </c>
      <c r="AK191" s="13">
        <f t="shared" si="164"/>
        <v>69.172009514864612</v>
      </c>
      <c r="AL191" s="20">
        <f t="shared" si="165"/>
        <v>626.3528132383891</v>
      </c>
      <c r="AM191" s="59">
        <f t="shared" si="113"/>
        <v>919.68614657172247</v>
      </c>
      <c r="AN191" s="59">
        <f ca="1">AVERAGE(OFFSET($AM$3,0,0,'Données projet'!$E$10+1,1))-AVERAGE(OFFSET($H$3,0,0,'Données projet'!$E$10+1,1))</f>
        <v>296.25231821504275</v>
      </c>
      <c r="AO191" s="59">
        <f t="shared" si="144"/>
        <v>316.20936902390275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4.6303912379306613</v>
      </c>
      <c r="AV191" s="21">
        <f>EXP(-LN(2)/25)*AV190+(1-EXP(-LN(2)/25))/(LN(2)/25)*Calculateur!AQ191*Calculateur!AS191*VLOOKUP('Données projet'!$B$10,Paramètres!$A$1:$I$89,3,0)*0.475*44/12</f>
        <v>0.13835565924171839</v>
      </c>
      <c r="AW191" s="21">
        <f>EXP(-LN(2)/2)*AW190+(1-EXP(-LN(2)/2))/(LN(2)/2)*AQ191*AT191*VLOOKUP('Données projet'!$B$10,Paramètres!$A$1:$I$89,3,0)*0.475*44/12</f>
        <v>1.9855389941878017E-18</v>
      </c>
      <c r="AX191" s="21">
        <f t="shared" si="166"/>
        <v>4.7687468971723801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318.99999999999994</v>
      </c>
      <c r="BE191" s="13">
        <f>BD191*VLOOKUP('Données projet'!$B$11,Paramètres!$A$1:$I$89,3,0)*VLOOKUP('Données projet'!$B$11,Paramètres!$A$1:$I$89,5,0)</f>
        <v>253.79639999999995</v>
      </c>
      <c r="BF191" s="13">
        <f t="shared" si="167"/>
        <v>61.398168322280704</v>
      </c>
      <c r="BG191" s="20">
        <f t="shared" si="168"/>
        <v>548.9638731613054</v>
      </c>
      <c r="BH191" s="59">
        <f t="shared" si="116"/>
        <v>842.29720649463866</v>
      </c>
      <c r="BI191" s="59">
        <f ca="1">AVERAGE(OFFSET($BH$3,0,0,'Données projet'!$E$11+1,1))-AVERAGE(OFFSET($H$3,0,0,'Données projet'!$E$11+1,1))</f>
        <v>244.50301885429764</v>
      </c>
      <c r="BJ191" s="59">
        <f t="shared" si="146"/>
        <v>248.77995374147798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4.5068209548844926</v>
      </c>
      <c r="BQ191" s="21">
        <f>EXP(-LN(2)/25)*BQ190+(1-EXP(-LN(2)/25))/(LN(2)/25)*Calculateur!BL191*Calculateur!BN191*VLOOKUP('Données projet'!$B$11,Paramètres!$A$1:$I$89,3,0)*0.475*44/12</f>
        <v>0.15101591440211909</v>
      </c>
      <c r="BR191" s="21">
        <f>EXP(-LN(2)/2)*BR190+(1-EXP(-LN(2)/2))/(LN(2)/2)*BL191*BO191*VLOOKUP('Données projet'!$B$11,Paramètres!$A$1:$I$89,3,0)*0.475*44/12</f>
        <v>3.419370907683312E-17</v>
      </c>
      <c r="BS191" s="22">
        <f t="shared" si="169"/>
        <v>4.6578368692866121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1">
        <f t="shared" si="140"/>
        <v>41.993062739333524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67">
        <f t="shared" si="110"/>
        <v>654.03853093767293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311.298</v>
      </c>
      <c r="P192" s="13">
        <f t="shared" si="141"/>
        <v>73.539838278528748</v>
      </c>
      <c r="Q192" s="20">
        <f t="shared" si="162"/>
        <v>670.25923500177089</v>
      </c>
      <c r="R192" s="59">
        <f t="shared" si="109"/>
        <v>963.59256833510426</v>
      </c>
      <c r="S192" s="59">
        <f ca="1">AVERAGE(OFFSET($R$3,0,0,'Données projet'!$E$9+1,1))-AVERAGE(OFFSET($H$3,0,0,'Données projet'!$E$9+1,1))</f>
        <v>342.91408684769942</v>
      </c>
      <c r="T192" s="59">
        <f t="shared" si="142"/>
        <v>209.92380505963234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18.372550808795655</v>
      </c>
      <c r="AA192" s="21">
        <f>EXP(-LN(2)/25)*AA191+(1-EXP(-LN(2)/25))/(LN(2)/25)*Calculateur!V192*Calculateur!X192*VLOOKUP('Données projet'!$B$9,Paramètres!$A$1:$I$89,3,0)*0.475*44/12</f>
        <v>0.57244370133956568</v>
      </c>
      <c r="AB192" s="21">
        <f>EXP(-LN(2)/2)*AB191+(1-EXP(-LN(2)/2))/(LN(2)/2)*V192*Y192*VLOOKUP('Données projet'!$B$9,Paramètres!$A$1:$I$89,3,0)*0.475*44/12</f>
        <v>1.2285766250452292E-11</v>
      </c>
      <c r="AC192" s="22">
        <f t="shared" si="163"/>
        <v>18.944994510147506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432.99999999999989</v>
      </c>
      <c r="AJ192" s="13">
        <f>AI192*VLOOKUP('Données projet'!$B$10,Paramètres!$A$1:$I$89,3,0)*VLOOKUP('Données projet'!$B$10,Paramètres!$A$1:$I$89,5,0)</f>
        <v>290.45639999999992</v>
      </c>
      <c r="AK192" s="13">
        <f t="shared" si="164"/>
        <v>69.172009514864612</v>
      </c>
      <c r="AL192" s="20">
        <f t="shared" si="165"/>
        <v>626.3528132383891</v>
      </c>
      <c r="AM192" s="59">
        <f t="shared" si="113"/>
        <v>919.68614657172247</v>
      </c>
      <c r="AN192" s="59">
        <f ca="1">AVERAGE(OFFSET($AM$3,0,0,'Données projet'!$E$10+1,1))-AVERAGE(OFFSET($H$3,0,0,'Données projet'!$E$10+1,1))</f>
        <v>296.25231821504275</v>
      </c>
      <c r="AO192" s="59">
        <f t="shared" si="144"/>
        <v>316.20936902390275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4.539592090014624</v>
      </c>
      <c r="AV192" s="21">
        <f>EXP(-LN(2)/25)*AV191+(1-EXP(-LN(2)/25))/(LN(2)/25)*Calculateur!AQ192*Calculateur!AS192*VLOOKUP('Données projet'!$B$10,Paramètres!$A$1:$I$89,3,0)*0.475*44/12</f>
        <v>0.13457231646394568</v>
      </c>
      <c r="AW192" s="21">
        <f>EXP(-LN(2)/2)*AW191+(1-EXP(-LN(2)/2))/(LN(2)/2)*AQ192*AT192*VLOOKUP('Données projet'!$B$10,Paramètres!$A$1:$I$89,3,0)*0.475*44/12</f>
        <v>1.4039880871005115E-18</v>
      </c>
      <c r="AX192" s="21">
        <f t="shared" si="166"/>
        <v>4.6741644064785701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318.99999999999994</v>
      </c>
      <c r="BE192" s="13">
        <f>BD192*VLOOKUP('Données projet'!$B$11,Paramètres!$A$1:$I$89,3,0)*VLOOKUP('Données projet'!$B$11,Paramètres!$A$1:$I$89,5,0)</f>
        <v>253.79639999999995</v>
      </c>
      <c r="BF192" s="13">
        <f t="shared" si="167"/>
        <v>61.398168322280704</v>
      </c>
      <c r="BG192" s="20">
        <f t="shared" si="168"/>
        <v>548.9638731613054</v>
      </c>
      <c r="BH192" s="59">
        <f t="shared" si="116"/>
        <v>842.29720649463866</v>
      </c>
      <c r="BI192" s="59">
        <f ca="1">AVERAGE(OFFSET($BH$3,0,0,'Données projet'!$E$11+1,1))-AVERAGE(OFFSET($H$3,0,0,'Données projet'!$E$11+1,1))</f>
        <v>244.50301885429764</v>
      </c>
      <c r="BJ192" s="59">
        <f t="shared" si="146"/>
        <v>248.77995374147798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4.4184449448485603</v>
      </c>
      <c r="BQ192" s="21">
        <f>EXP(-LN(2)/25)*BQ191+(1-EXP(-LN(2)/25))/(LN(2)/25)*Calculateur!BL192*Calculateur!BN192*VLOOKUP('Données projet'!$B$11,Paramètres!$A$1:$I$89,3,0)*0.475*44/12</f>
        <v>0.14688637628121134</v>
      </c>
      <c r="BR192" s="21">
        <f>EXP(-LN(2)/2)*BR191+(1-EXP(-LN(2)/2))/(LN(2)/2)*BL192*BO192*VLOOKUP('Données projet'!$B$11,Paramètres!$A$1:$I$89,3,0)*0.475*44/12</f>
        <v>2.4178603562148702E-17</v>
      </c>
      <c r="BS192" s="22">
        <f t="shared" si="169"/>
        <v>4.5653313211297712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1">
        <f t="shared" si="140"/>
        <v>42.189325525922321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67">
        <f t="shared" si="110"/>
        <v>655.90187529098182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311.298</v>
      </c>
      <c r="P193" s="13">
        <f t="shared" si="141"/>
        <v>73.539838278528748</v>
      </c>
      <c r="Q193" s="20">
        <f t="shared" si="162"/>
        <v>670.25923500177089</v>
      </c>
      <c r="R193" s="59">
        <f t="shared" si="109"/>
        <v>963.59256833510426</v>
      </c>
      <c r="S193" s="59">
        <f ca="1">AVERAGE(OFFSET($R$3,0,0,'Données projet'!$E$9+1,1))-AVERAGE(OFFSET($H$3,0,0,'Données projet'!$E$9+1,1))</f>
        <v>342.91408684769942</v>
      </c>
      <c r="T193" s="59">
        <f t="shared" si="142"/>
        <v>209.92380505963234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18.012276293584652</v>
      </c>
      <c r="AA193" s="21">
        <f>EXP(-LN(2)/25)*AA192+(1-EXP(-LN(2)/25))/(LN(2)/25)*Calculateur!V193*Calculateur!X193*VLOOKUP('Données projet'!$B$9,Paramètres!$A$1:$I$89,3,0)*0.475*44/12</f>
        <v>0.5567901982229293</v>
      </c>
      <c r="AB193" s="21">
        <f>EXP(-LN(2)/2)*AB192+(1-EXP(-LN(2)/2))/(LN(2)/2)*V193*Y193*VLOOKUP('Données projet'!$B$9,Paramètres!$A$1:$I$89,3,0)*0.475*44/12</f>
        <v>8.6873486277676394E-12</v>
      </c>
      <c r="AC193" s="22">
        <f t="shared" si="163"/>
        <v>18.569066491816269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432.99999999999989</v>
      </c>
      <c r="AJ193" s="13">
        <f>AI193*VLOOKUP('Données projet'!$B$10,Paramètres!$A$1:$I$89,3,0)*VLOOKUP('Données projet'!$B$10,Paramètres!$A$1:$I$89,5,0)</f>
        <v>290.45639999999992</v>
      </c>
      <c r="AK193" s="13">
        <f t="shared" si="164"/>
        <v>69.172009514864612</v>
      </c>
      <c r="AL193" s="20">
        <f t="shared" si="165"/>
        <v>626.3528132383891</v>
      </c>
      <c r="AM193" s="59">
        <f t="shared" si="113"/>
        <v>919.68614657172247</v>
      </c>
      <c r="AN193" s="59">
        <f ca="1">AVERAGE(OFFSET($AM$3,0,0,'Données projet'!$E$10+1,1))-AVERAGE(OFFSET($H$3,0,0,'Données projet'!$E$10+1,1))</f>
        <v>296.25231821504275</v>
      </c>
      <c r="AO193" s="59">
        <f t="shared" si="144"/>
        <v>316.20936902390275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4.4505734580072085</v>
      </c>
      <c r="AV193" s="21">
        <f>EXP(-LN(2)/25)*AV192+(1-EXP(-LN(2)/25))/(LN(2)/25)*Calculateur!AQ193*Calculateur!AS193*VLOOKUP('Données projet'!$B$10,Paramètres!$A$1:$I$89,3,0)*0.475*44/12</f>
        <v>0.13089242939338855</v>
      </c>
      <c r="AW193" s="21">
        <f>EXP(-LN(2)/2)*AW192+(1-EXP(-LN(2)/2))/(LN(2)/2)*AQ193*AT193*VLOOKUP('Données projet'!$B$10,Paramètres!$A$1:$I$89,3,0)*0.475*44/12</f>
        <v>9.9276949709390084E-19</v>
      </c>
      <c r="AX193" s="21">
        <f t="shared" si="166"/>
        <v>4.5814658874005971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318.99999999999994</v>
      </c>
      <c r="BE193" s="13">
        <f>BD193*VLOOKUP('Données projet'!$B$11,Paramètres!$A$1:$I$89,3,0)*VLOOKUP('Données projet'!$B$11,Paramètres!$A$1:$I$89,5,0)</f>
        <v>253.79639999999995</v>
      </c>
      <c r="BF193" s="13">
        <f t="shared" si="167"/>
        <v>61.398168322280704</v>
      </c>
      <c r="BG193" s="20">
        <f t="shared" si="168"/>
        <v>548.9638731613054</v>
      </c>
      <c r="BH193" s="59">
        <f t="shared" si="116"/>
        <v>842.29720649463866</v>
      </c>
      <c r="BI193" s="59">
        <f ca="1">AVERAGE(OFFSET($BH$3,0,0,'Données projet'!$E$11+1,1))-AVERAGE(OFFSET($H$3,0,0,'Données projet'!$E$11+1,1))</f>
        <v>244.50301885429764</v>
      </c>
      <c r="BJ193" s="59">
        <f t="shared" si="146"/>
        <v>248.77995374147798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4.3318019344653891</v>
      </c>
      <c r="BQ193" s="21">
        <f>EXP(-LN(2)/25)*BQ192+(1-EXP(-LN(2)/25))/(LN(2)/25)*Calculateur!BL193*Calculateur!BN193*VLOOKUP('Données projet'!$B$11,Paramètres!$A$1:$I$89,3,0)*0.475*44/12</f>
        <v>0.14286976059738279</v>
      </c>
      <c r="BR193" s="21">
        <f>EXP(-LN(2)/2)*BR192+(1-EXP(-LN(2)/2))/(LN(2)/2)*BL193*BO193*VLOOKUP('Données projet'!$B$11,Paramètres!$A$1:$I$89,3,0)*0.475*44/12</f>
        <v>1.709685453841656E-17</v>
      </c>
      <c r="BS193" s="22">
        <f t="shared" si="169"/>
        <v>4.4746716950627716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1">
        <f t="shared" si="140"/>
        <v>42.385468111966134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67">
        <f t="shared" si="110"/>
        <v>657.7650102950081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311.298</v>
      </c>
      <c r="P194" s="13">
        <f t="shared" si="141"/>
        <v>73.539838278528748</v>
      </c>
      <c r="Q194" s="20">
        <f t="shared" si="162"/>
        <v>670.25923500177089</v>
      </c>
      <c r="R194" s="59">
        <f t="shared" si="109"/>
        <v>963.59256833510426</v>
      </c>
      <c r="S194" s="59">
        <f ca="1">AVERAGE(OFFSET($R$3,0,0,'Données projet'!$E$9+1,1))-AVERAGE(OFFSET($H$3,0,0,'Données projet'!$E$9+1,1))</f>
        <v>342.91408684769942</v>
      </c>
      <c r="T194" s="59">
        <f t="shared" si="142"/>
        <v>209.92380505963234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17.65906654187118</v>
      </c>
      <c r="AA194" s="21">
        <f>EXP(-LN(2)/25)*AA193+(1-EXP(-LN(2)/25))/(LN(2)/25)*Calculateur!V194*Calculateur!X194*VLOOKUP('Données projet'!$B$9,Paramètres!$A$1:$I$89,3,0)*0.475*44/12</f>
        <v>0.54156474097219931</v>
      </c>
      <c r="AB194" s="21">
        <f>EXP(-LN(2)/2)*AB193+(1-EXP(-LN(2)/2))/(LN(2)/2)*V194*Y194*VLOOKUP('Données projet'!$B$9,Paramètres!$A$1:$I$89,3,0)*0.475*44/12</f>
        <v>6.1428831252261462E-12</v>
      </c>
      <c r="AC194" s="22">
        <f t="shared" si="163"/>
        <v>18.200631282849521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432.99999999999989</v>
      </c>
      <c r="AJ194" s="13">
        <f>AI194*VLOOKUP('Données projet'!$B$10,Paramètres!$A$1:$I$89,3,0)*VLOOKUP('Données projet'!$B$10,Paramètres!$A$1:$I$89,5,0)</f>
        <v>290.45639999999992</v>
      </c>
      <c r="AK194" s="13">
        <f t="shared" si="164"/>
        <v>69.172009514864612</v>
      </c>
      <c r="AL194" s="20">
        <f t="shared" si="165"/>
        <v>626.3528132383891</v>
      </c>
      <c r="AM194" s="59">
        <f t="shared" si="113"/>
        <v>919.68614657172247</v>
      </c>
      <c r="AN194" s="59">
        <f ca="1">AVERAGE(OFFSET($AM$3,0,0,'Données projet'!$E$10+1,1))-AVERAGE(OFFSET($H$3,0,0,'Données projet'!$E$10+1,1))</f>
        <v>296.25231821504275</v>
      </c>
      <c r="AO194" s="59">
        <f t="shared" si="144"/>
        <v>316.20936902390275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4.363300427077454</v>
      </c>
      <c r="AV194" s="21">
        <f>EXP(-LN(2)/25)*AV193+(1-EXP(-LN(2)/25))/(LN(2)/25)*Calculateur!AQ194*Calculateur!AS194*VLOOKUP('Données projet'!$B$10,Paramètres!$A$1:$I$89,3,0)*0.475*44/12</f>
        <v>0.12731316902829262</v>
      </c>
      <c r="AW194" s="21">
        <f>EXP(-LN(2)/2)*AW193+(1-EXP(-LN(2)/2))/(LN(2)/2)*AQ194*AT194*VLOOKUP('Données projet'!$B$10,Paramètres!$A$1:$I$89,3,0)*0.475*44/12</f>
        <v>7.0199404355025577E-19</v>
      </c>
      <c r="AX194" s="21">
        <f t="shared" si="166"/>
        <v>4.4906135961057467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318.99999999999994</v>
      </c>
      <c r="BE194" s="13">
        <f>BD194*VLOOKUP('Données projet'!$B$11,Paramètres!$A$1:$I$89,3,0)*VLOOKUP('Données projet'!$B$11,Paramètres!$A$1:$I$89,5,0)</f>
        <v>253.79639999999995</v>
      </c>
      <c r="BF194" s="13">
        <f t="shared" si="167"/>
        <v>61.398168322280704</v>
      </c>
      <c r="BG194" s="20">
        <f t="shared" si="168"/>
        <v>548.9638731613054</v>
      </c>
      <c r="BH194" s="59">
        <f t="shared" si="116"/>
        <v>842.29720649463866</v>
      </c>
      <c r="BI194" s="59">
        <f ca="1">AVERAGE(OFFSET($BH$3,0,0,'Données projet'!$E$11+1,1))-AVERAGE(OFFSET($H$3,0,0,'Données projet'!$E$11+1,1))</f>
        <v>244.50301885429764</v>
      </c>
      <c r="BJ194" s="59">
        <f t="shared" si="146"/>
        <v>248.77995374147798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4.2468579406688134</v>
      </c>
      <c r="BQ194" s="21">
        <f>EXP(-LN(2)/25)*BQ193+(1-EXP(-LN(2)/25))/(LN(2)/25)*Calculateur!BL194*Calculateur!BN194*VLOOKUP('Données projet'!$B$11,Paramètres!$A$1:$I$89,3,0)*0.475*44/12</f>
        <v>0.1389629794806532</v>
      </c>
      <c r="BR194" s="21">
        <f>EXP(-LN(2)/2)*BR193+(1-EXP(-LN(2)/2))/(LN(2)/2)*BL194*BO194*VLOOKUP('Données projet'!$B$11,Paramètres!$A$1:$I$89,3,0)*0.475*44/12</f>
        <v>1.2089301781074351E-17</v>
      </c>
      <c r="BS194" s="22">
        <f t="shared" si="169"/>
        <v>4.3858209201494667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1">
        <f t="shared" si="140"/>
        <v>42.581491199832726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67">
        <f t="shared" si="110"/>
        <v>659.62793717304248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311.298</v>
      </c>
      <c r="P195" s="13">
        <f t="shared" si="141"/>
        <v>73.539838278528748</v>
      </c>
      <c r="Q195" s="20">
        <f t="shared" si="162"/>
        <v>670.25923500177089</v>
      </c>
      <c r="R195" s="59">
        <f t="shared" ref="R195:R203" si="191">Q195+(I195+J195)*44/12</f>
        <v>963.59256833510426</v>
      </c>
      <c r="S195" s="59">
        <f ca="1">AVERAGE(OFFSET($R$3,0,0,'Données projet'!$E$9+1,1))-AVERAGE(OFFSET($H$3,0,0,'Données projet'!$E$9+1,1))</f>
        <v>342.91408684769942</v>
      </c>
      <c r="T195" s="59">
        <f t="shared" si="142"/>
        <v>209.92380505963234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17.312783017952132</v>
      </c>
      <c r="AA195" s="21">
        <f>EXP(-LN(2)/25)*AA194+(1-EXP(-LN(2)/25))/(LN(2)/25)*Calculateur!V195*Calculateur!X195*VLOOKUP('Données projet'!$B$9,Paramètres!$A$1:$I$89,3,0)*0.475*44/12</f>
        <v>0.5267556246506625</v>
      </c>
      <c r="AB195" s="21">
        <f>EXP(-LN(2)/2)*AB194+(1-EXP(-LN(2)/2))/(LN(2)/2)*V195*Y195*VLOOKUP('Données projet'!$B$9,Paramètres!$A$1:$I$89,3,0)*0.475*44/12</f>
        <v>4.3436743138838197E-12</v>
      </c>
      <c r="AC195" s="22">
        <f t="shared" si="163"/>
        <v>17.839538642607138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432.99999999999989</v>
      </c>
      <c r="AJ195" s="13">
        <f>AI195*VLOOKUP('Données projet'!$B$10,Paramètres!$A$1:$I$89,3,0)*VLOOKUP('Données projet'!$B$10,Paramètres!$A$1:$I$89,5,0)</f>
        <v>290.45639999999992</v>
      </c>
      <c r="AK195" s="13">
        <f t="shared" si="164"/>
        <v>69.172009514864612</v>
      </c>
      <c r="AL195" s="20">
        <f t="shared" si="165"/>
        <v>626.3528132383891</v>
      </c>
      <c r="AM195" s="59">
        <f t="shared" si="113"/>
        <v>919.68614657172247</v>
      </c>
      <c r="AN195" s="59">
        <f ca="1">AVERAGE(OFFSET($AM$3,0,0,'Données projet'!$E$10+1,1))-AVERAGE(OFFSET($H$3,0,0,'Données projet'!$E$10+1,1))</f>
        <v>296.25231821504275</v>
      </c>
      <c r="AO195" s="59">
        <f t="shared" si="144"/>
        <v>316.20936902390275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4.2777387670529388</v>
      </c>
      <c r="AV195" s="21">
        <f>EXP(-LN(2)/25)*AV194+(1-EXP(-LN(2)/25))/(LN(2)/25)*Calculateur!AQ195*Calculateur!AS195*VLOOKUP('Données projet'!$B$10,Paramètres!$A$1:$I$89,3,0)*0.475*44/12</f>
        <v>0.12383178372610538</v>
      </c>
      <c r="AW195" s="21">
        <f>EXP(-LN(2)/2)*AW194+(1-EXP(-LN(2)/2))/(LN(2)/2)*AQ195*AT195*VLOOKUP('Données projet'!$B$10,Paramètres!$A$1:$I$89,3,0)*0.475*44/12</f>
        <v>4.9638474854695042E-19</v>
      </c>
      <c r="AX195" s="21">
        <f t="shared" si="166"/>
        <v>4.4015705507790441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318.99999999999994</v>
      </c>
      <c r="BE195" s="13">
        <f>BD195*VLOOKUP('Données projet'!$B$11,Paramètres!$A$1:$I$89,3,0)*VLOOKUP('Données projet'!$B$11,Paramètres!$A$1:$I$89,5,0)</f>
        <v>253.79639999999995</v>
      </c>
      <c r="BF195" s="13">
        <f t="shared" si="167"/>
        <v>61.398168322280704</v>
      </c>
      <c r="BG195" s="20">
        <f t="shared" si="168"/>
        <v>548.9638731613054</v>
      </c>
      <c r="BH195" s="59">
        <f t="shared" si="116"/>
        <v>842.29720649463866</v>
      </c>
      <c r="BI195" s="59">
        <f ca="1">AVERAGE(OFFSET($BH$3,0,0,'Données projet'!$E$11+1,1))-AVERAGE(OFFSET($H$3,0,0,'Données projet'!$E$11+1,1))</f>
        <v>244.50301885429764</v>
      </c>
      <c r="BJ195" s="59">
        <f t="shared" si="146"/>
        <v>248.77995374147798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4.1635796467798682</v>
      </c>
      <c r="BQ195" s="21">
        <f>EXP(-LN(2)/25)*BQ194+(1-EXP(-LN(2)/25))/(LN(2)/25)*Calculateur!BL195*Calculateur!BN195*VLOOKUP('Données projet'!$B$11,Paramètres!$A$1:$I$89,3,0)*0.475*44/12</f>
        <v>0.13516302949900924</v>
      </c>
      <c r="BR195" s="21">
        <f>EXP(-LN(2)/2)*BR194+(1-EXP(-LN(2)/2))/(LN(2)/2)*BL195*BO195*VLOOKUP('Données projet'!$B$11,Paramètres!$A$1:$I$89,3,0)*0.475*44/12</f>
        <v>8.5484272692082801E-18</v>
      </c>
      <c r="BS195" s="22">
        <f t="shared" si="169"/>
        <v>4.2987426762788772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1">
        <f t="shared" si="140"/>
        <v>42.777395484149835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67">
        <f t="shared" ref="H196:H203" si="192">(B196+E196+F196)*44/12+(C196+D196)*0.475*44/12</f>
        <v>661.49065713489483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311.298</v>
      </c>
      <c r="P196" s="13">
        <f t="shared" si="141"/>
        <v>73.539838278528748</v>
      </c>
      <c r="Q196" s="20">
        <f t="shared" si="162"/>
        <v>670.25923500177089</v>
      </c>
      <c r="R196" s="59">
        <f t="shared" si="191"/>
        <v>963.59256833510426</v>
      </c>
      <c r="S196" s="59">
        <f ca="1">AVERAGE(OFFSET($R$3,0,0,'Données projet'!$E$9+1,1))-AVERAGE(OFFSET($H$3,0,0,'Données projet'!$E$9+1,1))</f>
        <v>342.91408684769942</v>
      </c>
      <c r="T196" s="59">
        <f t="shared" si="142"/>
        <v>209.92380505963234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16.973289902725043</v>
      </c>
      <c r="AA196" s="21">
        <f>EXP(-LN(2)/25)*AA195+(1-EXP(-LN(2)/25))/(LN(2)/25)*Calculateur!V196*Calculateur!X196*VLOOKUP('Données projet'!$B$9,Paramètres!$A$1:$I$89,3,0)*0.475*44/12</f>
        <v>0.51235146439371571</v>
      </c>
      <c r="AB196" s="21">
        <f>EXP(-LN(2)/2)*AB195+(1-EXP(-LN(2)/2))/(LN(2)/2)*V196*Y196*VLOOKUP('Données projet'!$B$9,Paramètres!$A$1:$I$89,3,0)*0.475*44/12</f>
        <v>3.0714415626130731E-12</v>
      </c>
      <c r="AC196" s="22">
        <f t="shared" si="163"/>
        <v>17.485641367121833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432.99999999999989</v>
      </c>
      <c r="AJ196" s="13">
        <f>AI196*VLOOKUP('Données projet'!$B$10,Paramètres!$A$1:$I$89,3,0)*VLOOKUP('Données projet'!$B$10,Paramètres!$A$1:$I$89,5,0)</f>
        <v>290.45639999999992</v>
      </c>
      <c r="AK196" s="13">
        <f t="shared" si="164"/>
        <v>69.172009514864612</v>
      </c>
      <c r="AL196" s="20">
        <f t="shared" si="165"/>
        <v>626.3528132383891</v>
      </c>
      <c r="AM196" s="59">
        <f t="shared" ref="AM196:AM203" si="193">AL196+(AD196+AE196)*44/12</f>
        <v>919.68614657172247</v>
      </c>
      <c r="AN196" s="59">
        <f ca="1">AVERAGE(OFFSET($AM$3,0,0,'Données projet'!$E$10+1,1))-AVERAGE(OFFSET($H$3,0,0,'Données projet'!$E$10+1,1))</f>
        <v>296.25231821504275</v>
      </c>
      <c r="AO196" s="59">
        <f t="shared" si="144"/>
        <v>316.20936902390275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4.1938549189940453</v>
      </c>
      <c r="AV196" s="21">
        <f>EXP(-LN(2)/25)*AV195+(1-EXP(-LN(2)/25))/(LN(2)/25)*Calculateur!AQ196*Calculateur!AS196*VLOOKUP('Données projet'!$B$10,Paramètres!$A$1:$I$89,3,0)*0.475*44/12</f>
        <v>0.12044559708808456</v>
      </c>
      <c r="AW196" s="21">
        <f>EXP(-LN(2)/2)*AW195+(1-EXP(-LN(2)/2))/(LN(2)/2)*AQ196*AT196*VLOOKUP('Données projet'!$B$10,Paramètres!$A$1:$I$89,3,0)*0.475*44/12</f>
        <v>3.5099702177512788E-19</v>
      </c>
      <c r="AX196" s="21">
        <f t="shared" si="166"/>
        <v>4.3143005160821302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318.99999999999994</v>
      </c>
      <c r="BE196" s="13">
        <f>BD196*VLOOKUP('Données projet'!$B$11,Paramètres!$A$1:$I$89,3,0)*VLOOKUP('Données projet'!$B$11,Paramètres!$A$1:$I$89,5,0)</f>
        <v>253.79639999999995</v>
      </c>
      <c r="BF196" s="13">
        <f t="shared" si="167"/>
        <v>61.398168322280704</v>
      </c>
      <c r="BG196" s="20">
        <f t="shared" si="168"/>
        <v>548.9638731613054</v>
      </c>
      <c r="BH196" s="59">
        <f t="shared" ref="BH196:BH203" si="194">BG196+(AY196+AZ196)*44/12</f>
        <v>842.29720649463866</v>
      </c>
      <c r="BI196" s="59">
        <f ca="1">AVERAGE(OFFSET($BH$3,0,0,'Données projet'!$E$11+1,1))-AVERAGE(OFFSET($H$3,0,0,'Données projet'!$E$11+1,1))</f>
        <v>244.50301885429764</v>
      </c>
      <c r="BJ196" s="59">
        <f t="shared" si="146"/>
        <v>248.77995374147798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4.0819343894393416</v>
      </c>
      <c r="BQ196" s="21">
        <f>EXP(-LN(2)/25)*BQ195+(1-EXP(-LN(2)/25))/(LN(2)/25)*Calculateur!BL196*Calculateur!BN196*VLOOKUP('Données projet'!$B$11,Paramètres!$A$1:$I$89,3,0)*0.475*44/12</f>
        <v>0.13146698934944404</v>
      </c>
      <c r="BR196" s="21">
        <f>EXP(-LN(2)/2)*BR195+(1-EXP(-LN(2)/2))/(LN(2)/2)*BL196*BO196*VLOOKUP('Données projet'!$B$11,Paramètres!$A$1:$I$89,3,0)*0.475*44/12</f>
        <v>6.0446508905371754E-18</v>
      </c>
      <c r="BS196" s="22">
        <f t="shared" si="169"/>
        <v>4.2134013787887854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1">
        <f t="shared" ref="D197:D203" si="202">IFERROR(EXP(-1.0587+0.8836*LN(C197)+0.284),0)</f>
        <v>42.97318165193041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67">
        <f t="shared" si="192"/>
        <v>663.35317137711263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311.298</v>
      </c>
      <c r="P197" s="13">
        <f t="shared" ref="P197:P203" si="203">EXP(-1.0587+0.8836*LN(O197)+0.284)</f>
        <v>73.539838278528748</v>
      </c>
      <c r="Q197" s="20">
        <f t="shared" si="162"/>
        <v>670.25923500177089</v>
      </c>
      <c r="R197" s="59">
        <f t="shared" si="191"/>
        <v>963.59256833510426</v>
      </c>
      <c r="S197" s="59">
        <f ca="1">AVERAGE(OFFSET($R$3,0,0,'Données projet'!$E$9+1,1))-AVERAGE(OFFSET($H$3,0,0,'Données projet'!$E$9+1,1))</f>
        <v>342.91408684769942</v>
      </c>
      <c r="T197" s="59">
        <f t="shared" ref="T197:T203" si="204">$T$3</f>
        <v>209.92380505963234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16.640454040417204</v>
      </c>
      <c r="AA197" s="21">
        <f>EXP(-LN(2)/25)*AA196+(1-EXP(-LN(2)/25))/(LN(2)/25)*Calculateur!V197*Calculateur!X197*VLOOKUP('Données projet'!$B$9,Paramètres!$A$1:$I$89,3,0)*0.475*44/12</f>
        <v>0.49834118665647703</v>
      </c>
      <c r="AB197" s="21">
        <f>EXP(-LN(2)/2)*AB196+(1-EXP(-LN(2)/2))/(LN(2)/2)*V197*Y197*VLOOKUP('Données projet'!$B$9,Paramètres!$A$1:$I$89,3,0)*0.475*44/12</f>
        <v>2.1718371569419099E-12</v>
      </c>
      <c r="AC197" s="22">
        <f t="shared" si="163"/>
        <v>17.138795227075853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432.99999999999989</v>
      </c>
      <c r="AJ197" s="13">
        <f>AI197*VLOOKUP('Données projet'!$B$10,Paramètres!$A$1:$I$89,3,0)*VLOOKUP('Données projet'!$B$10,Paramètres!$A$1:$I$89,5,0)</f>
        <v>290.45639999999992</v>
      </c>
      <c r="AK197" s="13">
        <f t="shared" si="164"/>
        <v>69.172009514864612</v>
      </c>
      <c r="AL197" s="20">
        <f t="shared" si="165"/>
        <v>626.3528132383891</v>
      </c>
      <c r="AM197" s="59">
        <f t="shared" si="193"/>
        <v>919.68614657172247</v>
      </c>
      <c r="AN197" s="59">
        <f ca="1">AVERAGE(OFFSET($AM$3,0,0,'Données projet'!$E$10+1,1))-AVERAGE(OFFSET($H$3,0,0,'Données projet'!$E$10+1,1))</f>
        <v>296.25231821504275</v>
      </c>
      <c r="AO197" s="59">
        <f t="shared" ref="AO197:AO203" si="205">$AO$3</f>
        <v>316.20936902390275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4.1116159820314913</v>
      </c>
      <c r="AV197" s="21">
        <f>EXP(-LN(2)/25)*AV196+(1-EXP(-LN(2)/25))/(LN(2)/25)*Calculateur!AQ197*Calculateur!AS197*VLOOKUP('Données projet'!$B$10,Paramètres!$A$1:$I$89,3,0)*0.475*44/12</f>
        <v>0.11715200590175222</v>
      </c>
      <c r="AW197" s="21">
        <f>EXP(-LN(2)/2)*AW196+(1-EXP(-LN(2)/2))/(LN(2)/2)*AQ197*AT197*VLOOKUP('Données projet'!$B$10,Paramètres!$A$1:$I$89,3,0)*0.475*44/12</f>
        <v>2.4819237427347521E-19</v>
      </c>
      <c r="AX197" s="21">
        <f t="shared" si="166"/>
        <v>4.2287679879332432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318.99999999999994</v>
      </c>
      <c r="BE197" s="13">
        <f>BD197*VLOOKUP('Données projet'!$B$11,Paramètres!$A$1:$I$89,3,0)*VLOOKUP('Données projet'!$B$11,Paramètres!$A$1:$I$89,5,0)</f>
        <v>253.79639999999995</v>
      </c>
      <c r="BF197" s="13">
        <f t="shared" si="167"/>
        <v>61.398168322280704</v>
      </c>
      <c r="BG197" s="20">
        <f t="shared" si="168"/>
        <v>548.9638731613054</v>
      </c>
      <c r="BH197" s="59">
        <f t="shared" si="194"/>
        <v>842.29720649463866</v>
      </c>
      <c r="BI197" s="59">
        <f ca="1">AVERAGE(OFFSET($BH$3,0,0,'Données projet'!$E$11+1,1))-AVERAGE(OFFSET($H$3,0,0,'Données projet'!$E$11+1,1))</f>
        <v>244.50301885429764</v>
      </c>
      <c r="BJ197" s="59">
        <f t="shared" ref="BJ197:BJ203" si="206">$BJ$3</f>
        <v>248.77995374147798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4.0018901457965725</v>
      </c>
      <c r="BQ197" s="21">
        <f>EXP(-LN(2)/25)*BQ196+(1-EXP(-LN(2)/25))/(LN(2)/25)*Calculateur!BL197*Calculateur!BN197*VLOOKUP('Données projet'!$B$11,Paramètres!$A$1:$I$89,3,0)*0.475*44/12</f>
        <v>0.12787201761213499</v>
      </c>
      <c r="BR197" s="21">
        <f>EXP(-LN(2)/2)*BR196+(1-EXP(-LN(2)/2))/(LN(2)/2)*BL197*BO197*VLOOKUP('Données projet'!$B$11,Paramètres!$A$1:$I$89,3,0)*0.475*44/12</f>
        <v>4.2742136346041401E-18</v>
      </c>
      <c r="BS197" s="22">
        <f t="shared" si="169"/>
        <v>4.1297621634087074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1">
        <f t="shared" si="202"/>
        <v>43.168850382694565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67">
        <f t="shared" si="192"/>
        <v>665.21548108319348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311.298</v>
      </c>
      <c r="P198" s="13">
        <f t="shared" si="203"/>
        <v>73.539838278528748</v>
      </c>
      <c r="Q198" s="20">
        <f t="shared" si="162"/>
        <v>670.25923500177089</v>
      </c>
      <c r="R198" s="59">
        <f t="shared" si="191"/>
        <v>963.59256833510426</v>
      </c>
      <c r="S198" s="59">
        <f ca="1">AVERAGE(OFFSET($R$3,0,0,'Données projet'!$E$9+1,1))-AVERAGE(OFFSET($H$3,0,0,'Données projet'!$E$9+1,1))</f>
        <v>342.91408684769942</v>
      </c>
      <c r="T198" s="59">
        <f t="shared" si="204"/>
        <v>209.92380505963234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16.31414488635939</v>
      </c>
      <c r="AA198" s="21">
        <f>EXP(-LN(2)/25)*AA197+(1-EXP(-LN(2)/25))/(LN(2)/25)*Calculateur!V198*Calculateur!X198*VLOOKUP('Données projet'!$B$9,Paramètres!$A$1:$I$89,3,0)*0.475*44/12</f>
        <v>0.48471402070073161</v>
      </c>
      <c r="AB198" s="21">
        <f>EXP(-LN(2)/2)*AB197+(1-EXP(-LN(2)/2))/(LN(2)/2)*V198*Y198*VLOOKUP('Données projet'!$B$9,Paramètres!$A$1:$I$89,3,0)*0.475*44/12</f>
        <v>1.5357207813065366E-12</v>
      </c>
      <c r="AC198" s="22">
        <f t="shared" si="163"/>
        <v>16.798858907061657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432.99999999999989</v>
      </c>
      <c r="AJ198" s="13">
        <f>AI198*VLOOKUP('Données projet'!$B$10,Paramètres!$A$1:$I$89,3,0)*VLOOKUP('Données projet'!$B$10,Paramètres!$A$1:$I$89,5,0)</f>
        <v>290.45639999999992</v>
      </c>
      <c r="AK198" s="13">
        <f t="shared" si="164"/>
        <v>69.172009514864612</v>
      </c>
      <c r="AL198" s="20">
        <f t="shared" si="165"/>
        <v>626.3528132383891</v>
      </c>
      <c r="AM198" s="59">
        <f t="shared" si="193"/>
        <v>919.68614657172247</v>
      </c>
      <c r="AN198" s="59">
        <f ca="1">AVERAGE(OFFSET($AM$3,0,0,'Données projet'!$E$10+1,1))-AVERAGE(OFFSET($H$3,0,0,'Données projet'!$E$10+1,1))</f>
        <v>296.25231821504275</v>
      </c>
      <c r="AO198" s="59">
        <f t="shared" si="205"/>
        <v>316.20936902390275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4.0309897004619746</v>
      </c>
      <c r="AV198" s="21">
        <f>EXP(-LN(2)/25)*AV197+(1-EXP(-LN(2)/25))/(LN(2)/25)*Calculateur!AQ198*Calculateur!AS198*VLOOKUP('Données projet'!$B$10,Paramètres!$A$1:$I$89,3,0)*0.475*44/12</f>
        <v>0.11394847813961256</v>
      </c>
      <c r="AW198" s="21">
        <f>EXP(-LN(2)/2)*AW197+(1-EXP(-LN(2)/2))/(LN(2)/2)*AQ198*AT198*VLOOKUP('Données projet'!$B$10,Paramètres!$A$1:$I$89,3,0)*0.475*44/12</f>
        <v>1.7549851088756394E-19</v>
      </c>
      <c r="AX198" s="21">
        <f t="shared" si="166"/>
        <v>4.1449381786015875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318.99999999999994</v>
      </c>
      <c r="BE198" s="13">
        <f>BD198*VLOOKUP('Données projet'!$B$11,Paramètres!$A$1:$I$89,3,0)*VLOOKUP('Données projet'!$B$11,Paramètres!$A$1:$I$89,5,0)</f>
        <v>253.79639999999995</v>
      </c>
      <c r="BF198" s="13">
        <f t="shared" si="167"/>
        <v>61.398168322280704</v>
      </c>
      <c r="BG198" s="20">
        <f t="shared" si="168"/>
        <v>548.9638731613054</v>
      </c>
      <c r="BH198" s="59">
        <f t="shared" si="194"/>
        <v>842.29720649463866</v>
      </c>
      <c r="BI198" s="59">
        <f ca="1">AVERAGE(OFFSET($BH$3,0,0,'Données projet'!$E$11+1,1))-AVERAGE(OFFSET($H$3,0,0,'Données projet'!$E$11+1,1))</f>
        <v>244.50301885429764</v>
      </c>
      <c r="BJ198" s="59">
        <f t="shared" si="206"/>
        <v>248.77995374147798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3.9234155209494705</v>
      </c>
      <c r="BQ198" s="21">
        <f>EXP(-LN(2)/25)*BQ197+(1-EXP(-LN(2)/25))/(LN(2)/25)*Calculateur!BL198*Calculateur!BN198*VLOOKUP('Données projet'!$B$11,Paramètres!$A$1:$I$89,3,0)*0.475*44/12</f>
        <v>0.12437535056603401</v>
      </c>
      <c r="BR198" s="21">
        <f>EXP(-LN(2)/2)*BR197+(1-EXP(-LN(2)/2))/(LN(2)/2)*BL198*BO198*VLOOKUP('Données projet'!$B$11,Paramètres!$A$1:$I$89,3,0)*0.475*44/12</f>
        <v>3.0223254452685877E-18</v>
      </c>
      <c r="BS198" s="22">
        <f t="shared" si="169"/>
        <v>4.0477908715155042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1">
        <f t="shared" si="202"/>
        <v>43.364402348589593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67">
        <f t="shared" si="192"/>
        <v>667.07758742379417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311.298</v>
      </c>
      <c r="P199" s="13">
        <f t="shared" si="203"/>
        <v>73.539838278528748</v>
      </c>
      <c r="Q199" s="20">
        <f t="shared" si="162"/>
        <v>670.25923500177089</v>
      </c>
      <c r="R199" s="59">
        <f t="shared" si="191"/>
        <v>963.59256833510426</v>
      </c>
      <c r="S199" s="59">
        <f ca="1">AVERAGE(OFFSET($R$3,0,0,'Données projet'!$E$9+1,1))-AVERAGE(OFFSET($H$3,0,0,'Données projet'!$E$9+1,1))</f>
        <v>342.91408684769942</v>
      </c>
      <c r="T199" s="59">
        <f t="shared" si="204"/>
        <v>209.92380505963234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15.994234455783719</v>
      </c>
      <c r="AA199" s="21">
        <f>EXP(-LN(2)/25)*AA198+(1-EXP(-LN(2)/25))/(LN(2)/25)*Calculateur!V199*Calculateur!X199*VLOOKUP('Données projet'!$B$9,Paramètres!$A$1:$I$89,3,0)*0.475*44/12</f>
        <v>0.47145949031466761</v>
      </c>
      <c r="AB199" s="21">
        <f>EXP(-LN(2)/2)*AB198+(1-EXP(-LN(2)/2))/(LN(2)/2)*V199*Y199*VLOOKUP('Données projet'!$B$9,Paramètres!$A$1:$I$89,3,0)*0.475*44/12</f>
        <v>1.0859185784709549E-12</v>
      </c>
      <c r="AC199" s="22">
        <f t="shared" si="163"/>
        <v>16.465693946099474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432.99999999999989</v>
      </c>
      <c r="AJ199" s="13">
        <f>AI199*VLOOKUP('Données projet'!$B$10,Paramètres!$A$1:$I$89,3,0)*VLOOKUP('Données projet'!$B$10,Paramètres!$A$1:$I$89,5,0)</f>
        <v>290.45639999999992</v>
      </c>
      <c r="AK199" s="13">
        <f t="shared" si="164"/>
        <v>69.172009514864612</v>
      </c>
      <c r="AL199" s="20">
        <f t="shared" si="165"/>
        <v>626.3528132383891</v>
      </c>
      <c r="AM199" s="59">
        <f t="shared" si="193"/>
        <v>919.68614657172247</v>
      </c>
      <c r="AN199" s="59">
        <f ca="1">AVERAGE(OFFSET($AM$3,0,0,'Données projet'!$E$10+1,1))-AVERAGE(OFFSET($H$3,0,0,'Données projet'!$E$10+1,1))</f>
        <v>296.25231821504275</v>
      </c>
      <c r="AO199" s="59">
        <f t="shared" si="205"/>
        <v>316.20936902390275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3.95194445109686</v>
      </c>
      <c r="AV199" s="21">
        <f>EXP(-LN(2)/25)*AV198+(1-EXP(-LN(2)/25))/(LN(2)/25)*Calculateur!AQ199*Calculateur!AS199*VLOOKUP('Données projet'!$B$10,Paramètres!$A$1:$I$89,3,0)*0.475*44/12</f>
        <v>0.11083255101259483</v>
      </c>
      <c r="AW199" s="21">
        <f>EXP(-LN(2)/2)*AW198+(1-EXP(-LN(2)/2))/(LN(2)/2)*AQ199*AT199*VLOOKUP('Données projet'!$B$10,Paramètres!$A$1:$I$89,3,0)*0.475*44/12</f>
        <v>1.240961871367376E-19</v>
      </c>
      <c r="AX199" s="21">
        <f t="shared" si="166"/>
        <v>4.0627770021094545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318.99999999999994</v>
      </c>
      <c r="BE199" s="13">
        <f>BD199*VLOOKUP('Données projet'!$B$11,Paramètres!$A$1:$I$89,3,0)*VLOOKUP('Données projet'!$B$11,Paramètres!$A$1:$I$89,5,0)</f>
        <v>253.79639999999995</v>
      </c>
      <c r="BF199" s="13">
        <f t="shared" si="167"/>
        <v>61.398168322280704</v>
      </c>
      <c r="BG199" s="20">
        <f t="shared" si="168"/>
        <v>548.9638731613054</v>
      </c>
      <c r="BH199" s="59">
        <f t="shared" si="194"/>
        <v>842.29720649463866</v>
      </c>
      <c r="BI199" s="59">
        <f ca="1">AVERAGE(OFFSET($BH$3,0,0,'Données projet'!$E$11+1,1))-AVERAGE(OFFSET($H$3,0,0,'Données projet'!$E$11+1,1))</f>
        <v>244.50301885429764</v>
      </c>
      <c r="BJ199" s="59">
        <f t="shared" si="206"/>
        <v>248.77995374147798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3.8464797356308256</v>
      </c>
      <c r="BQ199" s="21">
        <f>EXP(-LN(2)/25)*BQ198+(1-EXP(-LN(2)/25))/(LN(2)/25)*Calculateur!BL199*Calculateur!BN199*VLOOKUP('Données projet'!$B$11,Paramètres!$A$1:$I$89,3,0)*0.475*44/12</f>
        <v>0.12097430006419038</v>
      </c>
      <c r="BR199" s="21">
        <f>EXP(-LN(2)/2)*BR198+(1-EXP(-LN(2)/2))/(LN(2)/2)*BL199*BO199*VLOOKUP('Données projet'!$B$11,Paramètres!$A$1:$I$89,3,0)*0.475*44/12</f>
        <v>2.13710681730207E-18</v>
      </c>
      <c r="BS199" s="22">
        <f t="shared" si="169"/>
        <v>3.9674540356950159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1">
        <f t="shared" si="202"/>
        <v>43.559838214507067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67">
        <f t="shared" si="192"/>
        <v>668.93949155693372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311.298</v>
      </c>
      <c r="P200" s="13">
        <f t="shared" si="203"/>
        <v>73.539838278528748</v>
      </c>
      <c r="Q200" s="20">
        <f t="shared" si="162"/>
        <v>670.25923500177089</v>
      </c>
      <c r="R200" s="59">
        <f t="shared" si="191"/>
        <v>963.59256833510426</v>
      </c>
      <c r="S200" s="59">
        <f ca="1">AVERAGE(OFFSET($R$3,0,0,'Données projet'!$E$9+1,1))-AVERAGE(OFFSET($H$3,0,0,'Données projet'!$E$9+1,1))</f>
        <v>342.91408684769942</v>
      </c>
      <c r="T200" s="59">
        <f t="shared" si="204"/>
        <v>209.92380505963234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15.680597273625541</v>
      </c>
      <c r="AA200" s="21">
        <f>EXP(-LN(2)/25)*AA199+(1-EXP(-LN(2)/25))/(LN(2)/25)*Calculateur!V200*Calculateur!X200*VLOOKUP('Données projet'!$B$9,Paramètres!$A$1:$I$89,3,0)*0.475*44/12</f>
        <v>0.45856740575903598</v>
      </c>
      <c r="AB200" s="21">
        <f>EXP(-LN(2)/2)*AB199+(1-EXP(-LN(2)/2))/(LN(2)/2)*V200*Y200*VLOOKUP('Données projet'!$B$9,Paramètres!$A$1:$I$89,3,0)*0.475*44/12</f>
        <v>7.6786039065326828E-13</v>
      </c>
      <c r="AC200" s="22">
        <f t="shared" si="163"/>
        <v>16.139164679385345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432.99999999999989</v>
      </c>
      <c r="AJ200" s="13">
        <f>AI200*VLOOKUP('Données projet'!$B$10,Paramètres!$A$1:$I$89,3,0)*VLOOKUP('Données projet'!$B$10,Paramètres!$A$1:$I$89,5,0)</f>
        <v>290.45639999999992</v>
      </c>
      <c r="AK200" s="13">
        <f t="shared" si="164"/>
        <v>69.172009514864612</v>
      </c>
      <c r="AL200" s="20">
        <f t="shared" si="165"/>
        <v>626.3528132383891</v>
      </c>
      <c r="AM200" s="59">
        <f t="shared" si="193"/>
        <v>919.68614657172247</v>
      </c>
      <c r="AN200" s="59">
        <f ca="1">AVERAGE(OFFSET($AM$3,0,0,'Données projet'!$E$10+1,1))-AVERAGE(OFFSET($H$3,0,0,'Données projet'!$E$10+1,1))</f>
        <v>296.25231821504275</v>
      </c>
      <c r="AO200" s="59">
        <f t="shared" si="205"/>
        <v>316.20936902390275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3.8744492308589535</v>
      </c>
      <c r="AV200" s="21">
        <f>EXP(-LN(2)/25)*AV199+(1-EXP(-LN(2)/25))/(LN(2)/25)*Calculateur!AQ200*Calculateur!AS200*VLOOKUP('Données projet'!$B$10,Paramètres!$A$1:$I$89,3,0)*0.475*44/12</f>
        <v>0.10780182907672488</v>
      </c>
      <c r="AW200" s="21">
        <f>EXP(-LN(2)/2)*AW199+(1-EXP(-LN(2)/2))/(LN(2)/2)*AQ200*AT200*VLOOKUP('Données projet'!$B$10,Paramètres!$A$1:$I$89,3,0)*0.475*44/12</f>
        <v>8.7749255443781971E-20</v>
      </c>
      <c r="AX200" s="21">
        <f t="shared" si="166"/>
        <v>3.9822510599356784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318.99999999999994</v>
      </c>
      <c r="BE200" s="13">
        <f>BD200*VLOOKUP('Données projet'!$B$11,Paramètres!$A$1:$I$89,3,0)*VLOOKUP('Données projet'!$B$11,Paramètres!$A$1:$I$89,5,0)</f>
        <v>253.79639999999995</v>
      </c>
      <c r="BF200" s="13">
        <f t="shared" si="167"/>
        <v>61.398168322280704</v>
      </c>
      <c r="BG200" s="20">
        <f t="shared" si="168"/>
        <v>548.9638731613054</v>
      </c>
      <c r="BH200" s="59">
        <f t="shared" si="194"/>
        <v>842.29720649463866</v>
      </c>
      <c r="BI200" s="59">
        <f ca="1">AVERAGE(OFFSET($BH$3,0,0,'Données projet'!$E$11+1,1))-AVERAGE(OFFSET($H$3,0,0,'Données projet'!$E$11+1,1))</f>
        <v>244.50301885429764</v>
      </c>
      <c r="BJ200" s="59">
        <f t="shared" si="206"/>
        <v>248.77995374147798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3.7710526141360834</v>
      </c>
      <c r="BQ200" s="21">
        <f>EXP(-LN(2)/25)*BQ199+(1-EXP(-LN(2)/25))/(LN(2)/25)*Calculateur!BL200*Calculateur!BN200*VLOOKUP('Données projet'!$B$11,Paramètres!$A$1:$I$89,3,0)*0.475*44/12</f>
        <v>0.11766625146717315</v>
      </c>
      <c r="BR200" s="21">
        <f>EXP(-LN(2)/2)*BR199+(1-EXP(-LN(2)/2))/(LN(2)/2)*BL200*BO200*VLOOKUP('Données projet'!$B$11,Paramètres!$A$1:$I$89,3,0)*0.475*44/12</f>
        <v>1.5111627226342938E-18</v>
      </c>
      <c r="BS200" s="22">
        <f t="shared" si="169"/>
        <v>3.8887188656032565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1">
        <f t="shared" si="202"/>
        <v>43.755158638197358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67">
        <f t="shared" si="192"/>
        <v>670.80119462819425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311.298</v>
      </c>
      <c r="P201" s="13">
        <f t="shared" si="203"/>
        <v>73.539838278528748</v>
      </c>
      <c r="Q201" s="20">
        <f t="shared" si="162"/>
        <v>670.25923500177089</v>
      </c>
      <c r="R201" s="59">
        <f t="shared" si="191"/>
        <v>963.59256833510426</v>
      </c>
      <c r="S201" s="59">
        <f ca="1">AVERAGE(OFFSET($R$3,0,0,'Données projet'!$E$9+1,1))-AVERAGE(OFFSET($H$3,0,0,'Données projet'!$E$9+1,1))</f>
        <v>342.91408684769942</v>
      </c>
      <c r="T201" s="59">
        <f t="shared" si="204"/>
        <v>209.92380505963234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15.373110325309693</v>
      </c>
      <c r="AA201" s="21">
        <f>EXP(-LN(2)/25)*AA200+(1-EXP(-LN(2)/25))/(LN(2)/25)*Calculateur!V201*Calculateur!X201*VLOOKUP('Données projet'!$B$9,Paramètres!$A$1:$I$89,3,0)*0.475*44/12</f>
        <v>0.44602785593354333</v>
      </c>
      <c r="AB201" s="21">
        <f>EXP(-LN(2)/2)*AB200+(1-EXP(-LN(2)/2))/(LN(2)/2)*V201*Y201*VLOOKUP('Données projet'!$B$9,Paramètres!$A$1:$I$89,3,0)*0.475*44/12</f>
        <v>5.4295928923547747E-13</v>
      </c>
      <c r="AC201" s="22">
        <f t="shared" si="163"/>
        <v>15.81913818124378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432.99999999999989</v>
      </c>
      <c r="AJ201" s="13">
        <f>AI201*VLOOKUP('Données projet'!$B$10,Paramètres!$A$1:$I$89,3,0)*VLOOKUP('Données projet'!$B$10,Paramètres!$A$1:$I$89,5,0)</f>
        <v>290.45639999999992</v>
      </c>
      <c r="AK201" s="13">
        <f t="shared" si="164"/>
        <v>69.172009514864612</v>
      </c>
      <c r="AL201" s="20">
        <f t="shared" si="165"/>
        <v>626.3528132383891</v>
      </c>
      <c r="AM201" s="59">
        <f t="shared" si="193"/>
        <v>919.68614657172247</v>
      </c>
      <c r="AN201" s="59">
        <f ca="1">AVERAGE(OFFSET($AM$3,0,0,'Données projet'!$E$10+1,1))-AVERAGE(OFFSET($H$3,0,0,'Données projet'!$E$10+1,1))</f>
        <v>296.25231821504275</v>
      </c>
      <c r="AO201" s="59">
        <f t="shared" si="205"/>
        <v>316.20936902390275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3.7984736446224954</v>
      </c>
      <c r="AV201" s="21">
        <f>EXP(-LN(2)/25)*AV200+(1-EXP(-LN(2)/25))/(LN(2)/25)*Calculateur!AQ201*Calculateur!AS201*VLOOKUP('Données projet'!$B$10,Paramètres!$A$1:$I$89,3,0)*0.475*44/12</f>
        <v>0.10485398239157002</v>
      </c>
      <c r="AW201" s="21">
        <f>EXP(-LN(2)/2)*AW200+(1-EXP(-LN(2)/2))/(LN(2)/2)*AQ201*AT201*VLOOKUP('Données projet'!$B$10,Paramètres!$A$1:$I$89,3,0)*0.475*44/12</f>
        <v>6.2048093568368802E-20</v>
      </c>
      <c r="AX201" s="21">
        <f t="shared" si="166"/>
        <v>3.9033276270140655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318.99999999999994</v>
      </c>
      <c r="BE201" s="13">
        <f>BD201*VLOOKUP('Données projet'!$B$11,Paramètres!$A$1:$I$89,3,0)*VLOOKUP('Données projet'!$B$11,Paramètres!$A$1:$I$89,5,0)</f>
        <v>253.79639999999995</v>
      </c>
      <c r="BF201" s="13">
        <f t="shared" si="167"/>
        <v>61.398168322280704</v>
      </c>
      <c r="BG201" s="20">
        <f t="shared" si="168"/>
        <v>548.9638731613054</v>
      </c>
      <c r="BH201" s="59">
        <f t="shared" si="194"/>
        <v>842.29720649463866</v>
      </c>
      <c r="BI201" s="59">
        <f ca="1">AVERAGE(OFFSET($BH$3,0,0,'Données projet'!$E$11+1,1))-AVERAGE(OFFSET($H$3,0,0,'Données projet'!$E$11+1,1))</f>
        <v>244.50301885429764</v>
      </c>
      <c r="BJ201" s="59">
        <f t="shared" si="206"/>
        <v>248.77995374147798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3.6971045724878517</v>
      </c>
      <c r="BQ201" s="21">
        <f>EXP(-LN(2)/25)*BQ200+(1-EXP(-LN(2)/25))/(LN(2)/25)*Calculateur!BL201*Calculateur!BN201*VLOOKUP('Données projet'!$B$11,Paramètres!$A$1:$I$89,3,0)*0.475*44/12</f>
        <v>0.11444866163300406</v>
      </c>
      <c r="BR201" s="21">
        <f>EXP(-LN(2)/2)*BR200+(1-EXP(-LN(2)/2))/(LN(2)/2)*BL201*BO201*VLOOKUP('Données projet'!$B$11,Paramètres!$A$1:$I$89,3,0)*0.475*44/12</f>
        <v>1.068553408651035E-18</v>
      </c>
      <c r="BS201" s="22">
        <f t="shared" si="169"/>
        <v>3.811553234120856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1">
        <f t="shared" si="202"/>
        <v>43.950364270382373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67">
        <f t="shared" si="192"/>
        <v>672.66269777091657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311.298</v>
      </c>
      <c r="P202" s="13">
        <f t="shared" si="203"/>
        <v>73.539838278528748</v>
      </c>
      <c r="Q202" s="20">
        <f t="shared" si="162"/>
        <v>670.25923500177089</v>
      </c>
      <c r="R202" s="59">
        <f t="shared" si="191"/>
        <v>963.59256833510426</v>
      </c>
      <c r="S202" s="59">
        <f ca="1">AVERAGE(OFFSET($R$3,0,0,'Données projet'!$E$9+1,1))-AVERAGE(OFFSET($H$3,0,0,'Données projet'!$E$9+1,1))</f>
        <v>342.91408684769942</v>
      </c>
      <c r="T202" s="59">
        <f t="shared" si="204"/>
        <v>209.92380505963234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15.071653008501798</v>
      </c>
      <c r="AA202" s="21">
        <f>EXP(-LN(2)/25)*AA201+(1-EXP(-LN(2)/25))/(LN(2)/25)*Calculateur!V202*Calculateur!X202*VLOOKUP('Données projet'!$B$9,Paramètres!$A$1:$I$89,3,0)*0.475*44/12</f>
        <v>0.43383120075745507</v>
      </c>
      <c r="AB202" s="21">
        <f>EXP(-LN(2)/2)*AB201+(1-EXP(-LN(2)/2))/(LN(2)/2)*V202*Y202*VLOOKUP('Données projet'!$B$9,Paramètres!$A$1:$I$89,3,0)*0.475*44/12</f>
        <v>3.8393019532663414E-13</v>
      </c>
      <c r="AC202" s="22">
        <f t="shared" si="163"/>
        <v>15.505484209259636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432.99999999999989</v>
      </c>
      <c r="AJ202" s="13">
        <f>AI202*VLOOKUP('Données projet'!$B$10,Paramètres!$A$1:$I$89,3,0)*VLOOKUP('Données projet'!$B$10,Paramètres!$A$1:$I$89,5,0)</f>
        <v>290.45639999999992</v>
      </c>
      <c r="AK202" s="13">
        <f t="shared" si="164"/>
        <v>69.172009514864612</v>
      </c>
      <c r="AL202" s="20">
        <f t="shared" si="165"/>
        <v>626.3528132383891</v>
      </c>
      <c r="AM202" s="59">
        <f t="shared" si="193"/>
        <v>919.68614657172247</v>
      </c>
      <c r="AN202" s="59">
        <f ca="1">AVERAGE(OFFSET($AM$3,0,0,'Données projet'!$E$10+1,1))-AVERAGE(OFFSET($H$3,0,0,'Données projet'!$E$10+1,1))</f>
        <v>296.25231821504275</v>
      </c>
      <c r="AO202" s="59">
        <f t="shared" si="205"/>
        <v>316.20936902390275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3.7239878932916026</v>
      </c>
      <c r="AV202" s="21">
        <f>EXP(-LN(2)/25)*AV201+(1-EXP(-LN(2)/25))/(LN(2)/25)*Calculateur!AQ202*Calculateur!AS202*VLOOKUP('Données projet'!$B$10,Paramètres!$A$1:$I$89,3,0)*0.475*44/12</f>
        <v>0.10198674472904126</v>
      </c>
      <c r="AW202" s="21">
        <f>EXP(-LN(2)/2)*AW201+(1-EXP(-LN(2)/2))/(LN(2)/2)*AQ202*AT202*VLOOKUP('Données projet'!$B$10,Paramètres!$A$1:$I$89,3,0)*0.475*44/12</f>
        <v>4.3874627721890986E-20</v>
      </c>
      <c r="AX202" s="21">
        <f t="shared" si="166"/>
        <v>3.8259746380206439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318.99999999999994</v>
      </c>
      <c r="BE202" s="13">
        <f>BD202*VLOOKUP('Données projet'!$B$11,Paramètres!$A$1:$I$89,3,0)*VLOOKUP('Données projet'!$B$11,Paramètres!$A$1:$I$89,5,0)</f>
        <v>253.79639999999995</v>
      </c>
      <c r="BF202" s="13">
        <f t="shared" si="167"/>
        <v>61.398168322280704</v>
      </c>
      <c r="BG202" s="20">
        <f t="shared" si="168"/>
        <v>548.9638731613054</v>
      </c>
      <c r="BH202" s="59">
        <f t="shared" si="194"/>
        <v>842.29720649463866</v>
      </c>
      <c r="BI202" s="59">
        <f ca="1">AVERAGE(OFFSET($BH$3,0,0,'Données projet'!$E$11+1,1))-AVERAGE(OFFSET($H$3,0,0,'Données projet'!$E$11+1,1))</f>
        <v>244.50301885429764</v>
      </c>
      <c r="BJ202" s="59">
        <f t="shared" si="206"/>
        <v>248.77995374147798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3.6246066068324905</v>
      </c>
      <c r="BQ202" s="21">
        <f>EXP(-LN(2)/25)*BQ201+(1-EXP(-LN(2)/25))/(LN(2)/25)*Calculateur!BL202*Calculateur!BN202*VLOOKUP('Données projet'!$B$11,Paramètres!$A$1:$I$89,3,0)*0.475*44/12</f>
        <v>0.11131905696205602</v>
      </c>
      <c r="BR202" s="21">
        <f>EXP(-LN(2)/2)*BR201+(1-EXP(-LN(2)/2))/(LN(2)/2)*BL202*BO202*VLOOKUP('Données projet'!$B$11,Paramètres!$A$1:$I$89,3,0)*0.475*44/12</f>
        <v>7.5558136131714692E-19</v>
      </c>
      <c r="BS202" s="22">
        <f t="shared" si="169"/>
        <v>3.7359256637945464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1">
        <f t="shared" si="202"/>
        <v>44.145455754865324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67">
        <f t="shared" si="192"/>
        <v>674.52400210639098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311.298</v>
      </c>
      <c r="P203" s="13">
        <f t="shared" si="203"/>
        <v>73.539838278528748</v>
      </c>
      <c r="Q203" s="20">
        <f t="shared" si="162"/>
        <v>670.25923500177089</v>
      </c>
      <c r="R203" s="59">
        <f t="shared" si="191"/>
        <v>963.59256833510426</v>
      </c>
      <c r="S203" s="59">
        <f ca="1">AVERAGE(OFFSET($R$3,0,0,'Données projet'!$E$9+1,1))-AVERAGE(OFFSET($H$3,0,0,'Données projet'!$E$9+1,1))</f>
        <v>342.91408684769942</v>
      </c>
      <c r="T203" s="59">
        <f t="shared" si="204"/>
        <v>209.92380505963234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14.7761070858057</v>
      </c>
      <c r="AA203" s="21">
        <f>EXP(-LN(2)/25)*AA202+(1-EXP(-LN(2)/25))/(LN(2)/25)*Calculateur!V203*Calculateur!X203*VLOOKUP('Données projet'!$B$9,Paramètres!$A$1:$I$89,3,0)*0.475*44/12</f>
        <v>0.42196806375855117</v>
      </c>
      <c r="AB203" s="21">
        <f>EXP(-LN(2)/2)*AB202+(1-EXP(-LN(2)/2))/(LN(2)/2)*V203*Y203*VLOOKUP('Données projet'!$B$9,Paramètres!$A$1:$I$89,3,0)*0.475*44/12</f>
        <v>2.7147964461773873E-13</v>
      </c>
      <c r="AC203" s="22">
        <f t="shared" si="163"/>
        <v>15.198075149564524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432.99999999999989</v>
      </c>
      <c r="AJ203" s="13">
        <f>AI203*VLOOKUP('Données projet'!$B$10,Paramètres!$A$1:$I$89,3,0)*VLOOKUP('Données projet'!$B$10,Paramètres!$A$1:$I$89,5,0)</f>
        <v>290.45639999999992</v>
      </c>
      <c r="AK203" s="13">
        <f t="shared" si="164"/>
        <v>69.172009514864612</v>
      </c>
      <c r="AL203" s="20">
        <f t="shared" si="165"/>
        <v>626.3528132383891</v>
      </c>
      <c r="AM203" s="59">
        <f t="shared" si="193"/>
        <v>919.68614657172247</v>
      </c>
      <c r="AN203" s="59">
        <f ca="1">AVERAGE(OFFSET($AM$3,0,0,'Données projet'!$E$10+1,1))-AVERAGE(OFFSET($H$3,0,0,'Données projet'!$E$10+1,1))</f>
        <v>296.25231821504275</v>
      </c>
      <c r="AO203" s="59">
        <f t="shared" si="205"/>
        <v>316.20936902390275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3.6509627621124863</v>
      </c>
      <c r="AV203" s="21">
        <f>EXP(-LN(2)/25)*AV202+(1-EXP(-LN(2)/25))/(LN(2)/25)*Calculateur!AQ203*Calculateur!AS203*VLOOKUP('Données projet'!$B$10,Paramètres!$A$1:$I$89,3,0)*0.475*44/12</f>
        <v>9.9197911831175822E-2</v>
      </c>
      <c r="AW203" s="21">
        <f>EXP(-LN(2)/2)*AW202+(1-EXP(-LN(2)/2))/(LN(2)/2)*AQ203*AT203*VLOOKUP('Données projet'!$B$10,Paramètres!$A$1:$I$89,3,0)*0.475*44/12</f>
        <v>3.1024046784184401E-20</v>
      </c>
      <c r="AX203" s="21">
        <f t="shared" si="166"/>
        <v>3.7501606739436619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318.99999999999994</v>
      </c>
      <c r="BE203" s="13">
        <f>BD203*VLOOKUP('Données projet'!$B$11,Paramètres!$A$1:$I$89,3,0)*VLOOKUP('Données projet'!$B$11,Paramètres!$A$1:$I$89,5,0)</f>
        <v>253.79639999999995</v>
      </c>
      <c r="BF203" s="13">
        <f t="shared" si="167"/>
        <v>61.398168322280704</v>
      </c>
      <c r="BG203" s="20">
        <f t="shared" si="168"/>
        <v>548.9638731613054</v>
      </c>
      <c r="BH203" s="59">
        <f t="shared" si="194"/>
        <v>842.29720649463866</v>
      </c>
      <c r="BI203" s="59">
        <f ca="1">AVERAGE(OFFSET($BH$3,0,0,'Données projet'!$E$11+1,1))-AVERAGE(OFFSET($H$3,0,0,'Données projet'!$E$11+1,1))</f>
        <v>244.50301885429764</v>
      </c>
      <c r="BJ203" s="59">
        <f t="shared" si="206"/>
        <v>248.77995374147798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3.553530282064238</v>
      </c>
      <c r="BQ203" s="21">
        <f>EXP(-LN(2)/25)*BQ202+(1-EXP(-LN(2)/25))/(LN(2)/25)*Calculateur!BL203*Calculateur!BN203*VLOOKUP('Données projet'!$B$11,Paramètres!$A$1:$I$89,3,0)*0.475*44/12</f>
        <v>0.10827503149541381</v>
      </c>
      <c r="BR203" s="21">
        <f>EXP(-LN(2)/2)*BR202+(1-EXP(-LN(2)/2))/(LN(2)/2)*BL203*BO203*VLOOKUP('Données projet'!$B$11,Paramètres!$A$1:$I$89,3,0)*0.475*44/12</f>
        <v>5.3427670432551751E-19</v>
      </c>
      <c r="BS203" s="22">
        <f t="shared" si="169"/>
        <v>3.6618053135596518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1.4816888666071193</v>
      </c>
      <c r="BA205" s="82">
        <f>EXP(LN('Données projet'!B88)/'Données projet'!A88)</f>
        <v>1.3208724756526424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90" zoomScaleNormal="90" workbookViewId="0">
      <selection activeCell="C17" sqref="C1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pubescent</v>
      </c>
      <c r="B6" s="146">
        <f>'Données projet'!D9</f>
        <v>2.0856000000000003</v>
      </c>
      <c r="C6" s="147">
        <f ca="1">IF(OR('Données projet'!B9="",'Données projet'!C9="",'Données projet'!C9=0%),0,Calculateur!S3)</f>
        <v>342.91408684769942</v>
      </c>
      <c r="D6" s="147">
        <f>IF(OR('Données projet'!B9="",'Données projet'!C9="",'Données projet'!C9=0%),0,Calculateur!T3)</f>
        <v>209.92380505963234</v>
      </c>
      <c r="E6" s="147">
        <f ca="1">MIN(C6,D6)</f>
        <v>209.92380505963234</v>
      </c>
      <c r="F6" s="147">
        <f ca="1">E6*B6</f>
        <v>437.81708783236928</v>
      </c>
      <c r="G6" s="147">
        <f ca="1">F6*(100%-'Données projet'!$C$24)*(100%-'Données projet'!$C$25)*(100%-'Données projet'!$C$26)*(100%-'Données projet'!$C$27)</f>
        <v>394.03537904913236</v>
      </c>
      <c r="H6" s="148">
        <f>IF(OR('Données projet'!B9="",'Données projet'!C9="",'Données projet'!C9=0%),0,AVERAGE(Calculateur!$AC$3:$AC$33)*B6)</f>
        <v>0.65182127796145028</v>
      </c>
      <c r="I6" s="149">
        <f>H6*(100%-'Données projet'!$C$24)*(100%-'Données projet'!$C$25)*(100%-'Données projet'!$C$26)*(100%-'Données projet'!$C$27)</f>
        <v>0.58663915016530532</v>
      </c>
      <c r="J6" s="150">
        <f>IF(OR('Données projet'!B9="",'Données projet'!C9="",'Données projet'!C9=0%),0,SUM(Calculateur!$V$3:$V$33)*VLOOKUP('Données projet'!$B$9,Paramètres!$A$1:$I$89,9,0)*B6)</f>
        <v>32.326800000000006</v>
      </c>
      <c r="K6" s="151">
        <f>J6*(100%-'Données projet'!$C$24)*(100%-'Données projet'!$C$25)*(100%-'Données projet'!$C$26)*(100%-'Données projet'!$C$27)</f>
        <v>29.094120000000007</v>
      </c>
      <c r="L6" s="152">
        <f ca="1">G6+I6+K6</f>
        <v>423.71613819929769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Tilleul</v>
      </c>
      <c r="B7" s="154">
        <f>'Données projet'!D10</f>
        <v>2.0856000000000003</v>
      </c>
      <c r="C7" s="147">
        <f ca="1">IF(OR('Données projet'!B10="",'Données projet'!C10="",'Données projet'!C10=0%),0,Calculateur!AN3)</f>
        <v>296.25231821504275</v>
      </c>
      <c r="D7" s="147">
        <f>IF(OR('Données projet'!B10="",'Données projet'!C10="",'Données projet'!C10=0%),0,Calculateur!AO3)</f>
        <v>316.20936902390275</v>
      </c>
      <c r="E7" s="147">
        <f t="shared" ref="E7:E15" ca="1" si="0">MIN(C7,D7)</f>
        <v>296.25231821504275</v>
      </c>
      <c r="F7" s="147">
        <f t="shared" ref="F7:F15" ca="1" si="1">E7*B7</f>
        <v>617.86383486929321</v>
      </c>
      <c r="G7" s="147">
        <f ca="1">F7*(100%-'Données projet'!$C$24)*(100%-'Données projet'!$C$25)*(100%-'Données projet'!$C$26)*(100%-'Données projet'!$C$27)</f>
        <v>556.07745138236396</v>
      </c>
      <c r="H7" s="155">
        <f>IF(OR('Données projet'!B10="",'Données projet'!C10="",'Données projet'!C10=0%),0,AVERAGE(Calculateur!$AX$3:$AX$33)*B7)</f>
        <v>7.034831614994423</v>
      </c>
      <c r="I7" s="149">
        <f>H7*(100%-'Données projet'!$C$24)*(100%-'Données projet'!$C$25)*(100%-'Données projet'!$C$26)*(100%-'Données projet'!$C$27)</f>
        <v>6.3313484534949804</v>
      </c>
      <c r="J7" s="150">
        <f>IF(OR('Données projet'!B10="",'Données projet'!C10="",'Données projet'!C10=0%),0,SUM(Calculateur!$AQ$3:$AQ$33)*VLOOKUP('Données projet'!$B$10,Paramètres!$A$1:$I$89,9,0)*B7)</f>
        <v>63.610800000000012</v>
      </c>
      <c r="K7" s="151">
        <f>J7*(100%-'Données projet'!$C$24)*(100%-'Données projet'!$C$25)*(100%-'Données projet'!$C$26)*(100%-'Données projet'!$C$27)</f>
        <v>57.249720000000011</v>
      </c>
      <c r="L7" s="152">
        <f t="shared" ref="L7:L15" ca="1" si="2">G7+I7+K7</f>
        <v>619.65851983585901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plane</v>
      </c>
      <c r="B8" s="154">
        <f>'Données projet'!D11</f>
        <v>2.0856000000000003</v>
      </c>
      <c r="C8" s="147">
        <f ca="1">IF(OR('Données projet'!B11="",'Données projet'!C11="",'Données projet'!C11=0%),0,Calculateur!BI3)</f>
        <v>244.50301885429764</v>
      </c>
      <c r="D8" s="147">
        <f>IF(OR('Données projet'!B11="",'Données projet'!C11="",'Données projet'!C11=0%),0,Calculateur!BJ3)</f>
        <v>248.77995374147798</v>
      </c>
      <c r="E8" s="147">
        <f t="shared" ca="1" si="0"/>
        <v>244.50301885429764</v>
      </c>
      <c r="F8" s="147">
        <f t="shared" ca="1" si="1"/>
        <v>509.93549612252326</v>
      </c>
      <c r="G8" s="147">
        <f ca="1">F8*(100%-'Données projet'!$C$24)*(100%-'Données projet'!$C$25)*(100%-'Données projet'!$C$26)*(100%-'Données projet'!$C$27)</f>
        <v>458.94194651027095</v>
      </c>
      <c r="H8" s="155">
        <f>IF(OR('Données projet'!B11="",'Données projet'!C11="",'Données projet'!C11=0%),0,AVERAGE(Calculateur!$BS$3:$BS$33)*B8)</f>
        <v>4.3709874801901147</v>
      </c>
      <c r="I8" s="149">
        <f>H8*(100%-'Données projet'!$C$24)*(100%-'Données projet'!$C$25)*(100%-'Données projet'!$C$26)*(100%-'Données projet'!$C$27)</f>
        <v>3.9338887321711034</v>
      </c>
      <c r="J8" s="150">
        <f>IF(OR('Données projet'!B11="",'Données projet'!C11="",'Données projet'!C11=0%),0,SUM(Calculateur!$BL$3:$BL$33)*VLOOKUP('Données projet'!$B$11,Paramètres!$A$1:$I$89,9,0)*B8)</f>
        <v>71.43180000000001</v>
      </c>
      <c r="K8" s="151">
        <f>J8*(100%-'Données projet'!$C$24)*(100%-'Données projet'!$C$25)*(100%-'Données projet'!$C$26)*(100%-'Données projet'!$C$27)</f>
        <v>64.288620000000009</v>
      </c>
      <c r="L8" s="152">
        <f t="shared" ca="1" si="2"/>
        <v>527.16445524244205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1565.6164188241858</v>
      </c>
      <c r="G16" s="166">
        <f t="shared" ca="1" si="3"/>
        <v>1409.0547769417674</v>
      </c>
      <c r="H16" s="167">
        <f t="shared" si="3"/>
        <v>12.057640373145988</v>
      </c>
      <c r="I16" s="167">
        <f t="shared" si="3"/>
        <v>10.851876335831388</v>
      </c>
      <c r="J16" s="168">
        <f t="shared" si="3"/>
        <v>167.36940000000004</v>
      </c>
      <c r="K16" s="168">
        <f t="shared" si="3"/>
        <v>150.63246000000004</v>
      </c>
      <c r="L16" s="169">
        <f t="shared" ca="1" si="3"/>
        <v>1570.5391132775987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Tilleul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plane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80" zoomScaleNormal="80" workbookViewId="0">
      <selection activeCell="I25" sqref="I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2412.8969119805502</v>
      </c>
      <c r="U10" s="178">
        <f>'Données projet'!D9</f>
        <v>2.0856000000000003</v>
      </c>
      <c r="V10" s="177">
        <f>U10*T10</f>
        <v>5032.3377996266363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Tilleul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1934.9104892400692</v>
      </c>
      <c r="U11" s="178">
        <f>'Données projet'!D10</f>
        <v>2.0856000000000003</v>
      </c>
      <c r="V11" s="177">
        <f t="shared" ref="V11" si="0">U11*T11</f>
        <v>4035.4493163590892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plane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1566.2541574455784</v>
      </c>
      <c r="U12" s="178">
        <f>'Données projet'!D11</f>
        <v>2.0856000000000003</v>
      </c>
      <c r="V12" s="177">
        <f t="shared" ref="V12:V19" si="1">U12*T12</f>
        <v>3266.5796707684985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70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70.000000000000114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3500.0000000000055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8295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1200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6</v>
      </c>
      <c r="C23" s="193">
        <v>25</v>
      </c>
      <c r="D23" s="182">
        <f>B23*C23</f>
        <v>150</v>
      </c>
      <c r="E23" s="193">
        <f>75+(D23*12%)</f>
        <v>93</v>
      </c>
      <c r="F23" s="230"/>
      <c r="H23" s="190">
        <v>4</v>
      </c>
      <c r="I23" s="191">
        <v>1200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-64148.712881453379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28</v>
      </c>
      <c r="C24" s="193">
        <v>25</v>
      </c>
      <c r="D24" s="182">
        <f t="shared" ref="D24:D42" si="2">B24*C24</f>
        <v>700</v>
      </c>
      <c r="E24" s="193">
        <f t="shared" ref="E24:E42" si="3">75+(D24*12%)</f>
        <v>159</v>
      </c>
      <c r="F24" s="233"/>
      <c r="H24" s="190">
        <v>5</v>
      </c>
      <c r="I24" s="191">
        <v>600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1015.4178447443965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28</v>
      </c>
      <c r="C25" s="193">
        <v>40</v>
      </c>
      <c r="D25" s="182">
        <f t="shared" si="2"/>
        <v>1120</v>
      </c>
      <c r="E25" s="193">
        <f t="shared" si="3"/>
        <v>209.4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-65164.130726197778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28</v>
      </c>
      <c r="C26" s="193">
        <v>40</v>
      </c>
      <c r="D26" s="182">
        <f t="shared" si="2"/>
        <v>1120</v>
      </c>
      <c r="E26" s="193">
        <f t="shared" si="3"/>
        <v>209.4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28</v>
      </c>
      <c r="C27" s="193">
        <v>40</v>
      </c>
      <c r="D27" s="182">
        <f t="shared" si="2"/>
        <v>1120</v>
      </c>
      <c r="E27" s="193">
        <f t="shared" si="3"/>
        <v>209.4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28</v>
      </c>
      <c r="C28" s="193">
        <v>70</v>
      </c>
      <c r="D28" s="182">
        <f t="shared" si="2"/>
        <v>1960</v>
      </c>
      <c r="E28" s="193">
        <f t="shared" si="3"/>
        <v>310.2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28</v>
      </c>
      <c r="C29" s="193">
        <v>70</v>
      </c>
      <c r="D29" s="182">
        <f t="shared" si="2"/>
        <v>1960</v>
      </c>
      <c r="E29" s="193">
        <f t="shared" si="3"/>
        <v>310.2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28</v>
      </c>
      <c r="C30" s="193">
        <v>70</v>
      </c>
      <c r="D30" s="182">
        <f t="shared" si="2"/>
        <v>1960</v>
      </c>
      <c r="E30" s="193">
        <f t="shared" si="3"/>
        <v>310.2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28</v>
      </c>
      <c r="C31" s="193">
        <v>80</v>
      </c>
      <c r="D31" s="182">
        <f t="shared" si="2"/>
        <v>2240</v>
      </c>
      <c r="E31" s="193">
        <f t="shared" si="3"/>
        <v>343.8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65</v>
      </c>
      <c r="B32" s="181">
        <f>'Données projet'!D45</f>
        <v>28</v>
      </c>
      <c r="C32" s="193">
        <v>80</v>
      </c>
      <c r="D32" s="182">
        <f t="shared" si="2"/>
        <v>2240</v>
      </c>
      <c r="E32" s="193">
        <f t="shared" si="3"/>
        <v>343.8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70</v>
      </c>
      <c r="B33" s="181">
        <f>'Données projet'!D46</f>
        <v>28</v>
      </c>
      <c r="C33" s="193">
        <v>80</v>
      </c>
      <c r="D33" s="182">
        <f t="shared" si="2"/>
        <v>2240</v>
      </c>
      <c r="E33" s="193">
        <f t="shared" si="3"/>
        <v>343.8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75</v>
      </c>
      <c r="B34" s="181">
        <f>'Données projet'!D47</f>
        <v>28</v>
      </c>
      <c r="C34" s="193">
        <v>190</v>
      </c>
      <c r="D34" s="182">
        <f t="shared" si="2"/>
        <v>5320</v>
      </c>
      <c r="E34" s="193">
        <f t="shared" si="3"/>
        <v>713.4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80</v>
      </c>
      <c r="B35" s="181">
        <f>'Données projet'!D48</f>
        <v>28</v>
      </c>
      <c r="C35" s="193">
        <v>190</v>
      </c>
      <c r="D35" s="182">
        <f t="shared" si="2"/>
        <v>5320</v>
      </c>
      <c r="E35" s="193">
        <f t="shared" si="3"/>
        <v>713.4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85</v>
      </c>
      <c r="B36" s="181">
        <f>'Données projet'!D49</f>
        <v>28</v>
      </c>
      <c r="C36" s="193">
        <v>190</v>
      </c>
      <c r="D36" s="182">
        <f t="shared" si="2"/>
        <v>5320</v>
      </c>
      <c r="E36" s="193">
        <f t="shared" si="3"/>
        <v>713.4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90</v>
      </c>
      <c r="B37" s="181">
        <f>'Données projet'!D50</f>
        <v>28</v>
      </c>
      <c r="C37" s="193">
        <v>190</v>
      </c>
      <c r="D37" s="182">
        <f t="shared" si="2"/>
        <v>5320</v>
      </c>
      <c r="E37" s="193">
        <f t="shared" si="3"/>
        <v>713.4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95</v>
      </c>
      <c r="B38" s="181">
        <f>'Données projet'!D51</f>
        <v>28</v>
      </c>
      <c r="C38" s="193">
        <v>190</v>
      </c>
      <c r="D38" s="182">
        <f t="shared" si="2"/>
        <v>5320</v>
      </c>
      <c r="E38" s="193">
        <f t="shared" si="3"/>
        <v>713.4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100</v>
      </c>
      <c r="B39" s="181">
        <f>'Données projet'!D52</f>
        <v>27</v>
      </c>
      <c r="C39" s="193">
        <v>190</v>
      </c>
      <c r="D39" s="182">
        <f t="shared" si="2"/>
        <v>5130</v>
      </c>
      <c r="E39" s="193">
        <f t="shared" si="3"/>
        <v>690.6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105</v>
      </c>
      <c r="B40" s="181">
        <f>'Données projet'!D53</f>
        <v>26</v>
      </c>
      <c r="C40" s="193">
        <v>190</v>
      </c>
      <c r="D40" s="182">
        <f t="shared" si="2"/>
        <v>4940</v>
      </c>
      <c r="E40" s="193">
        <f t="shared" si="3"/>
        <v>667.8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110</v>
      </c>
      <c r="B41" s="181">
        <f>'Données projet'!D54</f>
        <v>25</v>
      </c>
      <c r="C41" s="193">
        <v>190</v>
      </c>
      <c r="D41" s="182">
        <f t="shared" si="2"/>
        <v>4750</v>
      </c>
      <c r="E41" s="193">
        <f t="shared" si="3"/>
        <v>645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115</v>
      </c>
      <c r="B42" s="181">
        <f>'Données projet'!D55</f>
        <v>24</v>
      </c>
      <c r="C42" s="193">
        <v>190</v>
      </c>
      <c r="D42" s="182">
        <f t="shared" si="2"/>
        <v>4560</v>
      </c>
      <c r="E42" s="193">
        <f t="shared" si="3"/>
        <v>622.19999999999993</v>
      </c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Tilleul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12</v>
      </c>
      <c r="C54" s="191">
        <v>12</v>
      </c>
      <c r="D54" s="179">
        <f>B54*C54</f>
        <v>144</v>
      </c>
      <c r="E54" s="193">
        <f>75+(D54*12%)</f>
        <v>92.28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22</v>
      </c>
      <c r="C55" s="191">
        <v>12</v>
      </c>
      <c r="D55" s="179">
        <f t="shared" ref="D55:D73" si="5">B55*C55</f>
        <v>264</v>
      </c>
      <c r="E55" s="193">
        <f t="shared" ref="E55:E66" si="6">75+(D55*12%)</f>
        <v>106.68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27</v>
      </c>
      <c r="C56" s="191">
        <v>20</v>
      </c>
      <c r="D56" s="179">
        <f t="shared" si="5"/>
        <v>540</v>
      </c>
      <c r="E56" s="193">
        <f t="shared" si="6"/>
        <v>139.80000000000001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25</v>
      </c>
      <c r="B57" s="181">
        <f>'Données projet'!D65</f>
        <v>30</v>
      </c>
      <c r="C57" s="191">
        <v>30</v>
      </c>
      <c r="D57" s="179">
        <f t="shared" si="5"/>
        <v>900</v>
      </c>
      <c r="E57" s="193">
        <f t="shared" si="6"/>
        <v>183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30</v>
      </c>
      <c r="B58" s="181">
        <f>'Données projet'!D66</f>
        <v>31</v>
      </c>
      <c r="C58" s="191">
        <v>30</v>
      </c>
      <c r="D58" s="179">
        <f t="shared" si="5"/>
        <v>930</v>
      </c>
      <c r="E58" s="193">
        <f t="shared" si="6"/>
        <v>186.6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35</v>
      </c>
      <c r="B59" s="181">
        <f>'Données projet'!D67</f>
        <v>31</v>
      </c>
      <c r="C59" s="191">
        <v>40</v>
      </c>
      <c r="D59" s="179">
        <f t="shared" si="5"/>
        <v>1240</v>
      </c>
      <c r="E59" s="193">
        <f t="shared" si="6"/>
        <v>223.79999999999998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31</v>
      </c>
      <c r="C60" s="191">
        <v>40</v>
      </c>
      <c r="D60" s="179">
        <f t="shared" si="5"/>
        <v>1240</v>
      </c>
      <c r="E60" s="193">
        <f t="shared" si="6"/>
        <v>223.79999999999998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45</v>
      </c>
      <c r="B61" s="181">
        <f>'Données projet'!D69</f>
        <v>30</v>
      </c>
      <c r="C61" s="191">
        <v>50</v>
      </c>
      <c r="D61" s="179">
        <f t="shared" si="5"/>
        <v>1500</v>
      </c>
      <c r="E61" s="193">
        <f t="shared" si="6"/>
        <v>255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50</v>
      </c>
      <c r="B62" s="181">
        <f>'Données projet'!D70</f>
        <v>27</v>
      </c>
      <c r="C62" s="191">
        <v>60</v>
      </c>
      <c r="D62" s="179">
        <f t="shared" si="5"/>
        <v>1620</v>
      </c>
      <c r="E62" s="193">
        <f t="shared" si="6"/>
        <v>269.39999999999998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55</v>
      </c>
      <c r="B63" s="181">
        <f>'Données projet'!D71</f>
        <v>28</v>
      </c>
      <c r="C63" s="191">
        <v>80</v>
      </c>
      <c r="D63" s="179">
        <f t="shared" si="5"/>
        <v>2240</v>
      </c>
      <c r="E63" s="193">
        <f t="shared" si="6"/>
        <v>343.8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60</v>
      </c>
      <c r="B64" s="181">
        <f>'Données projet'!D72</f>
        <v>27</v>
      </c>
      <c r="C64" s="191">
        <v>90</v>
      </c>
      <c r="D64" s="179">
        <f t="shared" si="5"/>
        <v>2430</v>
      </c>
      <c r="E64" s="193">
        <f t="shared" si="6"/>
        <v>366.59999999999997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65</v>
      </c>
      <c r="B65" s="181">
        <f>'Données projet'!D73</f>
        <v>25</v>
      </c>
      <c r="C65" s="191">
        <v>120</v>
      </c>
      <c r="D65" s="179">
        <f t="shared" si="5"/>
        <v>3000</v>
      </c>
      <c r="E65" s="193">
        <f t="shared" si="6"/>
        <v>435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7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70</v>
      </c>
      <c r="B66" s="181">
        <f>'Données projet'!D74</f>
        <v>24</v>
      </c>
      <c r="C66" s="191">
        <v>130</v>
      </c>
      <c r="D66" s="179">
        <f t="shared" si="5"/>
        <v>3120</v>
      </c>
      <c r="E66" s="193">
        <f t="shared" si="6"/>
        <v>449.4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7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7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7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7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7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7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7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7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7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7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plane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7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7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7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7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7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7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7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7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7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32</v>
      </c>
      <c r="C85" s="191">
        <v>12</v>
      </c>
      <c r="D85" s="179">
        <f>B85*C85</f>
        <v>384</v>
      </c>
      <c r="E85" s="193">
        <f t="shared" ref="E85:E98" si="8">75+(D85*12%)</f>
        <v>121.08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7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35</v>
      </c>
      <c r="C86" s="191">
        <v>12</v>
      </c>
      <c r="D86" s="179">
        <f t="shared" ref="D86:D104" si="9">B86*C86</f>
        <v>420</v>
      </c>
      <c r="E86" s="193">
        <f t="shared" si="8"/>
        <v>125.4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7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35</v>
      </c>
      <c r="C87" s="191">
        <v>20</v>
      </c>
      <c r="D87" s="179">
        <f t="shared" si="9"/>
        <v>700</v>
      </c>
      <c r="E87" s="193">
        <f t="shared" si="8"/>
        <v>159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7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35</v>
      </c>
      <c r="C88" s="191">
        <v>30</v>
      </c>
      <c r="D88" s="179">
        <f t="shared" si="9"/>
        <v>1050</v>
      </c>
      <c r="E88" s="193">
        <f t="shared" si="8"/>
        <v>201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7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35</v>
      </c>
      <c r="B89" s="181">
        <f>'Données projet'!D92</f>
        <v>35</v>
      </c>
      <c r="C89" s="191">
        <v>30</v>
      </c>
      <c r="D89" s="179">
        <f t="shared" si="9"/>
        <v>1050</v>
      </c>
      <c r="E89" s="193">
        <f t="shared" si="8"/>
        <v>201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7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35</v>
      </c>
      <c r="C90" s="191">
        <v>40</v>
      </c>
      <c r="D90" s="179">
        <f t="shared" si="9"/>
        <v>1400</v>
      </c>
      <c r="E90" s="193">
        <f t="shared" si="8"/>
        <v>243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7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45</v>
      </c>
      <c r="B91" s="181">
        <f>'Données projet'!D94</f>
        <v>24</v>
      </c>
      <c r="C91" s="191">
        <v>40</v>
      </c>
      <c r="D91" s="179">
        <f t="shared" si="9"/>
        <v>960</v>
      </c>
      <c r="E91" s="193">
        <f t="shared" si="8"/>
        <v>190.2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7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19</v>
      </c>
      <c r="C92" s="191">
        <v>50</v>
      </c>
      <c r="D92" s="179">
        <f t="shared" si="9"/>
        <v>950</v>
      </c>
      <c r="E92" s="193">
        <f t="shared" si="8"/>
        <v>189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7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55</v>
      </c>
      <c r="B93" s="181">
        <f>'Données projet'!D96</f>
        <v>16</v>
      </c>
      <c r="C93" s="191">
        <v>60</v>
      </c>
      <c r="D93" s="179">
        <f t="shared" si="9"/>
        <v>960</v>
      </c>
      <c r="E93" s="193">
        <f t="shared" si="8"/>
        <v>190.2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7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60</v>
      </c>
      <c r="B94" s="181">
        <f>'Données projet'!D97</f>
        <v>14</v>
      </c>
      <c r="C94" s="191">
        <v>80</v>
      </c>
      <c r="D94" s="179">
        <f t="shared" si="9"/>
        <v>1120</v>
      </c>
      <c r="E94" s="193">
        <f t="shared" si="8"/>
        <v>209.4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7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65</v>
      </c>
      <c r="B95" s="181">
        <f>'Données projet'!D98</f>
        <v>13</v>
      </c>
      <c r="C95" s="191">
        <v>90</v>
      </c>
      <c r="D95" s="179">
        <f t="shared" si="9"/>
        <v>1170</v>
      </c>
      <c r="E95" s="193">
        <f t="shared" si="8"/>
        <v>215.4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7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70</v>
      </c>
      <c r="B96" s="181">
        <f>'Données projet'!D99</f>
        <v>13</v>
      </c>
      <c r="C96" s="191">
        <v>120</v>
      </c>
      <c r="D96" s="179">
        <f t="shared" si="9"/>
        <v>1560</v>
      </c>
      <c r="E96" s="193">
        <f t="shared" si="8"/>
        <v>262.2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7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75</v>
      </c>
      <c r="B97" s="181">
        <f>'Données projet'!D100</f>
        <v>12</v>
      </c>
      <c r="C97" s="191">
        <v>130</v>
      </c>
      <c r="D97" s="179">
        <f t="shared" si="9"/>
        <v>1560</v>
      </c>
      <c r="E97" s="193">
        <f t="shared" si="8"/>
        <v>262.2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10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80</v>
      </c>
      <c r="B98" s="181">
        <f>'Données projet'!D101</f>
        <v>11</v>
      </c>
      <c r="C98" s="191">
        <v>130</v>
      </c>
      <c r="D98" s="179">
        <f t="shared" si="9"/>
        <v>1430</v>
      </c>
      <c r="E98" s="193">
        <f t="shared" si="8"/>
        <v>246.6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10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9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10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9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10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9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10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9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10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9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10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9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10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0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0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0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0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0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0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0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0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0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0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0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0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11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0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11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0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11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0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11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0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11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0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11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0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11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0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11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0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11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0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11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0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11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0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11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0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11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2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1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2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1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2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1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2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1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1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1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3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3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3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3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3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3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3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3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3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3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3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3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3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3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3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3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3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3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3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4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4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4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4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4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4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4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4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4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4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4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4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4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4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4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4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4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4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4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5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5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5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5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5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5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5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5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5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5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5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5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5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5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5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5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5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5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5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6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6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6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6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6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6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6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6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6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6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6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6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6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6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6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6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6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6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6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7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7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7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7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7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7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7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7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7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7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7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7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7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7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7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7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7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7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7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8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8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8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8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8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8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8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8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8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8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8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8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8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8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8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8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8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8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8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2024-10-20T15:10:48Z</dcterms:modified>
</cp:coreProperties>
</file>