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Festival de Cannes\80 - Domvast, Canchy\"/>
    </mc:Choice>
  </mc:AlternateContent>
  <bookViews>
    <workbookView xWindow="0" yWindow="0" windowWidth="20490" windowHeight="71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" l="1"/>
  <c r="B55" i="1"/>
  <c r="D55" i="1" s="1"/>
  <c r="D54" i="1"/>
  <c r="B54" i="1"/>
  <c r="D53" i="1"/>
  <c r="D52" i="1"/>
  <c r="B52" i="1"/>
  <c r="B51" i="1"/>
  <c r="B50" i="1"/>
  <c r="D51" i="1"/>
  <c r="D50" i="1"/>
  <c r="D49" i="1"/>
  <c r="B49" i="1"/>
  <c r="D48" i="1"/>
  <c r="B48" i="1"/>
  <c r="B47" i="1"/>
  <c r="B46" i="1"/>
  <c r="B45" i="1"/>
  <c r="B44" i="1"/>
  <c r="B43" i="1"/>
  <c r="B42" i="1"/>
  <c r="B41" i="1"/>
  <c r="B40" i="1"/>
  <c r="B39" i="1"/>
  <c r="D46" i="1"/>
  <c r="D44" i="1"/>
  <c r="D42" i="1"/>
  <c r="D40" i="1"/>
  <c r="D38" i="1"/>
  <c r="B38" i="1"/>
  <c r="B37" i="1"/>
  <c r="B75" i="1" l="1"/>
  <c r="D75" i="1" s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D63" i="1"/>
  <c r="B63" i="1"/>
  <c r="B62" i="1"/>
  <c r="B199" i="1"/>
  <c r="D198" i="1"/>
  <c r="B198" i="1"/>
  <c r="B197" i="1"/>
  <c r="D196" i="1"/>
  <c r="B196" i="1"/>
  <c r="B195" i="1"/>
  <c r="D194" i="1"/>
  <c r="B194" i="1"/>
  <c r="B193" i="1"/>
  <c r="B121" i="1"/>
  <c r="D120" i="1"/>
  <c r="B120" i="1"/>
  <c r="B119" i="1"/>
  <c r="D118" i="1"/>
  <c r="B118" i="1"/>
  <c r="B117" i="1"/>
  <c r="D116" i="1"/>
  <c r="B116" i="1"/>
  <c r="B115" i="1"/>
  <c r="D257" i="1"/>
  <c r="B257" i="1"/>
  <c r="B250" i="1"/>
  <c r="D249" i="1"/>
  <c r="B249" i="1"/>
  <c r="B248" i="1"/>
  <c r="D247" i="1"/>
  <c r="B247" i="1"/>
  <c r="B246" i="1"/>
  <c r="D245" i="1"/>
  <c r="B245" i="1"/>
  <c r="B244" i="1"/>
  <c r="D179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D142" i="1"/>
  <c r="B142" i="1"/>
  <c r="B141" i="1"/>
  <c r="B101" i="1" l="1"/>
  <c r="D101" i="1" s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90" i="1"/>
  <c r="D89" i="1"/>
  <c r="B89" i="1"/>
  <c r="B88" i="1"/>
  <c r="B231" i="1" l="1"/>
  <c r="D231" i="1" s="1"/>
  <c r="B230" i="1"/>
  <c r="D229" i="1"/>
  <c r="B229" i="1"/>
  <c r="B228" i="1"/>
  <c r="D227" i="1"/>
  <c r="B227" i="1"/>
  <c r="B226" i="1"/>
  <c r="D225" i="1"/>
  <c r="B225" i="1"/>
  <c r="B224" i="1"/>
  <c r="D223" i="1"/>
  <c r="B223" i="1"/>
  <c r="B222" i="1"/>
  <c r="D221" i="1"/>
  <c r="B221" i="1"/>
  <c r="B220" i="1"/>
  <c r="D219" i="1"/>
  <c r="B219" i="1"/>
  <c r="B21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A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X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AC154" i="2"/>
  <c r="EY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DH156" i="2" l="1"/>
  <c r="ED155" i="2"/>
  <c r="FS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B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Y159" i="2"/>
  <c r="ED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EB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V163" i="2"/>
  <c r="EA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S164" i="2"/>
  <c r="FR164" i="2"/>
  <c r="EV164" i="2"/>
  <c r="EX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X167" i="2"/>
  <c r="EB167" i="2"/>
  <c r="EA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B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FS175" i="2"/>
  <c r="EW175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S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D178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FS186" i="2"/>
  <c r="EW186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W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EX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DH195" i="2"/>
  <c r="EY194" i="2"/>
  <c r="EX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W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146" i="2" a="1"/>
  <c r="FY146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165" i="2" l="1" a="1"/>
  <c r="FY165" i="2" s="1"/>
  <c r="FY32" i="2" a="1"/>
  <c r="FY32" i="2" s="1"/>
  <c r="FY50" i="2" a="1"/>
  <c r="FY50" i="2" s="1"/>
  <c r="FY140" i="2" a="1"/>
  <c r="FY140" i="2" s="1"/>
  <c r="FY29" i="2" a="1"/>
  <c r="FY29" i="2" s="1"/>
  <c r="FY35" i="2" a="1"/>
  <c r="FY35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55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05" i="2" l="1"/>
  <c r="FJ103" i="2"/>
  <c r="FJ90" i="2"/>
  <c r="FJ3" i="2"/>
  <c r="C13" i="4" s="1"/>
  <c r="E13" i="4" s="1"/>
  <c r="F13" i="4" s="1"/>
  <c r="G13" i="4" s="1"/>
  <c r="L13" i="4" s="1"/>
  <c r="FJ30" i="2"/>
  <c r="FJ140" i="2"/>
  <c r="FJ128" i="2"/>
  <c r="FJ5" i="2"/>
  <c r="FJ10" i="2"/>
  <c r="FJ29" i="2"/>
  <c r="FJ87" i="2"/>
  <c r="FJ125" i="2"/>
  <c r="FJ184" i="2"/>
  <c r="FJ9" i="2"/>
  <c r="FJ130" i="2"/>
  <c r="FJ178" i="2"/>
  <c r="FJ180" i="2"/>
  <c r="FJ170" i="2"/>
  <c r="FJ127" i="2"/>
  <c r="FJ138" i="2"/>
  <c r="FJ115" i="2"/>
  <c r="FJ175" i="2"/>
  <c r="FJ199" i="2"/>
  <c r="FJ32" i="2"/>
  <c r="FJ158" i="2"/>
  <c r="FJ137" i="2"/>
  <c r="FJ149" i="2"/>
  <c r="FJ53" i="2"/>
  <c r="FJ42" i="2"/>
  <c r="FJ162" i="2"/>
  <c r="FJ13" i="2"/>
  <c r="FJ72" i="2"/>
  <c r="FJ23" i="2"/>
  <c r="FJ84" i="2"/>
  <c r="FJ203" i="2"/>
  <c r="FJ177" i="2"/>
  <c r="FJ163" i="2"/>
  <c r="FJ135" i="2"/>
  <c r="FJ117" i="2"/>
  <c r="FJ143" i="2"/>
  <c r="FJ45" i="2"/>
  <c r="FJ197" i="2"/>
  <c r="FJ109" i="2"/>
  <c r="FJ6" i="2"/>
  <c r="FJ56" i="2"/>
  <c r="FJ102" i="2"/>
  <c r="FJ62" i="2"/>
  <c r="FJ89" i="2"/>
  <c r="FJ21" i="2"/>
  <c r="FJ111" i="2"/>
  <c r="FJ35" i="2"/>
  <c r="FJ73" i="2"/>
  <c r="FJ88" i="2"/>
  <c r="FJ66" i="2"/>
  <c r="FJ43" i="2"/>
  <c r="FJ124" i="2"/>
  <c r="FJ77" i="2"/>
  <c r="FJ159" i="2"/>
  <c r="FJ108" i="2"/>
  <c r="FJ79" i="2"/>
  <c r="FJ83" i="2"/>
  <c r="FJ59" i="2"/>
  <c r="FJ20" i="2"/>
  <c r="FJ80" i="2"/>
  <c r="FJ65" i="2"/>
  <c r="FJ113" i="2"/>
  <c r="FJ96" i="2"/>
  <c r="FJ174" i="2"/>
  <c r="FJ154" i="2"/>
  <c r="FJ57" i="2"/>
  <c r="FJ194" i="2"/>
  <c r="FJ112" i="2"/>
  <c r="FJ186" i="2"/>
  <c r="FJ69" i="2"/>
  <c r="FJ126" i="2"/>
  <c r="FJ37" i="2"/>
  <c r="FJ104" i="2"/>
  <c r="FJ74" i="2"/>
  <c r="FJ191" i="2"/>
  <c r="FJ131" i="2"/>
  <c r="FJ68" i="2"/>
  <c r="FJ160" i="2"/>
  <c r="FJ46" i="2"/>
  <c r="FJ189" i="2"/>
  <c r="FJ97" i="2"/>
  <c r="FJ133" i="2"/>
  <c r="FJ52" i="2"/>
  <c r="FJ60" i="2"/>
  <c r="FJ161" i="2"/>
  <c r="FJ78" i="2"/>
  <c r="FJ81" i="2"/>
  <c r="FJ132" i="2"/>
  <c r="FJ18" i="2"/>
  <c r="FJ166" i="2"/>
  <c r="FJ118" i="2"/>
  <c r="FJ169" i="2"/>
  <c r="FJ193" i="2"/>
  <c r="FJ145" i="2"/>
  <c r="FJ22" i="2"/>
  <c r="FJ55" i="2"/>
  <c r="FJ150" i="2"/>
  <c r="FJ41" i="2"/>
  <c r="FJ156" i="2"/>
  <c r="FJ48" i="2"/>
  <c r="FJ61" i="2"/>
  <c r="FJ187" i="2"/>
  <c r="FJ33" i="2"/>
  <c r="FJ34" i="2"/>
  <c r="FJ47" i="2"/>
  <c r="FJ85" i="2"/>
  <c r="FJ168" i="2"/>
  <c r="FJ116" i="2"/>
  <c r="FJ7" i="2"/>
  <c r="FJ4" i="2"/>
  <c r="FJ185" i="2"/>
  <c r="FJ40" i="2"/>
  <c r="FJ153" i="2"/>
  <c r="FJ19" i="2"/>
  <c r="FJ201" i="2"/>
  <c r="FJ172" i="2"/>
  <c r="FJ63" i="2"/>
  <c r="FJ139" i="2"/>
  <c r="FJ151" i="2"/>
  <c r="FJ183" i="2"/>
  <c r="FJ31" i="2"/>
  <c r="FJ198" i="2"/>
  <c r="FJ100" i="2"/>
  <c r="FJ11" i="2"/>
  <c r="FJ119" i="2"/>
  <c r="FJ99" i="2"/>
  <c r="FJ76" i="2"/>
  <c r="FJ164" i="2"/>
  <c r="FJ142" i="2"/>
  <c r="FJ167" i="2"/>
  <c r="FJ152" i="2"/>
  <c r="FJ106" i="2"/>
  <c r="FJ25" i="2"/>
  <c r="FJ173" i="2"/>
  <c r="FJ179" i="2"/>
  <c r="FJ101" i="2"/>
  <c r="FJ82" i="2"/>
  <c r="FJ67" i="2"/>
  <c r="FJ28" i="2"/>
  <c r="FJ200" i="2"/>
  <c r="FJ121" i="2"/>
  <c r="FJ86" i="2"/>
  <c r="FJ147" i="2"/>
  <c r="FJ181" i="2"/>
  <c r="FJ39" i="2"/>
  <c r="FJ91" i="2"/>
  <c r="FJ64" i="2"/>
  <c r="FJ157" i="2"/>
  <c r="FJ54" i="2"/>
  <c r="FJ114" i="2"/>
  <c r="FJ98" i="2"/>
  <c r="FJ136" i="2"/>
  <c r="FJ190" i="2"/>
  <c r="FJ188" i="2"/>
  <c r="FJ12" i="2"/>
  <c r="FJ16" i="2"/>
  <c r="FJ129" i="2"/>
  <c r="FJ51" i="2"/>
  <c r="FJ75" i="2"/>
  <c r="FJ176" i="2"/>
  <c r="FJ171" i="2"/>
  <c r="FJ17" i="2"/>
  <c r="FJ93" i="2"/>
  <c r="FJ14" i="2"/>
  <c r="FJ58" i="2"/>
  <c r="FJ26" i="2"/>
  <c r="FJ122" i="2"/>
  <c r="FJ120" i="2"/>
  <c r="FJ192" i="2"/>
  <c r="FJ144" i="2"/>
  <c r="FJ49" i="2"/>
  <c r="FJ94" i="2"/>
  <c r="FJ71" i="2"/>
  <c r="FJ38" i="2"/>
  <c r="FJ141" i="2"/>
  <c r="FJ95" i="2"/>
  <c r="FJ110" i="2"/>
  <c r="FJ196" i="2"/>
  <c r="FJ24" i="2"/>
  <c r="FJ92" i="2"/>
  <c r="FJ123" i="2"/>
  <c r="FJ8" i="2"/>
  <c r="FJ50" i="2"/>
  <c r="FJ195" i="2"/>
  <c r="FJ70" i="2"/>
  <c r="FJ148" i="2"/>
  <c r="FJ44" i="2"/>
  <c r="FJ165" i="2"/>
  <c r="FJ107" i="2"/>
  <c r="FJ146" i="2"/>
  <c r="FJ182" i="2"/>
  <c r="FJ134" i="2"/>
  <c r="FJ36" i="2"/>
  <c r="FJ27" i="2"/>
  <c r="FJ202" i="2"/>
  <c r="FJ1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71" i="2" l="1"/>
  <c r="EO154" i="2"/>
  <c r="EO76" i="2"/>
  <c r="EO121" i="2"/>
  <c r="EO89" i="2"/>
  <c r="EO137" i="2"/>
  <c r="EO64" i="2"/>
  <c r="EO186" i="2"/>
  <c r="EO159" i="2"/>
  <c r="EO85" i="2"/>
  <c r="EO107" i="2"/>
  <c r="EO161" i="2"/>
  <c r="EO37" i="2"/>
  <c r="EO22" i="2"/>
  <c r="EO55" i="2"/>
  <c r="EO203" i="2"/>
  <c r="EO8" i="2"/>
  <c r="EO98" i="2"/>
  <c r="EO26" i="2"/>
  <c r="EO39" i="2"/>
  <c r="EO67" i="2"/>
  <c r="EO190" i="2"/>
  <c r="EO34" i="2"/>
  <c r="EO158" i="2"/>
  <c r="EO113" i="2"/>
  <c r="EO7" i="2"/>
  <c r="EO146" i="2"/>
  <c r="EO3" i="2"/>
  <c r="C12" i="4" s="1"/>
  <c r="E12" i="4" s="1"/>
  <c r="F12" i="4" s="1"/>
  <c r="G12" i="4" s="1"/>
  <c r="L12" i="4" s="1"/>
  <c r="EO92" i="2"/>
  <c r="EO16" i="2"/>
  <c r="EO184" i="2"/>
  <c r="EO63" i="2"/>
  <c r="EO13" i="2"/>
  <c r="EO192" i="2"/>
  <c r="EO110" i="2"/>
  <c r="EO141" i="2"/>
  <c r="EO50" i="2"/>
  <c r="EO124" i="2"/>
  <c r="EO31" i="2"/>
  <c r="EO62" i="2"/>
  <c r="EO134" i="2"/>
  <c r="EO153" i="2"/>
  <c r="EO61" i="2"/>
  <c r="EO23" i="2"/>
  <c r="EO49" i="2"/>
  <c r="EO54" i="2"/>
  <c r="EO91" i="2"/>
  <c r="EO187" i="2"/>
  <c r="EO42" i="2"/>
  <c r="EO65" i="2"/>
  <c r="EO43" i="2"/>
  <c r="EO108" i="2"/>
  <c r="EO150" i="2"/>
  <c r="EO135" i="2"/>
  <c r="EO122" i="2"/>
  <c r="EO155" i="2"/>
  <c r="EO198" i="2"/>
  <c r="EO194" i="2"/>
  <c r="EO53" i="2"/>
  <c r="EO99" i="2"/>
  <c r="EO200" i="2"/>
  <c r="EO101" i="2"/>
  <c r="EO162" i="2"/>
  <c r="EO176" i="2"/>
  <c r="EO109" i="2"/>
  <c r="EO173" i="2"/>
  <c r="EO58" i="2"/>
  <c r="EO17" i="2"/>
  <c r="EO29" i="2"/>
  <c r="EO105" i="2"/>
  <c r="EO41" i="2"/>
  <c r="EO114" i="2"/>
  <c r="EO27" i="2"/>
  <c r="EO20" i="2"/>
  <c r="EO28" i="2"/>
  <c r="EO93" i="2"/>
  <c r="EO74" i="2"/>
  <c r="EO199" i="2"/>
  <c r="EO175" i="2"/>
  <c r="EO160" i="2"/>
  <c r="EO179" i="2"/>
  <c r="EO123" i="2"/>
  <c r="EO138" i="2"/>
  <c r="EO56" i="2"/>
  <c r="EO60" i="2"/>
  <c r="EO24" i="2"/>
  <c r="EO21" i="2"/>
  <c r="EO191" i="2"/>
  <c r="EO14" i="2"/>
  <c r="EO88" i="2"/>
  <c r="EO147" i="2"/>
  <c r="EO25" i="2"/>
  <c r="EO4" i="2"/>
  <c r="EO181" i="2"/>
  <c r="EO166" i="2"/>
  <c r="EO86" i="2"/>
  <c r="EO36" i="2"/>
  <c r="EO52" i="2"/>
  <c r="EO178" i="2"/>
  <c r="EO152" i="2"/>
  <c r="EO120" i="2"/>
  <c r="EO143" i="2"/>
  <c r="EO142" i="2"/>
  <c r="EO170" i="2"/>
  <c r="EO117" i="2"/>
  <c r="EO57" i="2"/>
  <c r="EO103" i="2"/>
  <c r="EO104" i="2"/>
  <c r="EO11" i="2"/>
  <c r="EO47" i="2"/>
  <c r="EO6" i="2"/>
  <c r="EO66" i="2"/>
  <c r="EO180" i="2"/>
  <c r="EO15" i="2"/>
  <c r="EO167" i="2"/>
  <c r="EO127" i="2"/>
  <c r="EO168" i="2"/>
  <c r="EO81" i="2"/>
  <c r="EO83" i="2"/>
  <c r="EO84" i="2"/>
  <c r="EO112" i="2"/>
  <c r="EO19" i="2"/>
  <c r="EO156" i="2"/>
  <c r="EO80" i="2"/>
  <c r="EO44" i="2"/>
  <c r="EO9" i="2"/>
  <c r="EO174" i="2"/>
  <c r="EO157" i="2"/>
  <c r="EO32" i="2"/>
  <c r="EO196" i="2"/>
  <c r="EO185" i="2"/>
  <c r="EO35" i="2"/>
  <c r="EO169" i="2"/>
  <c r="EO87" i="2"/>
  <c r="EO132" i="2"/>
  <c r="EO106" i="2"/>
  <c r="EO197" i="2"/>
  <c r="EO78" i="2"/>
  <c r="EO145" i="2"/>
  <c r="EO102" i="2"/>
  <c r="EO73" i="2"/>
  <c r="EO116" i="2"/>
  <c r="EO12" i="2"/>
  <c r="EO125" i="2"/>
  <c r="EO202" i="2"/>
  <c r="EO136" i="2"/>
  <c r="EO163" i="2"/>
  <c r="EO171" i="2"/>
  <c r="EO115" i="2"/>
  <c r="EO188" i="2"/>
  <c r="EO177" i="2"/>
  <c r="EO126" i="2"/>
  <c r="EO193" i="2"/>
  <c r="EO46" i="2"/>
  <c r="EO140" i="2"/>
  <c r="EO75" i="2"/>
  <c r="EO45" i="2"/>
  <c r="EO95" i="2"/>
  <c r="EO18" i="2"/>
  <c r="EO30" i="2"/>
  <c r="EO69" i="2"/>
  <c r="EO130" i="2"/>
  <c r="EO149" i="2"/>
  <c r="EO183" i="2"/>
  <c r="EO111" i="2"/>
  <c r="EO100" i="2"/>
  <c r="EO195" i="2"/>
  <c r="EO38" i="2"/>
  <c r="EO144" i="2"/>
  <c r="EO139" i="2"/>
  <c r="EO59" i="2"/>
  <c r="EO94" i="2"/>
  <c r="EO151" i="2"/>
  <c r="EO96" i="2"/>
  <c r="EO51" i="2"/>
  <c r="EO165" i="2"/>
  <c r="EO72" i="2"/>
  <c r="EO182" i="2"/>
  <c r="EO10" i="2"/>
  <c r="EO70" i="2"/>
  <c r="EO33" i="2"/>
  <c r="EO77" i="2"/>
  <c r="EO128" i="2"/>
  <c r="EO131" i="2"/>
  <c r="EO40" i="2"/>
  <c r="EO79" i="2"/>
  <c r="EO48" i="2"/>
  <c r="EO148" i="2"/>
  <c r="EO189" i="2"/>
  <c r="EO118" i="2"/>
  <c r="EO164" i="2"/>
  <c r="EO129" i="2"/>
  <c r="EO90" i="2"/>
  <c r="EO172" i="2"/>
  <c r="EO5" i="2"/>
  <c r="EO119" i="2"/>
  <c r="EO133" i="2"/>
  <c r="EO97" i="2"/>
  <c r="EO201" i="2"/>
  <c r="EO82" i="2"/>
  <c r="EO68" i="2"/>
  <c r="CD52" i="2"/>
  <c r="CD47" i="2"/>
  <c r="CD18" i="2"/>
  <c r="CD76" i="2"/>
  <c r="CD111" i="2"/>
  <c r="CD147" i="2"/>
  <c r="CD75" i="2"/>
  <c r="CD79" i="2"/>
  <c r="CD110" i="2"/>
  <c r="CD163" i="2"/>
  <c r="CD201" i="2"/>
  <c r="CD150" i="2"/>
  <c r="CD183" i="2"/>
  <c r="CD174" i="2"/>
  <c r="CD83" i="2"/>
  <c r="CD187" i="2"/>
  <c r="CD40" i="2"/>
  <c r="CD15" i="2"/>
  <c r="CD12" i="2"/>
  <c r="CD56" i="2"/>
  <c r="CD120" i="2"/>
  <c r="CD155" i="2"/>
  <c r="CD54" i="2"/>
  <c r="CD27" i="2"/>
  <c r="CD78" i="2"/>
  <c r="CD129" i="2"/>
  <c r="CD145" i="2"/>
  <c r="CD112" i="2"/>
  <c r="CD167" i="2"/>
  <c r="CD95" i="2"/>
  <c r="CD3" i="2"/>
  <c r="C9" i="4" s="1"/>
  <c r="E9" i="4" s="1"/>
  <c r="F9" i="4" s="1"/>
  <c r="G9" i="4" s="1"/>
  <c r="L9" i="4" s="1"/>
  <c r="CD5" i="2"/>
  <c r="CD153" i="2"/>
  <c r="CD71" i="2"/>
  <c r="CD43" i="2"/>
  <c r="CD140" i="2"/>
  <c r="CD144" i="2"/>
  <c r="CD154" i="2"/>
  <c r="CD33" i="2"/>
  <c r="CD143" i="2"/>
  <c r="CD193" i="2"/>
  <c r="CD195" i="2"/>
  <c r="CD202" i="2"/>
  <c r="CD156" i="2"/>
  <c r="CD127" i="2"/>
  <c r="CD105" i="2"/>
  <c r="CD170" i="2"/>
  <c r="CD101" i="2"/>
  <c r="CD91" i="2"/>
  <c r="CD10" i="2"/>
  <c r="CD122" i="2"/>
  <c r="CD164" i="2"/>
  <c r="CD82" i="2"/>
  <c r="CD11" i="2"/>
  <c r="CD148" i="2"/>
  <c r="CD117" i="2"/>
  <c r="CD173" i="2"/>
  <c r="CD66" i="2"/>
  <c r="CD125" i="2"/>
  <c r="CD85" i="2"/>
  <c r="CD146" i="2"/>
  <c r="CD58" i="2"/>
  <c r="CD68" i="2"/>
  <c r="CD186" i="2"/>
  <c r="CD203" i="2"/>
  <c r="CD100" i="2"/>
  <c r="CD55" i="2"/>
  <c r="CD162" i="2"/>
  <c r="CD176" i="2"/>
  <c r="CD30" i="2"/>
  <c r="CD99" i="2"/>
  <c r="CD29" i="2"/>
  <c r="CD184" i="2"/>
  <c r="CD38" i="2"/>
  <c r="CD96" i="2"/>
  <c r="CD64" i="2"/>
  <c r="CD149" i="2"/>
  <c r="CD23" i="2"/>
  <c r="CD45" i="2"/>
  <c r="CD198" i="2"/>
  <c r="CD28" i="2"/>
  <c r="CD104" i="2"/>
  <c r="CD114" i="2"/>
  <c r="CD87" i="2"/>
  <c r="CD69" i="2"/>
  <c r="CD141" i="2"/>
  <c r="CD135" i="2"/>
  <c r="CD179" i="2"/>
  <c r="CD36" i="2"/>
  <c r="CD70" i="2"/>
  <c r="CD31" i="2"/>
  <c r="CD72" i="2"/>
  <c r="CD172" i="2"/>
  <c r="CD113" i="2"/>
  <c r="CD107" i="2"/>
  <c r="CD8" i="2"/>
  <c r="CD131" i="2"/>
  <c r="CD98" i="2"/>
  <c r="CD20" i="2"/>
  <c r="CD13" i="2"/>
  <c r="CD182" i="2"/>
  <c r="CD57" i="2"/>
  <c r="CD48" i="2"/>
  <c r="CD35" i="2"/>
  <c r="CD158" i="2"/>
  <c r="CD19" i="2"/>
  <c r="CD175" i="2"/>
  <c r="CD81" i="2"/>
  <c r="CD102" i="2"/>
  <c r="CD142" i="2"/>
  <c r="CD62" i="2"/>
  <c r="CD88" i="2"/>
  <c r="CD90" i="2"/>
  <c r="CD189" i="2"/>
  <c r="CD42" i="2"/>
  <c r="CD134" i="2"/>
  <c r="CD60" i="2"/>
  <c r="CD126" i="2"/>
  <c r="CD39" i="2"/>
  <c r="CD130" i="2"/>
  <c r="CD74" i="2"/>
  <c r="CD77" i="2"/>
  <c r="CD139" i="2"/>
  <c r="CD200" i="2"/>
  <c r="CD165" i="2"/>
  <c r="CD121" i="2"/>
  <c r="CD194" i="2"/>
  <c r="CD159" i="2"/>
  <c r="CD190" i="2"/>
  <c r="CD53" i="2"/>
  <c r="CD21" i="2"/>
  <c r="CD128" i="2"/>
  <c r="CD61" i="2"/>
  <c r="CD44" i="2"/>
  <c r="CD177" i="2"/>
  <c r="CD93" i="2"/>
  <c r="CD157" i="2"/>
  <c r="CD51" i="2"/>
  <c r="CD192" i="2"/>
  <c r="CD160" i="2"/>
  <c r="CD80" i="2"/>
  <c r="CD116" i="2"/>
  <c r="CD166" i="2"/>
  <c r="CD50" i="2"/>
  <c r="CD22" i="2"/>
  <c r="CD92" i="2"/>
  <c r="CD63" i="2"/>
  <c r="CD197" i="2"/>
  <c r="CD34" i="2"/>
  <c r="CD188" i="2"/>
  <c r="CD26" i="2"/>
  <c r="CD89" i="2"/>
  <c r="CD185" i="2"/>
  <c r="CD7" i="2"/>
  <c r="CD86" i="2"/>
  <c r="CD137" i="2"/>
  <c r="CD123" i="2"/>
  <c r="CD41" i="2"/>
  <c r="CD16" i="2"/>
  <c r="CD171" i="2"/>
  <c r="CD151" i="2"/>
  <c r="CD168" i="2"/>
  <c r="CD9" i="2"/>
  <c r="CD132" i="2"/>
  <c r="CD108" i="2"/>
  <c r="CD4" i="2"/>
  <c r="CD32" i="2"/>
  <c r="CD37" i="2"/>
  <c r="CD196" i="2"/>
  <c r="CD25" i="2"/>
  <c r="CD84" i="2"/>
  <c r="CD118" i="2"/>
  <c r="CD49" i="2"/>
  <c r="CD14" i="2"/>
  <c r="CD59" i="2"/>
  <c r="CD181" i="2"/>
  <c r="CD46" i="2"/>
  <c r="CD24" i="2"/>
  <c r="CD136" i="2"/>
  <c r="CD152" i="2"/>
  <c r="CD124" i="2"/>
  <c r="CD6" i="2"/>
  <c r="CD115" i="2"/>
  <c r="CD67" i="2"/>
  <c r="CD119" i="2"/>
  <c r="CD169" i="2"/>
  <c r="CD191" i="2"/>
  <c r="CD138" i="2"/>
  <c r="CD199" i="2"/>
  <c r="CD180" i="2"/>
  <c r="CD97" i="2"/>
  <c r="CD65" i="2"/>
  <c r="CD178" i="2"/>
  <c r="CD161" i="2"/>
  <c r="CD94" i="2"/>
  <c r="CD133" i="2"/>
  <c r="CD73" i="2"/>
  <c r="CD103" i="2"/>
  <c r="CD17" i="2"/>
  <c r="CD109" i="2"/>
  <c r="CD106" i="2"/>
  <c r="GE11" i="2"/>
  <c r="GE122" i="2"/>
  <c r="GE48" i="2"/>
  <c r="GE90" i="2"/>
  <c r="GE145" i="2"/>
  <c r="GE41" i="2"/>
  <c r="GE16" i="2"/>
  <c r="GE162" i="2"/>
  <c r="GE168" i="2"/>
  <c r="GE18" i="2"/>
  <c r="GE189" i="2"/>
  <c r="GE32" i="2"/>
  <c r="GE82" i="2"/>
  <c r="GE167" i="2"/>
  <c r="GE12" i="2"/>
  <c r="GE158" i="2"/>
  <c r="GE111" i="2"/>
  <c r="GE166" i="2"/>
  <c r="GE69" i="2"/>
  <c r="GE78" i="2"/>
  <c r="GE105" i="2"/>
  <c r="GE188" i="2"/>
  <c r="GE172" i="2"/>
  <c r="GE200" i="2"/>
  <c r="GE163" i="2"/>
  <c r="GE81" i="2"/>
  <c r="GE176" i="2"/>
  <c r="GE6" i="2"/>
  <c r="GE171" i="2"/>
  <c r="GE106" i="2"/>
  <c r="GE4" i="2"/>
  <c r="GE190" i="2"/>
  <c r="GE75" i="2"/>
  <c r="GE170" i="2"/>
  <c r="GE13" i="2"/>
  <c r="GE132" i="2"/>
  <c r="GE89" i="2"/>
  <c r="GE165" i="2"/>
  <c r="GE104" i="2"/>
  <c r="GE98" i="2"/>
  <c r="GE24" i="2"/>
  <c r="GE94" i="2"/>
  <c r="GE169" i="2"/>
  <c r="GE40" i="2"/>
  <c r="GE126" i="2"/>
  <c r="GE36" i="2"/>
  <c r="GE44" i="2"/>
  <c r="GE83" i="2"/>
  <c r="GE14" i="2"/>
  <c r="GE187" i="2"/>
  <c r="GE154" i="2"/>
  <c r="GE161" i="2"/>
  <c r="GE173" i="2"/>
  <c r="GE159" i="2"/>
  <c r="GE156" i="2"/>
  <c r="GE201" i="2"/>
  <c r="GE20" i="2"/>
  <c r="GE177" i="2"/>
  <c r="GE129" i="2"/>
  <c r="GE77" i="2"/>
  <c r="GE113" i="2"/>
  <c r="GE102" i="2"/>
  <c r="GE88" i="2"/>
  <c r="GE93" i="2"/>
  <c r="GE3" i="2"/>
  <c r="C14" i="4" s="1"/>
  <c r="E14" i="4" s="1"/>
  <c r="F14" i="4" s="1"/>
  <c r="G14" i="4" s="1"/>
  <c r="L14" i="4" s="1"/>
  <c r="GE149" i="2"/>
  <c r="GE5" i="2"/>
  <c r="GE91" i="2"/>
  <c r="GE35" i="2"/>
  <c r="GE121" i="2"/>
  <c r="GE182" i="2"/>
  <c r="GE9" i="2"/>
  <c r="GE147" i="2"/>
  <c r="GE194" i="2"/>
  <c r="GE140" i="2"/>
  <c r="GE95" i="2"/>
  <c r="GE63" i="2"/>
  <c r="GE59" i="2"/>
  <c r="GE133" i="2"/>
  <c r="GE198" i="2"/>
  <c r="GE80" i="2"/>
  <c r="GE52" i="2"/>
  <c r="GE108" i="2"/>
  <c r="GE65" i="2"/>
  <c r="GE203" i="2"/>
  <c r="GE142" i="2"/>
  <c r="GE58" i="2"/>
  <c r="GE19" i="2"/>
  <c r="GE134" i="2"/>
  <c r="GE185" i="2"/>
  <c r="GE151" i="2"/>
  <c r="GE136" i="2"/>
  <c r="GE135" i="2"/>
  <c r="GE87" i="2"/>
  <c r="GE100" i="2"/>
  <c r="GE72" i="2"/>
  <c r="GE112" i="2"/>
  <c r="GE79" i="2"/>
  <c r="GE118" i="2"/>
  <c r="GE139" i="2"/>
  <c r="GE128" i="2"/>
  <c r="GE76" i="2"/>
  <c r="GE174" i="2"/>
  <c r="GE131" i="2"/>
  <c r="GE43" i="2"/>
  <c r="GE191" i="2"/>
  <c r="GE164" i="2"/>
  <c r="GE46" i="2"/>
  <c r="GE17" i="2"/>
  <c r="GE99" i="2"/>
  <c r="GE175" i="2"/>
  <c r="GE103" i="2"/>
  <c r="GE150" i="2"/>
  <c r="GE123" i="2"/>
  <c r="GE141" i="2"/>
  <c r="GE61" i="2"/>
  <c r="GE101" i="2"/>
  <c r="GE56" i="2"/>
  <c r="GE125" i="2"/>
  <c r="GE124" i="2"/>
  <c r="GE86" i="2"/>
  <c r="GE54" i="2"/>
  <c r="GE27" i="2"/>
  <c r="GE107" i="2"/>
  <c r="GE23" i="2"/>
  <c r="GE179" i="2"/>
  <c r="GE10" i="2"/>
  <c r="GE116" i="2"/>
  <c r="GE49" i="2"/>
  <c r="GE70" i="2"/>
  <c r="GE92" i="2"/>
  <c r="GE127" i="2"/>
  <c r="GE115" i="2"/>
  <c r="GE144" i="2"/>
  <c r="GE137" i="2"/>
  <c r="GE8" i="2"/>
  <c r="GE25" i="2"/>
  <c r="GE97" i="2"/>
  <c r="GE64" i="2"/>
  <c r="GE155" i="2"/>
  <c r="GE196" i="2"/>
  <c r="GE38" i="2"/>
  <c r="GE85" i="2"/>
  <c r="GE148" i="2"/>
  <c r="GE184" i="2"/>
  <c r="GE117" i="2"/>
  <c r="GE152" i="2"/>
  <c r="GE143" i="2"/>
  <c r="GE110" i="2"/>
  <c r="GE31" i="2"/>
  <c r="GE183" i="2"/>
  <c r="GE42" i="2"/>
  <c r="GE109" i="2"/>
  <c r="GE62" i="2"/>
  <c r="GE45" i="2"/>
  <c r="GE71" i="2"/>
  <c r="GE186" i="2"/>
  <c r="GE15" i="2"/>
  <c r="GE47" i="2"/>
  <c r="GE96" i="2"/>
  <c r="GE120" i="2"/>
  <c r="GE130" i="2"/>
  <c r="GE33" i="2"/>
  <c r="GE22" i="2"/>
  <c r="GE7" i="2"/>
  <c r="GE192" i="2"/>
  <c r="GE55" i="2"/>
  <c r="GE138" i="2"/>
  <c r="GE73" i="2"/>
  <c r="GE178" i="2"/>
  <c r="GE74" i="2"/>
  <c r="GE146" i="2"/>
  <c r="GE51" i="2"/>
  <c r="GE50" i="2"/>
  <c r="GE84" i="2"/>
  <c r="GE157" i="2"/>
  <c r="GE66" i="2"/>
  <c r="GE57" i="2"/>
  <c r="GE181" i="2"/>
  <c r="GE114" i="2"/>
  <c r="GE21" i="2"/>
  <c r="GE195" i="2"/>
  <c r="GE193" i="2"/>
  <c r="GE53" i="2"/>
  <c r="GE29" i="2"/>
  <c r="GE197" i="2"/>
  <c r="GE26" i="2"/>
  <c r="GE68" i="2"/>
  <c r="GE28" i="2"/>
  <c r="GE180" i="2"/>
  <c r="GE153" i="2"/>
  <c r="GE34" i="2"/>
  <c r="GE60" i="2"/>
  <c r="GE119" i="2"/>
  <c r="GE202" i="2"/>
  <c r="GE37" i="2"/>
  <c r="GE160" i="2"/>
  <c r="GE30" i="2"/>
  <c r="GE199" i="2"/>
  <c r="GE39" i="2"/>
  <c r="GE67" i="2"/>
  <c r="CY24" i="2"/>
  <c r="CY93" i="2"/>
  <c r="CY144" i="2"/>
  <c r="CY17" i="2"/>
  <c r="CY26" i="2"/>
  <c r="CY73" i="2"/>
  <c r="CY8" i="2"/>
  <c r="CY59" i="2"/>
  <c r="CY15" i="2"/>
  <c r="CY77" i="2"/>
  <c r="CY120" i="2"/>
  <c r="CY41" i="2"/>
  <c r="CY12" i="2"/>
  <c r="CY3" i="2"/>
  <c r="C10" i="4" s="1"/>
  <c r="E10" i="4" s="1"/>
  <c r="F10" i="4" s="1"/>
  <c r="G10" i="4" s="1"/>
  <c r="L10" i="4" s="1"/>
  <c r="CY134" i="2"/>
  <c r="CY135" i="2"/>
  <c r="CY32" i="2"/>
  <c r="CY79" i="2"/>
  <c r="CY113" i="2"/>
  <c r="CY137" i="2"/>
  <c r="CY58" i="2"/>
  <c r="CY107" i="2"/>
  <c r="CY10" i="2"/>
  <c r="CY112" i="2"/>
  <c r="CY42" i="2"/>
  <c r="CY197" i="2"/>
  <c r="CY129" i="2"/>
  <c r="CY194" i="2"/>
  <c r="CY201" i="2"/>
  <c r="CY83" i="2"/>
  <c r="CY149" i="2"/>
  <c r="CY131" i="2"/>
  <c r="CY146" i="2"/>
  <c r="CY86" i="2"/>
  <c r="CY163" i="2"/>
  <c r="CY48" i="2"/>
  <c r="CY50" i="2"/>
  <c r="CY100" i="2"/>
  <c r="CY123" i="2"/>
  <c r="CY151" i="2"/>
  <c r="CY36" i="2"/>
  <c r="CY133" i="2"/>
  <c r="CY168" i="2"/>
  <c r="CY57" i="2"/>
  <c r="CY188" i="2"/>
  <c r="CY69" i="2"/>
  <c r="CY67" i="2"/>
  <c r="CY128" i="2"/>
  <c r="CY130" i="2"/>
  <c r="CY136" i="2"/>
  <c r="CY37" i="2"/>
  <c r="CY9" i="2"/>
  <c r="CY74" i="2"/>
  <c r="CY95" i="2"/>
  <c r="CY84" i="2"/>
  <c r="CY139" i="2"/>
  <c r="CY181" i="2"/>
  <c r="CY68" i="2"/>
  <c r="CY46" i="2"/>
  <c r="CY187" i="2"/>
  <c r="CY27" i="2"/>
  <c r="CY99" i="2"/>
  <c r="CY109" i="2"/>
  <c r="CY81" i="2"/>
  <c r="CY102" i="2"/>
  <c r="CY154" i="2"/>
  <c r="CY40" i="2"/>
  <c r="CY200" i="2"/>
  <c r="CY60" i="2"/>
  <c r="CY115" i="2"/>
  <c r="CY28" i="2"/>
  <c r="CY6" i="2"/>
  <c r="CY169" i="2"/>
  <c r="CY35" i="2"/>
  <c r="CY30" i="2"/>
  <c r="CY89" i="2"/>
  <c r="CY185" i="2"/>
  <c r="CY116" i="2"/>
  <c r="CY76" i="2"/>
  <c r="CY106" i="2"/>
  <c r="CY126" i="2"/>
  <c r="CY180" i="2"/>
  <c r="CY56" i="2"/>
  <c r="CY142" i="2"/>
  <c r="CY152" i="2"/>
  <c r="CY119" i="2"/>
  <c r="CY182" i="2"/>
  <c r="CY71" i="2"/>
  <c r="CY150" i="2"/>
  <c r="CY193" i="2"/>
  <c r="CY19" i="2"/>
  <c r="CY166" i="2"/>
  <c r="CY170" i="2"/>
  <c r="CY157" i="2"/>
  <c r="CY44" i="2"/>
  <c r="CY132" i="2"/>
  <c r="CY63" i="2"/>
  <c r="CY11" i="2"/>
  <c r="CY87" i="2"/>
  <c r="CY174" i="2"/>
  <c r="CY198" i="2"/>
  <c r="CY49" i="2"/>
  <c r="CY31" i="2"/>
  <c r="CY43" i="2"/>
  <c r="CY117" i="2"/>
  <c r="CY173" i="2"/>
  <c r="CY183" i="2"/>
  <c r="CY38" i="2"/>
  <c r="CY33" i="2"/>
  <c r="CY75" i="2"/>
  <c r="CY98" i="2"/>
  <c r="CY160" i="2"/>
  <c r="CY114" i="2"/>
  <c r="CY13" i="2"/>
  <c r="CY82" i="2"/>
  <c r="CY4" i="2"/>
  <c r="CY55" i="2"/>
  <c r="CY203" i="2"/>
  <c r="CY202" i="2"/>
  <c r="CY94" i="2"/>
  <c r="CY51" i="2"/>
  <c r="CY156" i="2"/>
  <c r="CY111" i="2"/>
  <c r="CY21" i="2"/>
  <c r="CY16" i="2"/>
  <c r="CY85" i="2"/>
  <c r="CY80" i="2"/>
  <c r="CY145" i="2"/>
  <c r="CY108" i="2"/>
  <c r="CY70" i="2"/>
  <c r="CY103" i="2"/>
  <c r="CY158" i="2"/>
  <c r="CY7" i="2"/>
  <c r="CY47" i="2"/>
  <c r="CY92" i="2"/>
  <c r="CY171" i="2"/>
  <c r="CY153" i="2"/>
  <c r="CY22" i="2"/>
  <c r="CY190" i="2"/>
  <c r="CY155" i="2"/>
  <c r="CY96" i="2"/>
  <c r="CY62" i="2"/>
  <c r="CY122" i="2"/>
  <c r="CY184" i="2"/>
  <c r="CY54" i="2"/>
  <c r="CY52" i="2"/>
  <c r="CY125" i="2"/>
  <c r="CY90" i="2"/>
  <c r="CY23" i="2"/>
  <c r="CY34" i="2"/>
  <c r="CY191" i="2"/>
  <c r="CY162" i="2"/>
  <c r="CY176" i="2"/>
  <c r="CY66" i="2"/>
  <c r="CY186" i="2"/>
  <c r="CY45" i="2"/>
  <c r="CY29" i="2"/>
  <c r="CY118" i="2"/>
  <c r="CY165" i="2"/>
  <c r="CY172" i="2"/>
  <c r="CY196" i="2"/>
  <c r="CY39" i="2"/>
  <c r="CY104" i="2"/>
  <c r="CY61" i="2"/>
  <c r="CY18" i="2"/>
  <c r="CY65" i="2"/>
  <c r="CY91" i="2"/>
  <c r="CY161" i="2"/>
  <c r="CY105" i="2"/>
  <c r="CY192" i="2"/>
  <c r="CY5" i="2"/>
  <c r="CY140" i="2"/>
  <c r="CY199" i="2"/>
  <c r="CY53" i="2"/>
  <c r="CY25" i="2"/>
  <c r="CY78" i="2"/>
  <c r="CY143" i="2"/>
  <c r="CY177" i="2"/>
  <c r="CY14" i="2"/>
  <c r="CY121" i="2"/>
  <c r="CY124" i="2"/>
  <c r="CY97" i="2"/>
  <c r="CY178" i="2"/>
  <c r="CY88" i="2"/>
  <c r="CY148" i="2"/>
  <c r="CY179" i="2"/>
  <c r="CY64" i="2"/>
  <c r="CY20" i="2"/>
  <c r="CY110" i="2"/>
  <c r="CY167" i="2"/>
  <c r="CY189" i="2"/>
  <c r="CY101" i="2"/>
  <c r="CY195" i="2"/>
  <c r="CY127" i="2"/>
  <c r="CY138" i="2"/>
  <c r="CY72" i="2"/>
  <c r="CY141" i="2"/>
  <c r="CY175" i="2"/>
  <c r="CY159" i="2"/>
  <c r="CY164" i="2"/>
  <c r="CY14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<sst xmlns="http://schemas.openxmlformats.org/spreadsheetml/2006/main" count="1178" uniqueCount="324">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</sst>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82.19851259609915</c:v>
                </c:pt>
                <c:pt idx="22">
                  <c:v>101.47509048009086</c:v>
                </c:pt>
                <c:pt idx="23">
                  <c:v>120.66068219803297</c:v>
                </c:pt>
                <c:pt idx="24">
                  <c:v>139.7718435296224</c:v>
                </c:pt>
                <c:pt idx="25">
                  <c:v>158.8202045738532</c:v>
                </c:pt>
                <c:pt idx="26">
                  <c:v>184.13489538732028</c:v>
                </c:pt>
                <c:pt idx="27">
                  <c:v>209.36817004651758</c:v>
                </c:pt>
                <c:pt idx="28">
                  <c:v>234.53122639168828</c:v>
                </c:pt>
                <c:pt idx="29">
                  <c:v>259.63265790885896</c:v>
                </c:pt>
                <c:pt idx="30">
                  <c:v>284.67925856397056</c:v>
                </c:pt>
                <c:pt idx="31">
                  <c:v>238.96515518245596</c:v>
                </c:pt>
                <c:pt idx="32">
                  <c:v>257.78890626510469</c:v>
                </c:pt>
                <c:pt idx="33">
                  <c:v>276.58158830990743</c:v>
                </c:pt>
                <c:pt idx="34">
                  <c:v>295.34560890488154</c:v>
                </c:pt>
                <c:pt idx="35">
                  <c:v>314.08304469239312</c:v>
                </c:pt>
                <c:pt idx="36">
                  <c:v>333.52905189195661</c:v>
                </c:pt>
                <c:pt idx="37">
                  <c:v>352.95007901652951</c:v>
                </c:pt>
                <c:pt idx="38">
                  <c:v>372.34769335507389</c:v>
                </c:pt>
                <c:pt idx="39">
                  <c:v>391.72328562153433</c:v>
                </c:pt>
                <c:pt idx="40">
                  <c:v>411.07809777850645</c:v>
                </c:pt>
                <c:pt idx="41">
                  <c:v>328.39486727133891</c:v>
                </c:pt>
                <c:pt idx="42">
                  <c:v>348.18865493629545</c:v>
                </c:pt>
                <c:pt idx="43">
                  <c:v>367.95775652370884</c:v>
                </c:pt>
                <c:pt idx="44">
                  <c:v>387.70368425262313</c:v>
                </c:pt>
                <c:pt idx="45">
                  <c:v>407.42778379371663</c:v>
                </c:pt>
                <c:pt idx="46">
                  <c:v>427.49595170023167</c:v>
                </c:pt>
                <c:pt idx="47">
                  <c:v>447.54386995067085</c:v>
                </c:pt>
                <c:pt idx="48">
                  <c:v>467.57257266718483</c:v>
                </c:pt>
                <c:pt idx="49">
                  <c:v>487.5829982064372</c:v>
                </c:pt>
                <c:pt idx="50">
                  <c:v>507.57600167435936</c:v>
                </c:pt>
                <c:pt idx="51">
                  <c:v>425.67242592235567</c:v>
                </c:pt>
                <c:pt idx="52">
                  <c:v>445.72214076928839</c:v>
                </c:pt>
                <c:pt idx="53">
                  <c:v>465.7525502351603</c:v>
                </c:pt>
                <c:pt idx="54">
                  <c:v>485.76460083050733</c:v>
                </c:pt>
                <c:pt idx="55">
                  <c:v>505.75915477017446</c:v>
                </c:pt>
                <c:pt idx="56">
                  <c:v>525.37391179668509</c:v>
                </c:pt>
                <c:pt idx="57">
                  <c:v>544.97324841623663</c:v>
                </c:pt>
                <c:pt idx="58">
                  <c:v>564.55779682701973</c:v>
                </c:pt>
                <c:pt idx="59">
                  <c:v>584.12814182361558</c:v>
                </c:pt>
                <c:pt idx="60">
                  <c:v>603.68482585273216</c:v>
                </c:pt>
                <c:pt idx="61">
                  <c:v>521.01643278606741</c:v>
                </c:pt>
                <c:pt idx="62">
                  <c:v>539.89338352110906</c:v>
                </c:pt>
                <c:pt idx="63">
                  <c:v>558.75647389763037</c:v>
                </c:pt>
                <c:pt idx="64">
                  <c:v>577.60623734341596</c:v>
                </c:pt>
                <c:pt idx="65">
                  <c:v>596.44316965824487</c:v>
                </c:pt>
                <c:pt idx="66">
                  <c:v>614.54393455152842</c:v>
                </c:pt>
                <c:pt idx="67">
                  <c:v>632.63364761456694</c:v>
                </c:pt>
                <c:pt idx="68">
                  <c:v>650.71266910611257</c:v>
                </c:pt>
                <c:pt idx="69">
                  <c:v>668.78133765133043</c:v>
                </c:pt>
                <c:pt idx="70">
                  <c:v>686.83997210216705</c:v>
                </c:pt>
                <c:pt idx="71">
                  <c:v>602.5986930584329</c:v>
                </c:pt>
                <c:pt idx="72">
                  <c:v>619.61015231945032</c:v>
                </c:pt>
                <c:pt idx="73">
                  <c:v>636.61193754186297</c:v>
                </c:pt>
                <c:pt idx="74">
                  <c:v>653.60434327896314</c:v>
                </c:pt>
                <c:pt idx="75">
                  <c:v>670.58764753168168</c:v>
                </c:pt>
                <c:pt idx="76">
                  <c:v>686.47889577375361</c:v>
                </c:pt>
                <c:pt idx="77">
                  <c:v>702.36260221569512</c:v>
                </c:pt>
                <c:pt idx="78">
                  <c:v>718.23896130514379</c:v>
                </c:pt>
                <c:pt idx="79">
                  <c:v>734.10815819948982</c:v>
                </c:pt>
                <c:pt idx="80">
                  <c:v>749.97036940508906</c:v>
                </c:pt>
                <c:pt idx="81">
                  <c:v>663.18113806776046</c:v>
                </c:pt>
                <c:pt idx="82">
                  <c:v>677.45071552119919</c:v>
                </c:pt>
                <c:pt idx="83">
                  <c:v>691.7141224780886</c:v>
                </c:pt>
                <c:pt idx="84">
                  <c:v>705.97150402109185</c:v>
                </c:pt>
                <c:pt idx="85">
                  <c:v>720.22299889904434</c:v>
                </c:pt>
                <c:pt idx="86">
                  <c:v>734.46873992591679</c:v>
                </c:pt>
                <c:pt idx="87">
                  <c:v>748.70885434724005</c:v>
                </c:pt>
                <c:pt idx="88">
                  <c:v>762.94346417722647</c:v>
                </c:pt>
                <c:pt idx="89">
                  <c:v>777.17268650944186</c:v>
                </c:pt>
                <c:pt idx="90">
                  <c:v>791.39663380356478</c:v>
                </c:pt>
                <c:pt idx="91">
                  <c:v>708.85835373260863</c:v>
                </c:pt>
                <c:pt idx="92">
                  <c:v>721.84621940078694</c:v>
                </c:pt>
                <c:pt idx="93">
                  <c:v>734.82931804640248</c:v>
                </c:pt>
                <c:pt idx="94">
                  <c:v>747.80774570972562</c:v>
                </c:pt>
                <c:pt idx="95">
                  <c:v>760.78159482780268</c:v>
                </c:pt>
                <c:pt idx="96">
                  <c:v>773.75095443005682</c:v>
                </c:pt>
                <c:pt idx="97">
                  <c:v>786.71591032010463</c:v>
                </c:pt>
                <c:pt idx="98">
                  <c:v>799.67654524497402</c:v>
                </c:pt>
                <c:pt idx="99">
                  <c:v>812.63293905279045</c:v>
                </c:pt>
                <c:pt idx="100">
                  <c:v>825.58516883989148</c:v>
                </c:pt>
                <c:pt idx="101">
                  <c:v>748.70885434723994</c:v>
                </c:pt>
                <c:pt idx="102">
                  <c:v>760.06094401986581</c:v>
                </c:pt>
                <c:pt idx="103">
                  <c:v>771.4095927344938</c:v>
                </c:pt>
                <c:pt idx="104">
                  <c:v>782.75485821856125</c:v>
                </c:pt>
                <c:pt idx="105">
                  <c:v>794.09679639066462</c:v>
                </c:pt>
                <c:pt idx="106">
                  <c:v>805.43546144280401</c:v>
                </c:pt>
                <c:pt idx="107">
                  <c:v>816.7709059177588</c:v>
                </c:pt>
                <c:pt idx="108">
                  <c:v>828.10318078194848</c:v>
                </c:pt>
                <c:pt idx="109">
                  <c:v>839.43233549409888</c:v>
                </c:pt>
                <c:pt idx="110">
                  <c:v>850.75841807001632</c:v>
                </c:pt>
                <c:pt idx="111">
                  <c:v>780.05390839302243</c:v>
                </c:pt>
                <c:pt idx="112">
                  <c:v>790.31651665478341</c:v>
                </c:pt>
                <c:pt idx="113">
                  <c:v>800.57643094652485</c:v>
                </c:pt>
                <c:pt idx="114">
                  <c:v>810.8336906406804</c:v>
                </c:pt>
                <c:pt idx="115">
                  <c:v>821.08833403289111</c:v>
                </c:pt>
                <c:pt idx="116">
                  <c:v>831.34039838481556</c:v>
                </c:pt>
                <c:pt idx="117">
                  <c:v>841.58991996472139</c:v>
                </c:pt>
                <c:pt idx="118">
                  <c:v>851.83693408599981</c:v>
                </c:pt>
                <c:pt idx="119">
                  <c:v>862.08147514372934</c:v>
                </c:pt>
                <c:pt idx="120">
                  <c:v>872.32357664941389</c:v>
                </c:pt>
                <c:pt idx="121">
                  <c:v>803.81585053592505</c:v>
                </c:pt>
                <c:pt idx="122">
                  <c:v>812.63293905279033</c:v>
                </c:pt>
                <c:pt idx="123">
                  <c:v>821.44809903319162</c:v>
                </c:pt>
                <c:pt idx="124">
                  <c:v>830.26135408017615</c:v>
                </c:pt>
                <c:pt idx="125">
                  <c:v>839.07272725509176</c:v>
                </c:pt>
                <c:pt idx="126">
                  <c:v>847.8822410956958</c:v>
                </c:pt>
                <c:pt idx="127">
                  <c:v>856.68991763347515</c:v>
                </c:pt>
                <c:pt idx="128">
                  <c:v>865.49577841021608</c:v>
                </c:pt>
                <c:pt idx="129">
                  <c:v>874.29984449386677</c:v>
                </c:pt>
                <c:pt idx="130">
                  <c:v>883.10213649372508</c:v>
                </c:pt>
                <c:pt idx="131">
                  <c:v>817.49050913795918</c:v>
                </c:pt>
                <c:pt idx="132">
                  <c:v>825.58516883989125</c:v>
                </c:pt>
                <c:pt idx="133">
                  <c:v>833.67823111503947</c:v>
                </c:pt>
                <c:pt idx="134">
                  <c:v>841.76971364980761</c:v>
                </c:pt>
                <c:pt idx="135">
                  <c:v>849.85963376301618</c:v>
                </c:pt>
                <c:pt idx="136">
                  <c:v>857.94800841704125</c:v>
                </c:pt>
                <c:pt idx="137">
                  <c:v>866.03485422851293</c:v>
                </c:pt>
                <c:pt idx="138">
                  <c:v>874.12018747859565</c:v>
                </c:pt>
                <c:pt idx="139">
                  <c:v>882.20402412286319</c:v>
                </c:pt>
                <c:pt idx="140">
                  <c:v>890.286379800801</c:v>
                </c:pt>
                <c:pt idx="141">
                  <c:v>827.38376454393062</c:v>
                </c:pt>
                <c:pt idx="142">
                  <c:v>834.57736242199144</c:v>
                </c:pt>
                <c:pt idx="143">
                  <c:v>841.76971364980761</c:v>
                </c:pt>
                <c:pt idx="144">
                  <c:v>848.96083037662504</c:v>
                </c:pt>
                <c:pt idx="145">
                  <c:v>856.15072452917332</c:v>
                </c:pt>
                <c:pt idx="146">
                  <c:v>863.33940781761464</c:v>
                </c:pt>
                <c:pt idx="147">
                  <c:v>870.52689174128579</c:v>
                </c:pt>
                <c:pt idx="148">
                  <c:v>877.71318759423991</c:v>
                </c:pt>
                <c:pt idx="149">
                  <c:v>884.89830647059819</c:v>
                </c:pt>
                <c:pt idx="150">
                  <c:v>892.08225926971727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7641280"/>
        <c:axId val="-557640192"/>
      </c:scatterChart>
      <c:valAx>
        <c:axId val="-55764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7640192"/>
        <c:crosses val="autoZero"/>
        <c:crossBetween val="midCat"/>
      </c:valAx>
      <c:valAx>
        <c:axId val="-55764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764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0953152"/>
        <c:axId val="-850953696"/>
      </c:scatterChart>
      <c:valAx>
        <c:axId val="-850953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50953696"/>
        <c:crosses val="autoZero"/>
        <c:crossBetween val="midCat"/>
      </c:valAx>
      <c:valAx>
        <c:axId val="-85095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50953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57639648"/>
        <c:axId val="-557639104"/>
      </c:scatterChart>
      <c:valAx>
        <c:axId val="-557639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7639104"/>
        <c:crosses val="autoZero"/>
        <c:crossBetween val="midCat"/>
      </c:valAx>
      <c:valAx>
        <c:axId val="-55763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57639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0432448"/>
        <c:axId val="-700429728"/>
      </c:scatterChart>
      <c:valAx>
        <c:axId val="-700432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29728"/>
        <c:crosses val="autoZero"/>
        <c:crossBetween val="midCat"/>
      </c:valAx>
      <c:valAx>
        <c:axId val="-70042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0430816"/>
        <c:axId val="-700431904"/>
      </c:scatterChart>
      <c:valAx>
        <c:axId val="-700430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1904"/>
        <c:crosses val="autoZero"/>
        <c:crossBetween val="midCat"/>
      </c:valAx>
      <c:valAx>
        <c:axId val="-70043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0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0435168"/>
        <c:axId val="-700431360"/>
      </c:scatterChart>
      <c:valAx>
        <c:axId val="-700435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1360"/>
        <c:crosses val="autoZero"/>
        <c:crossBetween val="midCat"/>
      </c:valAx>
      <c:valAx>
        <c:axId val="-70043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5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123.52840635605497</c:v>
                </c:pt>
                <c:pt idx="22">
                  <c:v>137.11517211565118</c:v>
                </c:pt>
                <c:pt idx="23">
                  <c:v>150.66954916498568</c:v>
                </c:pt>
                <c:pt idx="24">
                  <c:v>164.19486426810479</c:v>
                </c:pt>
                <c:pt idx="25">
                  <c:v>177.69385032373035</c:v>
                </c:pt>
                <c:pt idx="26">
                  <c:v>191.16879046159409</c:v>
                </c:pt>
                <c:pt idx="27">
                  <c:v>204.62161925684799</c:v>
                </c:pt>
                <c:pt idx="28">
                  <c:v>218.05399586508807</c:v>
                </c:pt>
                <c:pt idx="29">
                  <c:v>231.46735815462407</c:v>
                </c:pt>
                <c:pt idx="30">
                  <c:v>244.86296361177938</c:v>
                </c:pt>
                <c:pt idx="31">
                  <c:v>205.41231020128509</c:v>
                </c:pt>
                <c:pt idx="32">
                  <c:v>218.58035954454417</c:v>
                </c:pt>
                <c:pt idx="33">
                  <c:v>231.73018391404943</c:v>
                </c:pt>
                <c:pt idx="34">
                  <c:v>244.86296361177938</c:v>
                </c:pt>
                <c:pt idx="35">
                  <c:v>257.97974191077316</c:v>
                </c:pt>
                <c:pt idx="36">
                  <c:v>270.03384538640671</c:v>
                </c:pt>
                <c:pt idx="37">
                  <c:v>282.07584211332164</c:v>
                </c:pt>
                <c:pt idx="38">
                  <c:v>294.10632197650165</c:v>
                </c:pt>
                <c:pt idx="39">
                  <c:v>306.12582263909667</c:v>
                </c:pt>
                <c:pt idx="40">
                  <c:v>318.13483607832239</c:v>
                </c:pt>
                <c:pt idx="41">
                  <c:v>271.08144727175642</c:v>
                </c:pt>
                <c:pt idx="42">
                  <c:v>282.86078360632649</c:v>
                </c:pt>
                <c:pt idx="43">
                  <c:v>294.62913355147111</c:v>
                </c:pt>
                <c:pt idx="44">
                  <c:v>306.3869979576524</c:v>
                </c:pt>
                <c:pt idx="45">
                  <c:v>318.13483607832245</c:v>
                </c:pt>
                <c:pt idx="46">
                  <c:v>329.35156958294141</c:v>
                </c:pt>
                <c:pt idx="47">
                  <c:v>340.55987511500985</c:v>
                </c:pt>
                <c:pt idx="48">
                  <c:v>351.76006924925832</c:v>
                </c:pt>
                <c:pt idx="49">
                  <c:v>362.95244674780406</c:v>
                </c:pt>
                <c:pt idx="50">
                  <c:v>374.13728270377402</c:v>
                </c:pt>
                <c:pt idx="51">
                  <c:v>322.30950996229876</c:v>
                </c:pt>
                <c:pt idx="52">
                  <c:v>333.00169481114159</c:v>
                </c:pt>
                <c:pt idx="53">
                  <c:v>343.68631362725654</c:v>
                </c:pt>
                <c:pt idx="54">
                  <c:v>354.36363488362491</c:v>
                </c:pt>
                <c:pt idx="55">
                  <c:v>365.03390954723886</c:v>
                </c:pt>
                <c:pt idx="56">
                  <c:v>374.91734538946031</c:v>
                </c:pt>
                <c:pt idx="57">
                  <c:v>384.79510627137751</c:v>
                </c:pt>
                <c:pt idx="58">
                  <c:v>394.66735847110516</c:v>
                </c:pt>
                <c:pt idx="59">
                  <c:v>404.5342592660088</c:v>
                </c:pt>
                <c:pt idx="60">
                  <c:v>414.39595763230813</c:v>
                </c:pt>
                <c:pt idx="61">
                  <c:v>363.99321066425381</c:v>
                </c:pt>
                <c:pt idx="62">
                  <c:v>373.35718456856483</c:v>
                </c:pt>
                <c:pt idx="63">
                  <c:v>382.71604088568387</c:v>
                </c:pt>
                <c:pt idx="64">
                  <c:v>392.0699224681141</c:v>
                </c:pt>
                <c:pt idx="65">
                  <c:v>401.4189647926537</c:v>
                </c:pt>
                <c:pt idx="66">
                  <c:v>410.2442884418852</c:v>
                </c:pt>
                <c:pt idx="67">
                  <c:v>419.0655135735251</c:v>
                </c:pt>
                <c:pt idx="68">
                  <c:v>427.8827386661892</c:v>
                </c:pt>
                <c:pt idx="69">
                  <c:v>436.69605780694877</c:v>
                </c:pt>
                <c:pt idx="70">
                  <c:v>445.50556097376784</c:v>
                </c:pt>
                <c:pt idx="71">
                  <c:v>395.70622896203434</c:v>
                </c:pt>
                <c:pt idx="72">
                  <c:v>404.27467126938308</c:v>
                </c:pt>
                <c:pt idx="73">
                  <c:v>412.83918737669751</c:v>
                </c:pt>
                <c:pt idx="74">
                  <c:v>421.39987026288964</c:v>
                </c:pt>
                <c:pt idx="75">
                  <c:v>429.95680881908919</c:v>
                </c:pt>
                <c:pt idx="76">
                  <c:v>437.99181019525372</c:v>
                </c:pt>
                <c:pt idx="77">
                  <c:v>446.02365006516737</c:v>
                </c:pt>
                <c:pt idx="78">
                  <c:v>454.05239341686462</c:v>
                </c:pt>
                <c:pt idx="79">
                  <c:v>462.0781027515323</c:v>
                </c:pt>
                <c:pt idx="80">
                  <c:v>470.1008382211549</c:v>
                </c:pt>
                <c:pt idx="81">
                  <c:v>422.17792718748893</c:v>
                </c:pt>
                <c:pt idx="82">
                  <c:v>429.95680881908919</c:v>
                </c:pt>
                <c:pt idx="83">
                  <c:v>437.73266630566582</c:v>
                </c:pt>
                <c:pt idx="84">
                  <c:v>445.50556097376779</c:v>
                </c:pt>
                <c:pt idx="85">
                  <c:v>453.27555183427711</c:v>
                </c:pt>
                <c:pt idx="86">
                  <c:v>460.52497358173349</c:v>
                </c:pt>
                <c:pt idx="87">
                  <c:v>467.77195987462483</c:v>
                </c:pt>
                <c:pt idx="88">
                  <c:v>475.01655378575668</c:v>
                </c:pt>
                <c:pt idx="89">
                  <c:v>482.25879696627726</c:v>
                </c:pt>
                <c:pt idx="90">
                  <c:v>489.49872971371423</c:v>
                </c:pt>
                <c:pt idx="91">
                  <c:v>444.98745897736353</c:v>
                </c:pt>
                <c:pt idx="92">
                  <c:v>452.23971876405511</c:v>
                </c:pt>
                <c:pt idx="93">
                  <c:v>459.489492035924</c:v>
                </c:pt>
                <c:pt idx="94">
                  <c:v>466.73682357974229</c:v>
                </c:pt>
                <c:pt idx="95">
                  <c:v>473.98175667722558</c:v>
                </c:pt>
                <c:pt idx="96">
                  <c:v>480.70708356712709</c:v>
                </c:pt>
                <c:pt idx="97">
                  <c:v>487.4304109605867</c:v>
                </c:pt>
                <c:pt idx="98">
                  <c:v>494.15177034208205</c:v>
                </c:pt>
                <c:pt idx="99">
                  <c:v>500.87119226930128</c:v>
                </c:pt>
                <c:pt idx="100">
                  <c:v>507.58870641276644</c:v>
                </c:pt>
                <c:pt idx="101">
                  <c:v>465.96043924488595</c:v>
                </c:pt>
                <c:pt idx="102">
                  <c:v>472.17074594472138</c:v>
                </c:pt>
                <c:pt idx="103">
                  <c:v>478.37931369911365</c:v>
                </c:pt>
                <c:pt idx="104">
                  <c:v>484.58616827417546</c:v>
                </c:pt>
                <c:pt idx="105">
                  <c:v>490.79133472172845</c:v>
                </c:pt>
                <c:pt idx="106">
                  <c:v>496.99483740808415</c:v>
                </c:pt>
                <c:pt idx="107">
                  <c:v>503.19670004131422</c:v>
                </c:pt>
                <c:pt idx="108">
                  <c:v>509.39694569710491</c:v>
                </c:pt>
                <c:pt idx="109">
                  <c:v>515.59559684328622</c:v>
                </c:pt>
                <c:pt idx="110">
                  <c:v>521.79267536312125</c:v>
                </c:pt>
                <c:pt idx="111">
                  <c:v>482.38810162219664</c:v>
                </c:pt>
                <c:pt idx="112">
                  <c:v>488.20605227820744</c:v>
                </c:pt>
                <c:pt idx="113">
                  <c:v>494.02253179848339</c:v>
                </c:pt>
                <c:pt idx="114">
                  <c:v>499.83755995777983</c:v>
                </c:pt>
                <c:pt idx="115">
                  <c:v>505.65115603293197</c:v>
                </c:pt>
                <c:pt idx="116">
                  <c:v>511.46333882110065</c:v>
                </c:pt>
                <c:pt idx="117">
                  <c:v>517.27412665714303</c:v>
                </c:pt>
                <c:pt idx="118">
                  <c:v>523.08353743016437</c:v>
                </c:pt>
                <c:pt idx="119">
                  <c:v>528.89158859929296</c:v>
                </c:pt>
                <c:pt idx="120">
                  <c:v>534.69829720872906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0430272"/>
        <c:axId val="-700434624"/>
      </c:scatterChart>
      <c:valAx>
        <c:axId val="-700430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4624"/>
        <c:crosses val="autoZero"/>
        <c:crossBetween val="midCat"/>
      </c:valAx>
      <c:valAx>
        <c:axId val="-70043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0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0429184"/>
        <c:axId val="-700436256"/>
      </c:scatterChart>
      <c:valAx>
        <c:axId val="-700429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6256"/>
        <c:crosses val="autoZero"/>
        <c:crossBetween val="midCat"/>
      </c:valAx>
      <c:valAx>
        <c:axId val="-70043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29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2.8187126632448081</c:v>
                </c:pt>
                <c:pt idx="2">
                  <c:v>3.5573599444099848</c:v>
                </c:pt>
                <c:pt idx="3">
                  <c:v>4.4903248835513372</c:v>
                </c:pt>
                <c:pt idx="4">
                  <c:v>5.6689139821764911</c:v>
                </c:pt>
                <c:pt idx="5">
                  <c:v>7.1580265500992999</c:v>
                </c:pt>
                <c:pt idx="6">
                  <c:v>9.0397672432815401</c:v>
                </c:pt>
                <c:pt idx="7">
                  <c:v>11.418021481537131</c:v>
                </c:pt>
                <c:pt idx="8">
                  <c:v>14.424251070238251</c:v>
                </c:pt>
                <c:pt idx="9">
                  <c:v>18.224836284184136</c:v>
                </c:pt>
                <c:pt idx="10">
                  <c:v>23.030378112650464</c:v>
                </c:pt>
                <c:pt idx="11">
                  <c:v>29.10748529064772</c:v>
                </c:pt>
                <c:pt idx="12">
                  <c:v>36.793711472422189</c:v>
                </c:pt>
                <c:pt idx="13">
                  <c:v>46.516486462668638</c:v>
                </c:pt>
                <c:pt idx="14">
                  <c:v>58.817111995756541</c:v>
                </c:pt>
                <c:pt idx="15">
                  <c:v>74.381180078273346</c:v>
                </c:pt>
                <c:pt idx="16">
                  <c:v>96.627182609604759</c:v>
                </c:pt>
                <c:pt idx="17">
                  <c:v>118.74501570942562</c:v>
                </c:pt>
                <c:pt idx="18">
                  <c:v>140.76205332391956</c:v>
                </c:pt>
                <c:pt idx="19">
                  <c:v>162.69632820049665</c:v>
                </c:pt>
                <c:pt idx="20">
                  <c:v>184.56058608215372</c:v>
                </c:pt>
                <c:pt idx="21">
                  <c:v>126.42510605145075</c:v>
                </c:pt>
                <c:pt idx="22">
                  <c:v>150.23693675874819</c:v>
                </c:pt>
                <c:pt idx="23">
                  <c:v>173.95863427802908</c:v>
                </c:pt>
                <c:pt idx="24">
                  <c:v>197.6042373039995</c:v>
                </c:pt>
                <c:pt idx="25">
                  <c:v>221.18413826147119</c:v>
                </c:pt>
                <c:pt idx="26">
                  <c:v>243.76646443655656</c:v>
                </c:pt>
                <c:pt idx="27">
                  <c:v>266.30123190496232</c:v>
                </c:pt>
                <c:pt idx="28">
                  <c:v>288.79302979328958</c:v>
                </c:pt>
                <c:pt idx="29">
                  <c:v>311.24567377041325</c:v>
                </c:pt>
                <c:pt idx="30">
                  <c:v>333.66238399485115</c:v>
                </c:pt>
                <c:pt idx="31">
                  <c:v>248.99106942038816</c:v>
                </c:pt>
                <c:pt idx="32">
                  <c:v>269.22750746405978</c:v>
                </c:pt>
                <c:pt idx="33">
                  <c:v>289.42971056436858</c:v>
                </c:pt>
                <c:pt idx="34">
                  <c:v>309.60040363725381</c:v>
                </c:pt>
                <c:pt idx="35">
                  <c:v>329.74192753151567</c:v>
                </c:pt>
                <c:pt idx="36">
                  <c:v>347.35742407369844</c:v>
                </c:pt>
                <c:pt idx="37">
                  <c:v>364.95331741434489</c:v>
                </c:pt>
                <c:pt idx="38">
                  <c:v>382.53068541645354</c:v>
                </c:pt>
                <c:pt idx="39">
                  <c:v>400.09049882839162</c:v>
                </c:pt>
                <c:pt idx="40">
                  <c:v>417.63363625997863</c:v>
                </c:pt>
                <c:pt idx="41">
                  <c:v>328.62160871118198</c:v>
                </c:pt>
                <c:pt idx="42">
                  <c:v>343.92546889640727</c:v>
                </c:pt>
                <c:pt idx="43">
                  <c:v>359.21437055941539</c:v>
                </c:pt>
                <c:pt idx="44">
                  <c:v>374.48903994418225</c:v>
                </c:pt>
                <c:pt idx="45">
                  <c:v>389.75013922020395</c:v>
                </c:pt>
                <c:pt idx="46">
                  <c:v>402.99070448907742</c:v>
                </c:pt>
                <c:pt idx="47">
                  <c:v>416.22186287393123</c:v>
                </c:pt>
                <c:pt idx="48">
                  <c:v>429.44395553028397</c:v>
                </c:pt>
                <c:pt idx="49">
                  <c:v>442.65730089301456</c:v>
                </c:pt>
                <c:pt idx="50">
                  <c:v>455.86219683685039</c:v>
                </c:pt>
                <c:pt idx="51">
                  <c:v>396.11127024318756</c:v>
                </c:pt>
                <c:pt idx="52">
                  <c:v>407.48884938461543</c:v>
                </c:pt>
                <c:pt idx="53">
                  <c:v>418.85956651657403</c:v>
                </c:pt>
                <c:pt idx="54">
                  <c:v>430.22363420713367</c:v>
                </c:pt>
                <c:pt idx="55">
                  <c:v>441.58125287689433</c:v>
                </c:pt>
                <c:pt idx="56">
                  <c:v>451.1524130337736</c:v>
                </c:pt>
                <c:pt idx="57">
                  <c:v>460.71923116919589</c:v>
                </c:pt>
                <c:pt idx="58">
                  <c:v>470.28181018094989</c:v>
                </c:pt>
                <c:pt idx="59">
                  <c:v>479.84024843988044</c:v>
                </c:pt>
                <c:pt idx="60">
                  <c:v>489.39464007720022</c:v>
                </c:pt>
                <c:pt idx="61">
                  <c:v>450.74442967684257</c:v>
                </c:pt>
                <c:pt idx="62">
                  <c:v>458.79137961100622</c:v>
                </c:pt>
                <c:pt idx="63">
                  <c:v>466.83531635780349</c:v>
                </c:pt>
                <c:pt idx="64">
                  <c:v>474.87629918090329</c:v>
                </c:pt>
                <c:pt idx="65">
                  <c:v>482.91438517244984</c:v>
                </c:pt>
                <c:pt idx="66">
                  <c:v>489.87595747189181</c:v>
                </c:pt>
                <c:pt idx="67">
                  <c:v>496.83543141169798</c:v>
                </c:pt>
                <c:pt idx="68">
                  <c:v>503.79284054429132</c:v>
                </c:pt>
                <c:pt idx="69">
                  <c:v>510.7482174193658</c:v>
                </c:pt>
                <c:pt idx="70">
                  <c:v>517.70159362740139</c:v>
                </c:pt>
                <c:pt idx="71">
                  <c:v>485.32155123080855</c:v>
                </c:pt>
                <c:pt idx="72">
                  <c:v>491.61602134985714</c:v>
                </c:pt>
                <c:pt idx="73">
                  <c:v>497.90878263760169</c:v>
                </c:pt>
                <c:pt idx="74">
                  <c:v>504.19985974903403</c:v>
                </c:pt>
                <c:pt idx="75">
                  <c:v>510.4892766733779</c:v>
                </c:pt>
                <c:pt idx="76">
                  <c:v>516.00041881937125</c:v>
                </c:pt>
                <c:pt idx="77">
                  <c:v>521.51031888687191</c:v>
                </c:pt>
                <c:pt idx="78">
                  <c:v>527.01899185737477</c:v>
                </c:pt>
                <c:pt idx="79">
                  <c:v>532.52645237346917</c:v>
                </c:pt>
                <c:pt idx="80">
                  <c:v>538.03271475000724</c:v>
                </c:pt>
                <c:pt idx="81">
                  <c:v>7.384408744560063E-12</c:v>
                </c:pt>
                <c:pt idx="82">
                  <c:v>7.384408744560063E-12</c:v>
                </c:pt>
                <c:pt idx="83">
                  <c:v>7.384408744560063E-12</c:v>
                </c:pt>
                <c:pt idx="84">
                  <c:v>7.384408744560063E-12</c:v>
                </c:pt>
                <c:pt idx="85">
                  <c:v>7.384408744560063E-12</c:v>
                </c:pt>
                <c:pt idx="86">
                  <c:v>7.384408744560063E-12</c:v>
                </c:pt>
                <c:pt idx="87">
                  <c:v>7.384408744560063E-12</c:v>
                </c:pt>
                <c:pt idx="88">
                  <c:v>7.384408744560063E-12</c:v>
                </c:pt>
                <c:pt idx="89">
                  <c:v>7.384408744560063E-12</c:v>
                </c:pt>
                <c:pt idx="90">
                  <c:v>7.384408744560063E-12</c:v>
                </c:pt>
                <c:pt idx="91">
                  <c:v>7.384408744560063E-12</c:v>
                </c:pt>
                <c:pt idx="92">
                  <c:v>7.384408744560063E-12</c:v>
                </c:pt>
                <c:pt idx="93">
                  <c:v>7.384408744560063E-12</c:v>
                </c:pt>
                <c:pt idx="94">
                  <c:v>7.384408744560063E-12</c:v>
                </c:pt>
                <c:pt idx="95">
                  <c:v>7.384408744560063E-12</c:v>
                </c:pt>
                <c:pt idx="96">
                  <c:v>7.384408744560063E-12</c:v>
                </c:pt>
                <c:pt idx="97">
                  <c:v>7.384408744560063E-12</c:v>
                </c:pt>
                <c:pt idx="98">
                  <c:v>7.384408744560063E-12</c:v>
                </c:pt>
                <c:pt idx="99">
                  <c:v>7.384408744560063E-12</c:v>
                </c:pt>
                <c:pt idx="100">
                  <c:v>7.384408744560063E-12</c:v>
                </c:pt>
                <c:pt idx="101">
                  <c:v>7.384408744560063E-12</c:v>
                </c:pt>
                <c:pt idx="102">
                  <c:v>7.384408744560063E-12</c:v>
                </c:pt>
                <c:pt idx="103">
                  <c:v>7.384408744560063E-12</c:v>
                </c:pt>
                <c:pt idx="104">
                  <c:v>7.384408744560063E-12</c:v>
                </c:pt>
                <c:pt idx="105">
                  <c:v>7.384408744560063E-12</c:v>
                </c:pt>
                <c:pt idx="106">
                  <c:v>7.384408744560063E-12</c:v>
                </c:pt>
                <c:pt idx="107">
                  <c:v>7.384408744560063E-12</c:v>
                </c:pt>
                <c:pt idx="108">
                  <c:v>7.384408744560063E-12</c:v>
                </c:pt>
                <c:pt idx="109">
                  <c:v>7.384408744560063E-12</c:v>
                </c:pt>
                <c:pt idx="110">
                  <c:v>7.384408744560063E-12</c:v>
                </c:pt>
                <c:pt idx="111">
                  <c:v>7.384408744560063E-12</c:v>
                </c:pt>
                <c:pt idx="112">
                  <c:v>7.384408744560063E-12</c:v>
                </c:pt>
                <c:pt idx="113">
                  <c:v>7.384408744560063E-12</c:v>
                </c:pt>
                <c:pt idx="114">
                  <c:v>7.384408744560063E-12</c:v>
                </c:pt>
                <c:pt idx="115">
                  <c:v>7.384408744560063E-12</c:v>
                </c:pt>
                <c:pt idx="116">
                  <c:v>7.384408744560063E-12</c:v>
                </c:pt>
                <c:pt idx="117">
                  <c:v>7.384408744560063E-12</c:v>
                </c:pt>
                <c:pt idx="118">
                  <c:v>7.384408744560063E-12</c:v>
                </c:pt>
                <c:pt idx="119">
                  <c:v>7.384408744560063E-12</c:v>
                </c:pt>
                <c:pt idx="120">
                  <c:v>7.384408744560063E-12</c:v>
                </c:pt>
                <c:pt idx="121">
                  <c:v>7.384408744560063E-12</c:v>
                </c:pt>
                <c:pt idx="122">
                  <c:v>7.384408744560063E-12</c:v>
                </c:pt>
                <c:pt idx="123">
                  <c:v>7.384408744560063E-12</c:v>
                </c:pt>
                <c:pt idx="124">
                  <c:v>7.384408744560063E-12</c:v>
                </c:pt>
                <c:pt idx="125">
                  <c:v>7.384408744560063E-12</c:v>
                </c:pt>
                <c:pt idx="126">
                  <c:v>7.384408744560063E-12</c:v>
                </c:pt>
                <c:pt idx="127">
                  <c:v>7.384408744560063E-12</c:v>
                </c:pt>
                <c:pt idx="128">
                  <c:v>7.384408744560063E-12</c:v>
                </c:pt>
                <c:pt idx="129">
                  <c:v>7.384408744560063E-12</c:v>
                </c:pt>
                <c:pt idx="130">
                  <c:v>7.384408744560063E-12</c:v>
                </c:pt>
                <c:pt idx="131">
                  <c:v>7.384408744560063E-12</c:v>
                </c:pt>
                <c:pt idx="132">
                  <c:v>7.384408744560063E-12</c:v>
                </c:pt>
                <c:pt idx="133">
                  <c:v>7.384408744560063E-12</c:v>
                </c:pt>
                <c:pt idx="134">
                  <c:v>7.384408744560063E-12</c:v>
                </c:pt>
                <c:pt idx="135">
                  <c:v>7.384408744560063E-12</c:v>
                </c:pt>
                <c:pt idx="136">
                  <c:v>7.384408744560063E-12</c:v>
                </c:pt>
                <c:pt idx="137">
                  <c:v>7.384408744560063E-12</c:v>
                </c:pt>
                <c:pt idx="138">
                  <c:v>7.384408744560063E-12</c:v>
                </c:pt>
                <c:pt idx="139">
                  <c:v>7.384408744560063E-12</c:v>
                </c:pt>
                <c:pt idx="140">
                  <c:v>7.384408744560063E-12</c:v>
                </c:pt>
                <c:pt idx="141">
                  <c:v>7.384408744560063E-12</c:v>
                </c:pt>
                <c:pt idx="142">
                  <c:v>7.384408744560063E-12</c:v>
                </c:pt>
                <c:pt idx="143">
                  <c:v>7.384408744560063E-12</c:v>
                </c:pt>
                <c:pt idx="144">
                  <c:v>7.384408744560063E-12</c:v>
                </c:pt>
                <c:pt idx="145">
                  <c:v>7.384408744560063E-12</c:v>
                </c:pt>
                <c:pt idx="146">
                  <c:v>7.384408744560063E-12</c:v>
                </c:pt>
                <c:pt idx="147">
                  <c:v>7.384408744560063E-12</c:v>
                </c:pt>
                <c:pt idx="148">
                  <c:v>7.384408744560063E-12</c:v>
                </c:pt>
                <c:pt idx="149">
                  <c:v>7.384408744560063E-12</c:v>
                </c:pt>
                <c:pt idx="150">
                  <c:v>7.384408744560063E-12</c:v>
                </c:pt>
                <c:pt idx="151">
                  <c:v>7.384408744560063E-12</c:v>
                </c:pt>
                <c:pt idx="152">
                  <c:v>7.384408744560063E-12</c:v>
                </c:pt>
                <c:pt idx="153">
                  <c:v>7.384408744560063E-12</c:v>
                </c:pt>
                <c:pt idx="154">
                  <c:v>7.384408744560063E-12</c:v>
                </c:pt>
                <c:pt idx="155">
                  <c:v>7.384408744560063E-12</c:v>
                </c:pt>
                <c:pt idx="156">
                  <c:v>7.384408744560063E-12</c:v>
                </c:pt>
                <c:pt idx="157">
                  <c:v>7.384408744560063E-12</c:v>
                </c:pt>
                <c:pt idx="158">
                  <c:v>7.384408744560063E-12</c:v>
                </c:pt>
                <c:pt idx="159">
                  <c:v>7.384408744560063E-12</c:v>
                </c:pt>
                <c:pt idx="160">
                  <c:v>7.384408744560063E-12</c:v>
                </c:pt>
                <c:pt idx="161">
                  <c:v>7.384408744560063E-12</c:v>
                </c:pt>
                <c:pt idx="162">
                  <c:v>7.384408744560063E-12</c:v>
                </c:pt>
                <c:pt idx="163">
                  <c:v>7.384408744560063E-12</c:v>
                </c:pt>
                <c:pt idx="164">
                  <c:v>7.384408744560063E-12</c:v>
                </c:pt>
                <c:pt idx="165">
                  <c:v>7.384408744560063E-12</c:v>
                </c:pt>
                <c:pt idx="166">
                  <c:v>7.384408744560063E-12</c:v>
                </c:pt>
                <c:pt idx="167">
                  <c:v>7.384408744560063E-12</c:v>
                </c:pt>
                <c:pt idx="168">
                  <c:v>7.384408744560063E-12</c:v>
                </c:pt>
                <c:pt idx="169">
                  <c:v>7.384408744560063E-12</c:v>
                </c:pt>
                <c:pt idx="170">
                  <c:v>7.384408744560063E-12</c:v>
                </c:pt>
                <c:pt idx="171">
                  <c:v>7.384408744560063E-12</c:v>
                </c:pt>
                <c:pt idx="172">
                  <c:v>7.384408744560063E-12</c:v>
                </c:pt>
                <c:pt idx="173">
                  <c:v>7.384408744560063E-12</c:v>
                </c:pt>
                <c:pt idx="174">
                  <c:v>7.384408744560063E-12</c:v>
                </c:pt>
                <c:pt idx="175">
                  <c:v>7.384408744560063E-12</c:v>
                </c:pt>
                <c:pt idx="176">
                  <c:v>7.384408744560063E-12</c:v>
                </c:pt>
                <c:pt idx="177">
                  <c:v>7.384408744560063E-12</c:v>
                </c:pt>
                <c:pt idx="178">
                  <c:v>7.384408744560063E-12</c:v>
                </c:pt>
                <c:pt idx="179">
                  <c:v>7.384408744560063E-12</c:v>
                </c:pt>
                <c:pt idx="180">
                  <c:v>7.384408744560063E-12</c:v>
                </c:pt>
                <c:pt idx="181">
                  <c:v>7.384408744560063E-12</c:v>
                </c:pt>
                <c:pt idx="182">
                  <c:v>7.384408744560063E-12</c:v>
                </c:pt>
                <c:pt idx="183">
                  <c:v>7.384408744560063E-12</c:v>
                </c:pt>
                <c:pt idx="184">
                  <c:v>7.384408744560063E-12</c:v>
                </c:pt>
                <c:pt idx="185">
                  <c:v>7.384408744560063E-12</c:v>
                </c:pt>
                <c:pt idx="186">
                  <c:v>7.384408744560063E-12</c:v>
                </c:pt>
                <c:pt idx="187">
                  <c:v>7.384408744560063E-12</c:v>
                </c:pt>
                <c:pt idx="188">
                  <c:v>7.384408744560063E-12</c:v>
                </c:pt>
                <c:pt idx="189">
                  <c:v>7.384408744560063E-12</c:v>
                </c:pt>
                <c:pt idx="190">
                  <c:v>7.384408744560063E-12</c:v>
                </c:pt>
                <c:pt idx="191">
                  <c:v>7.384408744560063E-12</c:v>
                </c:pt>
                <c:pt idx="192">
                  <c:v>7.384408744560063E-12</c:v>
                </c:pt>
                <c:pt idx="193">
                  <c:v>7.384408744560063E-12</c:v>
                </c:pt>
                <c:pt idx="194">
                  <c:v>7.384408744560063E-12</c:v>
                </c:pt>
                <c:pt idx="195">
                  <c:v>7.384408744560063E-12</c:v>
                </c:pt>
                <c:pt idx="196">
                  <c:v>7.384408744560063E-12</c:v>
                </c:pt>
                <c:pt idx="197">
                  <c:v>7.384408744560063E-12</c:v>
                </c:pt>
                <c:pt idx="198">
                  <c:v>7.384408744560063E-12</c:v>
                </c:pt>
                <c:pt idx="199">
                  <c:v>7.384408744560063E-12</c:v>
                </c:pt>
                <c:pt idx="200">
                  <c:v>7.384408744560063E-12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0435712"/>
        <c:axId val="-700434080"/>
      </c:scatterChart>
      <c:valAx>
        <c:axId val="-700435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4080"/>
        <c:crosses val="autoZero"/>
        <c:crossBetween val="midCat"/>
      </c:valAx>
      <c:valAx>
        <c:axId val="-70043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0433536"/>
        <c:axId val="-700432992"/>
      </c:scatterChart>
      <c:valAx>
        <c:axId val="-700433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2992"/>
        <c:crosses val="autoZero"/>
        <c:crossBetween val="midCat"/>
      </c:valAx>
      <c:valAx>
        <c:axId val="-70043299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00433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8.2799999999999994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25</v>
      </c>
      <c r="C9" s="35">
        <v>0.25</v>
      </c>
      <c r="D9" s="36">
        <f t="shared" ref="D9:D18" si="0">C9*$C$5</f>
        <v>2.0699999999999998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23</v>
      </c>
      <c r="C10" s="35">
        <v>0.2</v>
      </c>
      <c r="D10" s="36">
        <f t="shared" si="0"/>
        <v>1.6559999999999999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22</v>
      </c>
      <c r="C11" s="35">
        <v>0.1</v>
      </c>
      <c r="D11" s="36">
        <f t="shared" si="0"/>
        <v>0.82799999999999996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0.1</v>
      </c>
      <c r="D12" s="36">
        <f t="shared" si="0"/>
        <v>0.82799999999999996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29</v>
      </c>
      <c r="C13" s="35">
        <v>0.1</v>
      </c>
      <c r="D13" s="36">
        <f t="shared" si="0"/>
        <v>0.82799999999999996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6</v>
      </c>
      <c r="C14" s="35">
        <v>0.1</v>
      </c>
      <c r="D14" s="36">
        <f t="shared" si="0"/>
        <v>0.82799999999999996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</v>
      </c>
      <c r="C15" s="35">
        <v>0.05</v>
      </c>
      <c r="D15" s="36">
        <f t="shared" si="0"/>
        <v>0.41399999999999998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21</v>
      </c>
      <c r="C16" s="35">
        <v>0.05</v>
      </c>
      <c r="D16" s="36">
        <f t="shared" si="0"/>
        <v>0.41399999999999998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50</v>
      </c>
      <c r="C17" s="35">
        <v>0.03</v>
      </c>
      <c r="D17" s="36">
        <f t="shared" si="0"/>
        <v>0.24839999999999998</v>
      </c>
      <c r="E17" s="37">
        <v>110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0.98000000000000009</v>
      </c>
      <c r="D19" s="41">
        <f>SUM(D9:D18)</f>
        <v>8.1143999999999998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Hêtre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32</v>
      </c>
      <c r="C36" s="53"/>
      <c r="D36" s="61"/>
      <c r="E36" s="54"/>
      <c r="F36" s="54"/>
      <c r="G36" s="54"/>
      <c r="H36" s="54"/>
      <c r="I36" s="52">
        <f>IFERROR(B36/A36,"")</f>
        <v>1.6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76+7</f>
        <v>83</v>
      </c>
      <c r="C37" s="53"/>
      <c r="D37" s="61"/>
      <c r="E37" s="54"/>
      <c r="F37" s="54"/>
      <c r="G37" s="54"/>
      <c r="H37" s="54"/>
      <c r="I37" s="56">
        <f t="shared" ref="I37:I55" si="1">IF(A37&lt;&gt;0,(B37-(B36-D36))/(A37-A36),"")</f>
        <v>10.199999999999999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116+7+28</f>
        <v>151</v>
      </c>
      <c r="C38" s="53">
        <v>1</v>
      </c>
      <c r="D38" s="61">
        <f>7+28</f>
        <v>35</v>
      </c>
      <c r="E38" s="54"/>
      <c r="F38" s="54"/>
      <c r="G38" s="54"/>
      <c r="H38" s="54">
        <v>1</v>
      </c>
      <c r="I38" s="56">
        <f t="shared" si="1"/>
        <v>13.6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139+28</f>
        <v>167</v>
      </c>
      <c r="C39" s="53"/>
      <c r="D39" s="61"/>
      <c r="E39" s="54"/>
      <c r="F39" s="54"/>
      <c r="G39" s="54"/>
      <c r="H39" s="54"/>
      <c r="I39" s="52">
        <f t="shared" si="1"/>
        <v>10.199999999999999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164+28+28</f>
        <v>220</v>
      </c>
      <c r="C40" s="53">
        <v>2</v>
      </c>
      <c r="D40" s="61">
        <f>28+28</f>
        <v>56</v>
      </c>
      <c r="E40" s="54"/>
      <c r="F40" s="54"/>
      <c r="G40" s="54"/>
      <c r="H40" s="54"/>
      <c r="I40" s="52">
        <f t="shared" si="1"/>
        <v>10.6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190+28</f>
        <v>218</v>
      </c>
      <c r="C41" s="53"/>
      <c r="D41" s="61"/>
      <c r="E41" s="54"/>
      <c r="F41" s="54"/>
      <c r="G41" s="54"/>
      <c r="H41" s="54"/>
      <c r="I41" s="56">
        <f t="shared" si="1"/>
        <v>10.8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217+28+28</f>
        <v>273</v>
      </c>
      <c r="C42" s="53">
        <v>3</v>
      </c>
      <c r="D42" s="61">
        <f>28+28</f>
        <v>56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f>244+28</f>
        <v>272</v>
      </c>
      <c r="C43" s="53"/>
      <c r="D43" s="61"/>
      <c r="E43" s="54"/>
      <c r="F43" s="54"/>
      <c r="G43" s="54"/>
      <c r="H43" s="54"/>
      <c r="I43" s="52">
        <f t="shared" si="1"/>
        <v>11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61">
        <f>270+28+28</f>
        <v>326</v>
      </c>
      <c r="C44" s="53">
        <v>4</v>
      </c>
      <c r="D44" s="61">
        <f>28+28</f>
        <v>56</v>
      </c>
      <c r="E44" s="54"/>
      <c r="F44" s="54"/>
      <c r="G44" s="54"/>
      <c r="H44" s="54"/>
      <c r="I44" s="52">
        <f t="shared" si="1"/>
        <v>10.8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61">
        <f>294+28</f>
        <v>322</v>
      </c>
      <c r="C45" s="53"/>
      <c r="D45" s="61"/>
      <c r="E45" s="54"/>
      <c r="F45" s="54"/>
      <c r="G45" s="54"/>
      <c r="H45" s="54"/>
      <c r="I45" s="52">
        <f t="shared" si="1"/>
        <v>10.4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61">
        <f>316+28+28</f>
        <v>372</v>
      </c>
      <c r="C46" s="53">
        <v>5</v>
      </c>
      <c r="D46" s="61">
        <f>28+28</f>
        <v>56</v>
      </c>
      <c r="E46" s="54"/>
      <c r="F46" s="54"/>
      <c r="G46" s="54"/>
      <c r="H46" s="54"/>
      <c r="I46" s="52">
        <f t="shared" si="1"/>
        <v>10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61">
        <f>335+28</f>
        <v>363</v>
      </c>
      <c r="C47" s="53"/>
      <c r="D47" s="61"/>
      <c r="E47" s="54"/>
      <c r="F47" s="54"/>
      <c r="G47" s="54"/>
      <c r="H47" s="54"/>
      <c r="I47" s="52">
        <f t="shared" si="1"/>
        <v>9.4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61">
        <f>351+28+28</f>
        <v>407</v>
      </c>
      <c r="C48" s="53">
        <v>6</v>
      </c>
      <c r="D48" s="61">
        <f>28+28</f>
        <v>56</v>
      </c>
      <c r="E48" s="57"/>
      <c r="F48" s="57"/>
      <c r="G48" s="57"/>
      <c r="H48" s="57"/>
      <c r="I48" s="52">
        <f t="shared" si="1"/>
        <v>8.8000000000000007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61">
        <v>90</v>
      </c>
      <c r="B49" s="61">
        <f>377+27+26</f>
        <v>430</v>
      </c>
      <c r="C49" s="61">
        <v>7</v>
      </c>
      <c r="D49" s="61">
        <f>27+26</f>
        <v>53</v>
      </c>
      <c r="E49" s="54"/>
      <c r="F49" s="54"/>
      <c r="G49" s="54"/>
      <c r="H49" s="54"/>
      <c r="I49" s="52">
        <f t="shared" si="1"/>
        <v>7.9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61">
        <v>100</v>
      </c>
      <c r="B50" s="53">
        <f>400+25+24</f>
        <v>449</v>
      </c>
      <c r="C50" s="61">
        <v>8</v>
      </c>
      <c r="D50" s="53">
        <f>25+24</f>
        <v>49</v>
      </c>
      <c r="E50" s="57"/>
      <c r="F50" s="57"/>
      <c r="G50" s="57"/>
      <c r="H50" s="57"/>
      <c r="I50" s="52">
        <f t="shared" si="1"/>
        <v>7.2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>
        <v>110</v>
      </c>
      <c r="B51" s="53">
        <f>418+23+22</f>
        <v>463</v>
      </c>
      <c r="C51" s="53">
        <v>9</v>
      </c>
      <c r="D51" s="53">
        <f>23+22</f>
        <v>45</v>
      </c>
      <c r="E51" s="54"/>
      <c r="F51" s="54"/>
      <c r="G51" s="54"/>
      <c r="H51" s="54"/>
      <c r="I51" s="52">
        <f t="shared" si="1"/>
        <v>6.3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>
        <v>120</v>
      </c>
      <c r="B52" s="53">
        <f>432+22+21</f>
        <v>475</v>
      </c>
      <c r="C52" s="53">
        <v>10</v>
      </c>
      <c r="D52" s="53">
        <f>22+21</f>
        <v>43</v>
      </c>
      <c r="E52" s="54"/>
      <c r="F52" s="54"/>
      <c r="G52" s="54"/>
      <c r="H52" s="54"/>
      <c r="I52" s="52">
        <f t="shared" si="1"/>
        <v>5.7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>
        <v>130</v>
      </c>
      <c r="B53" s="53">
        <f>440+21+20</f>
        <v>481</v>
      </c>
      <c r="C53" s="53">
        <v>11</v>
      </c>
      <c r="D53" s="53">
        <f>21+20</f>
        <v>41</v>
      </c>
      <c r="E53" s="54"/>
      <c r="F53" s="54"/>
      <c r="G53" s="54"/>
      <c r="H53" s="54"/>
      <c r="I53" s="52">
        <f t="shared" si="1"/>
        <v>4.9000000000000004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>
        <v>140</v>
      </c>
      <c r="B54" s="53">
        <f>446+20+19</f>
        <v>485</v>
      </c>
      <c r="C54" s="53">
        <v>12</v>
      </c>
      <c r="D54" s="53">
        <f>20+19</f>
        <v>39</v>
      </c>
      <c r="E54" s="54"/>
      <c r="F54" s="54"/>
      <c r="G54" s="54"/>
      <c r="H54" s="54"/>
      <c r="I54" s="52">
        <f t="shared" si="1"/>
        <v>4.5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>
        <v>150</v>
      </c>
      <c r="B55" s="53">
        <f>448+19+19</f>
        <v>486</v>
      </c>
      <c r="C55" s="53">
        <v>13</v>
      </c>
      <c r="D55" s="53">
        <f>B55</f>
        <v>486</v>
      </c>
      <c r="E55" s="54"/>
      <c r="F55" s="54"/>
      <c r="G55" s="54"/>
      <c r="H55" s="54"/>
      <c r="I55" s="52">
        <f t="shared" si="1"/>
        <v>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sycomore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1">
        <f>22.3+15.1</f>
        <v>37.4</v>
      </c>
      <c r="C62" s="61"/>
      <c r="D62" s="61"/>
      <c r="E62" s="54"/>
      <c r="F62" s="54"/>
      <c r="G62" s="54"/>
      <c r="H62" s="54"/>
      <c r="I62" s="56">
        <f>IFERROR(B62/A62,"")</f>
        <v>2.4933333333333332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1">
        <f>52+15.1+28</f>
        <v>95.1</v>
      </c>
      <c r="C63" s="61">
        <v>1</v>
      </c>
      <c r="D63" s="61">
        <f>15.1+28</f>
        <v>43.1</v>
      </c>
      <c r="E63" s="54"/>
      <c r="F63" s="54"/>
      <c r="G63" s="54"/>
      <c r="H63" s="54">
        <v>1</v>
      </c>
      <c r="I63" s="52">
        <f>IF(A63&lt;&gt;0,(B63-(B62-D62))/(A63-A62),"")</f>
        <v>11.54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1">
        <f>86.5+28</f>
        <v>114.5</v>
      </c>
      <c r="C64" s="61"/>
      <c r="D64" s="61"/>
      <c r="E64" s="54"/>
      <c r="F64" s="54"/>
      <c r="G64" s="54"/>
      <c r="H64" s="54"/>
      <c r="I64" s="52">
        <f>IF(A64&lt;&gt;0,(B64-(B63-D63))/(A64-A63),"")</f>
        <v>12.500000000000002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f>118.5+28+28</f>
        <v>174.5</v>
      </c>
      <c r="C65" s="61">
        <v>2</v>
      </c>
      <c r="D65" s="61">
        <f>28+28</f>
        <v>56</v>
      </c>
      <c r="E65" s="54"/>
      <c r="F65" s="54"/>
      <c r="G65" s="54"/>
      <c r="H65" s="54">
        <v>1</v>
      </c>
      <c r="I65" s="52">
        <f>IF(A65&lt;&gt;0,(B65-(B64-D64))/(A65-A64),"")</f>
        <v>12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1">
        <f>144.4+28</f>
        <v>172.4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10.780000000000001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1">
        <f>163.6+28+28</f>
        <v>219.6</v>
      </c>
      <c r="C67" s="61">
        <v>3</v>
      </c>
      <c r="D67" s="61">
        <f>28+28</f>
        <v>56</v>
      </c>
      <c r="E67" s="54"/>
      <c r="F67" s="54"/>
      <c r="G67" s="54"/>
      <c r="H67" s="54"/>
      <c r="I67" s="52">
        <f t="shared" si="2"/>
        <v>9.4399999999999977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61">
        <v>45</v>
      </c>
      <c r="B68" s="61">
        <f>182.8+21.8</f>
        <v>204.60000000000002</v>
      </c>
      <c r="C68" s="61"/>
      <c r="D68" s="61"/>
      <c r="E68" s="54"/>
      <c r="F68" s="54"/>
      <c r="G68" s="54"/>
      <c r="H68" s="54"/>
      <c r="I68" s="52">
        <f t="shared" si="2"/>
        <v>8.2000000000000064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1">
        <v>50</v>
      </c>
      <c r="B69" s="61">
        <f>201.9+21.8+16.5</f>
        <v>240.20000000000002</v>
      </c>
      <c r="C69" s="61">
        <v>4</v>
      </c>
      <c r="D69" s="61">
        <f>21.8+16.5</f>
        <v>38.299999999999997</v>
      </c>
      <c r="E69" s="54"/>
      <c r="F69" s="54"/>
      <c r="G69" s="54"/>
      <c r="H69" s="54"/>
      <c r="I69" s="52">
        <f t="shared" si="2"/>
        <v>7.1199999999999992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1">
        <v>55</v>
      </c>
      <c r="B70" s="61">
        <f>219.1+13.4</f>
        <v>232.5</v>
      </c>
      <c r="C70" s="61"/>
      <c r="D70" s="61"/>
      <c r="E70" s="54"/>
      <c r="F70" s="54"/>
      <c r="G70" s="54"/>
      <c r="H70" s="54"/>
      <c r="I70" s="52">
        <f t="shared" si="2"/>
        <v>6.119999999999993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1">
        <v>60</v>
      </c>
      <c r="B71" s="61">
        <f>233.1+13.4+11.8</f>
        <v>258.3</v>
      </c>
      <c r="C71" s="61">
        <v>5</v>
      </c>
      <c r="D71" s="61">
        <f>13.4+11.8</f>
        <v>25.200000000000003</v>
      </c>
      <c r="E71" s="54"/>
      <c r="F71" s="54"/>
      <c r="G71" s="54"/>
      <c r="H71" s="54"/>
      <c r="I71" s="52">
        <f t="shared" si="2"/>
        <v>5.1600000000000019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61">
        <v>65</v>
      </c>
      <c r="B72" s="61">
        <f>243.9+10.9</f>
        <v>254.8</v>
      </c>
      <c r="C72" s="61"/>
      <c r="D72" s="61"/>
      <c r="E72" s="54"/>
      <c r="F72" s="54"/>
      <c r="G72" s="54"/>
      <c r="H72" s="54"/>
      <c r="I72" s="52">
        <f t="shared" si="2"/>
        <v>4.3399999999999981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1">
        <v>70</v>
      </c>
      <c r="B73" s="61">
        <f>252.7+10.9+10</f>
        <v>273.59999999999997</v>
      </c>
      <c r="C73" s="61">
        <v>6</v>
      </c>
      <c r="D73" s="61">
        <f>10.9+10</f>
        <v>20.9</v>
      </c>
      <c r="E73" s="54"/>
      <c r="F73" s="54"/>
      <c r="G73" s="54"/>
      <c r="H73" s="54"/>
      <c r="I73" s="52">
        <f t="shared" si="2"/>
        <v>3.7599999999999909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61">
        <v>75</v>
      </c>
      <c r="B74" s="61">
        <f>260.6+9.1</f>
        <v>269.70000000000005</v>
      </c>
      <c r="C74" s="61"/>
      <c r="D74" s="61"/>
      <c r="E74" s="54"/>
      <c r="F74" s="54"/>
      <c r="G74" s="54"/>
      <c r="H74" s="54"/>
      <c r="I74" s="52">
        <f t="shared" si="2"/>
        <v>3.4000000000000172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61">
        <v>80</v>
      </c>
      <c r="B75" s="61">
        <f>267.3+9.1+8.2</f>
        <v>284.60000000000002</v>
      </c>
      <c r="C75" s="61">
        <v>7</v>
      </c>
      <c r="D75" s="61">
        <f>B75</f>
        <v>284.60000000000002</v>
      </c>
      <c r="E75" s="54"/>
      <c r="F75" s="54"/>
      <c r="G75" s="54"/>
      <c r="H75" s="54"/>
      <c r="I75" s="52">
        <f t="shared" si="2"/>
        <v>2.9799999999999955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plane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f>22.3+15.1</f>
        <v>37.4</v>
      </c>
      <c r="C88" s="61"/>
      <c r="D88" s="61"/>
      <c r="E88" s="54"/>
      <c r="F88" s="54"/>
      <c r="G88" s="54"/>
      <c r="H88" s="54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52+15.1+28</f>
        <v>95.1</v>
      </c>
      <c r="C89" s="61">
        <v>1</v>
      </c>
      <c r="D89" s="61">
        <f>15.1+28</f>
        <v>43.1</v>
      </c>
      <c r="E89" s="54"/>
      <c r="F89" s="54"/>
      <c r="G89" s="54"/>
      <c r="H89" s="54">
        <v>1</v>
      </c>
      <c r="I89" s="56">
        <f t="shared" ref="I89:I107" si="3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f>86.5+28</f>
        <v>114.5</v>
      </c>
      <c r="C90" s="61"/>
      <c r="D90" s="61"/>
      <c r="E90" s="54"/>
      <c r="F90" s="54"/>
      <c r="G90" s="54"/>
      <c r="H90" s="54"/>
      <c r="I90" s="56">
        <f t="shared" si="3"/>
        <v>12.500000000000002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f>118.5+28+28</f>
        <v>174.5</v>
      </c>
      <c r="C91" s="61">
        <v>2</v>
      </c>
      <c r="D91" s="61">
        <f>28+28</f>
        <v>56</v>
      </c>
      <c r="E91" s="54"/>
      <c r="F91" s="54"/>
      <c r="G91" s="54"/>
      <c r="H91" s="54">
        <v>1</v>
      </c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f>144.4+28</f>
        <v>172.4</v>
      </c>
      <c r="C92" s="61"/>
      <c r="D92" s="61"/>
      <c r="E92" s="54"/>
      <c r="F92" s="54"/>
      <c r="G92" s="54"/>
      <c r="H92" s="54"/>
      <c r="I92" s="56">
        <f t="shared" si="3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f>163.6+28+28</f>
        <v>219.6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3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1">
        <v>45</v>
      </c>
      <c r="B94" s="61">
        <f>182.8+21.8</f>
        <v>204.60000000000002</v>
      </c>
      <c r="C94" s="61"/>
      <c r="D94" s="61"/>
      <c r="E94" s="54"/>
      <c r="F94" s="54"/>
      <c r="G94" s="54"/>
      <c r="H94" s="54"/>
      <c r="I94" s="56">
        <f t="shared" si="3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50</v>
      </c>
      <c r="B95" s="61">
        <f>201.9+21.8+16.5</f>
        <v>240.20000000000002</v>
      </c>
      <c r="C95" s="61">
        <v>4</v>
      </c>
      <c r="D95" s="61">
        <f>21.8+16.5</f>
        <v>38.299999999999997</v>
      </c>
      <c r="E95" s="54"/>
      <c r="F95" s="54"/>
      <c r="G95" s="54"/>
      <c r="H95" s="54"/>
      <c r="I95" s="56">
        <f t="shared" si="3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55</v>
      </c>
      <c r="B96" s="61">
        <f>219.1+13.4</f>
        <v>232.5</v>
      </c>
      <c r="C96" s="61"/>
      <c r="D96" s="61"/>
      <c r="E96" s="54"/>
      <c r="F96" s="54"/>
      <c r="G96" s="54"/>
      <c r="H96" s="54"/>
      <c r="I96" s="56">
        <f t="shared" si="3"/>
        <v>6.119999999999993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60</v>
      </c>
      <c r="B97" s="61">
        <f>233.1+13.4+11.8</f>
        <v>258.3</v>
      </c>
      <c r="C97" s="61">
        <v>5</v>
      </c>
      <c r="D97" s="61">
        <f>13.4+11.8</f>
        <v>25.200000000000003</v>
      </c>
      <c r="E97" s="54"/>
      <c r="F97" s="54"/>
      <c r="G97" s="54"/>
      <c r="H97" s="54"/>
      <c r="I97" s="56">
        <f t="shared" si="3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65</v>
      </c>
      <c r="B98" s="61">
        <f>243.9+10.9</f>
        <v>254.8</v>
      </c>
      <c r="C98" s="61"/>
      <c r="D98" s="61"/>
      <c r="E98" s="54"/>
      <c r="F98" s="54"/>
      <c r="G98" s="54"/>
      <c r="H98" s="54"/>
      <c r="I98" s="56">
        <f t="shared" si="3"/>
        <v>4.3399999999999981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70</v>
      </c>
      <c r="B99" s="61">
        <f>252.7+10.9+10</f>
        <v>273.59999999999997</v>
      </c>
      <c r="C99" s="61">
        <v>6</v>
      </c>
      <c r="D99" s="61">
        <f>10.9+10</f>
        <v>20.9</v>
      </c>
      <c r="E99" s="54"/>
      <c r="F99" s="54"/>
      <c r="G99" s="54"/>
      <c r="H99" s="54"/>
      <c r="I99" s="56">
        <f t="shared" si="3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>
        <v>75</v>
      </c>
      <c r="B100" s="61">
        <f>260.6+9.1</f>
        <v>269.70000000000005</v>
      </c>
      <c r="C100" s="61"/>
      <c r="D100" s="61"/>
      <c r="E100" s="54"/>
      <c r="F100" s="54"/>
      <c r="G100" s="54"/>
      <c r="H100" s="54"/>
      <c r="I100" s="56">
        <f t="shared" si="3"/>
        <v>3.4000000000000172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>
        <v>80</v>
      </c>
      <c r="B101" s="61">
        <f>267.3+9.1+8.2</f>
        <v>284.60000000000002</v>
      </c>
      <c r="C101" s="61">
        <v>7</v>
      </c>
      <c r="D101" s="61">
        <f>B101</f>
        <v>284.60000000000002</v>
      </c>
      <c r="E101" s="54"/>
      <c r="F101" s="54"/>
      <c r="G101" s="54"/>
      <c r="H101" s="54"/>
      <c r="I101" s="56">
        <f t="shared" si="3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f>62+8</f>
        <v>70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76+8+21</f>
        <v>105</v>
      </c>
      <c r="C116" s="61">
        <v>1</v>
      </c>
      <c r="D116" s="61">
        <f>8+21</f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f>95+21</f>
        <v>116</v>
      </c>
      <c r="C117" s="61"/>
      <c r="D117" s="61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f>116+21+21</f>
        <v>158</v>
      </c>
      <c r="C118" s="61">
        <v>2</v>
      </c>
      <c r="D118" s="61">
        <f>21+21</f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f>137+21</f>
        <v>158</v>
      </c>
      <c r="C119" s="61"/>
      <c r="D119" s="61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f>157+21+21</f>
        <v>199</v>
      </c>
      <c r="C120" s="61">
        <v>3</v>
      </c>
      <c r="D120" s="61">
        <f>21+21</f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1">
        <f>176+21</f>
        <v>197</v>
      </c>
      <c r="C121" s="61"/>
      <c r="D121" s="61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Merisier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1">
        <v>40</v>
      </c>
      <c r="C140" s="53"/>
      <c r="D140" s="61"/>
      <c r="E140" s="64"/>
      <c r="F140" s="64"/>
      <c r="G140" s="64"/>
      <c r="H140" s="64"/>
      <c r="I140" s="59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1">
        <f>85+3</f>
        <v>88</v>
      </c>
      <c r="C141" s="53"/>
      <c r="D141" s="61"/>
      <c r="E141" s="64"/>
      <c r="F141" s="64"/>
      <c r="G141" s="64"/>
      <c r="H141" s="64"/>
      <c r="I141" s="59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1">
        <f>113+3+25</f>
        <v>141</v>
      </c>
      <c r="C142" s="53">
        <v>1</v>
      </c>
      <c r="D142" s="61">
        <f>3+25+27</f>
        <v>55</v>
      </c>
      <c r="E142" s="64"/>
      <c r="F142" s="64"/>
      <c r="G142" s="64"/>
      <c r="H142" s="64">
        <v>1</v>
      </c>
      <c r="I142" s="59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8">
        <v>31</v>
      </c>
      <c r="B143" s="58">
        <v>155</v>
      </c>
      <c r="C143" s="58">
        <v>2</v>
      </c>
      <c r="D143" s="58">
        <v>36</v>
      </c>
      <c r="E143" s="64"/>
      <c r="F143" s="64"/>
      <c r="G143" s="64"/>
      <c r="H143" s="64"/>
      <c r="I143" s="59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8">
        <v>37</v>
      </c>
      <c r="B144" s="58">
        <v>188</v>
      </c>
      <c r="C144" s="58">
        <v>3</v>
      </c>
      <c r="D144" s="58">
        <v>36</v>
      </c>
      <c r="E144" s="64"/>
      <c r="F144" s="64"/>
      <c r="G144" s="64"/>
      <c r="H144" s="64"/>
      <c r="I144" s="59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8">
        <v>44</v>
      </c>
      <c r="B145" s="58">
        <v>230</v>
      </c>
      <c r="C145" s="58">
        <v>4</v>
      </c>
      <c r="D145" s="58">
        <v>43</v>
      </c>
      <c r="E145" s="64"/>
      <c r="F145" s="64"/>
      <c r="G145" s="64"/>
      <c r="H145" s="64"/>
      <c r="I145" s="59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8">
        <v>52</v>
      </c>
      <c r="B146" s="58">
        <v>270</v>
      </c>
      <c r="C146" s="58">
        <v>5</v>
      </c>
      <c r="D146" s="58">
        <v>48</v>
      </c>
      <c r="E146" s="64"/>
      <c r="F146" s="64"/>
      <c r="G146" s="64"/>
      <c r="H146" s="64"/>
      <c r="I146" s="59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8">
        <v>60</v>
      </c>
      <c r="B147" s="58">
        <v>297</v>
      </c>
      <c r="C147" s="58">
        <v>6</v>
      </c>
      <c r="D147" s="58">
        <v>47</v>
      </c>
      <c r="E147" s="64"/>
      <c r="F147" s="64"/>
      <c r="G147" s="64"/>
      <c r="H147" s="64"/>
      <c r="I147" s="59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8">
        <v>69</v>
      </c>
      <c r="B148" s="58">
        <v>328</v>
      </c>
      <c r="C148" s="58">
        <v>7</v>
      </c>
      <c r="D148" s="58">
        <v>328</v>
      </c>
      <c r="E148" s="64"/>
      <c r="F148" s="64"/>
      <c r="G148" s="64"/>
      <c r="H148" s="64"/>
      <c r="I148" s="59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53"/>
      <c r="C149" s="53"/>
      <c r="D149" s="53"/>
      <c r="E149" s="54"/>
      <c r="F149" s="54"/>
      <c r="G149" s="54"/>
      <c r="H149" s="5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53"/>
      <c r="C150" s="53"/>
      <c r="D150" s="53"/>
      <c r="E150" s="54"/>
      <c r="F150" s="54"/>
      <c r="G150" s="54"/>
      <c r="H150" s="5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53"/>
      <c r="C151" s="53"/>
      <c r="D151" s="53"/>
      <c r="E151" s="54"/>
      <c r="F151" s="54"/>
      <c r="G151" s="54"/>
      <c r="H151" s="5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53"/>
      <c r="C152" s="53"/>
      <c r="D152" s="53"/>
      <c r="E152" s="54"/>
      <c r="F152" s="54"/>
      <c r="G152" s="54"/>
      <c r="H152" s="54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53"/>
      <c r="C153" s="53"/>
      <c r="D153" s="53"/>
      <c r="E153" s="54"/>
      <c r="F153" s="54"/>
      <c r="G153" s="54"/>
      <c r="H153" s="54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/>
      <c r="B154" s="53"/>
      <c r="C154" s="53"/>
      <c r="D154" s="53"/>
      <c r="E154" s="54"/>
      <c r="F154" s="54"/>
      <c r="G154" s="54"/>
      <c r="H154" s="54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/>
      <c r="B155" s="53"/>
      <c r="C155" s="53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/>
      <c r="B156" s="53"/>
      <c r="C156" s="53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Charme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1">
        <f>57/1.56</f>
        <v>36.53846153846154</v>
      </c>
      <c r="C166" s="53"/>
      <c r="D166" s="61"/>
      <c r="E166" s="54"/>
      <c r="F166" s="54"/>
      <c r="G166" s="54"/>
      <c r="H166" s="54"/>
      <c r="I166" s="52">
        <f>IFERROR(B166/A166,"")</f>
        <v>2.4358974358974361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1">
        <f>(95+11)/1.56</f>
        <v>67.948717948717942</v>
      </c>
      <c r="C167" s="53">
        <v>1</v>
      </c>
      <c r="D167" s="61">
        <f>(11+15)/1.56</f>
        <v>16.666666666666668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6.2820512820512802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1">
        <f>131/1.56</f>
        <v>83.974358974358978</v>
      </c>
      <c r="C168" s="53"/>
      <c r="D168" s="61"/>
      <c r="E168" s="54"/>
      <c r="F168" s="54"/>
      <c r="G168" s="54"/>
      <c r="H168" s="54"/>
      <c r="I168" s="52">
        <f t="shared" si="6"/>
        <v>6.5384615384615419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1">
        <f>(163+19)/1.56</f>
        <v>116.66666666666666</v>
      </c>
      <c r="C169" s="53">
        <v>2</v>
      </c>
      <c r="D169" s="61">
        <f>(19+21)/1.56</f>
        <v>25.641025641025639</v>
      </c>
      <c r="E169" s="54"/>
      <c r="F169" s="54"/>
      <c r="G169" s="54"/>
      <c r="H169" s="54">
        <v>1</v>
      </c>
      <c r="I169" s="52">
        <f t="shared" si="6"/>
        <v>6.5384615384615357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1">
        <f>192/1.56</f>
        <v>123.07692307692307</v>
      </c>
      <c r="C170" s="53"/>
      <c r="D170" s="61"/>
      <c r="E170" s="54"/>
      <c r="F170" s="54"/>
      <c r="G170" s="54"/>
      <c r="H170" s="54"/>
      <c r="I170" s="52">
        <f t="shared" si="6"/>
        <v>6.4102564102564088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1">
        <f>(216+22)/1.56</f>
        <v>152.56410256410257</v>
      </c>
      <c r="C171" s="53">
        <v>3</v>
      </c>
      <c r="D171" s="61">
        <f>(22+23)/1.56</f>
        <v>28.846153846153847</v>
      </c>
      <c r="E171" s="54"/>
      <c r="F171" s="54"/>
      <c r="G171" s="54"/>
      <c r="H171" s="54"/>
      <c r="I171" s="52">
        <f t="shared" si="6"/>
        <v>5.8974358974359005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61">
        <v>45</v>
      </c>
      <c r="B172" s="61">
        <f>238/1.56</f>
        <v>152.56410256410257</v>
      </c>
      <c r="C172" s="61"/>
      <c r="D172" s="61"/>
      <c r="E172" s="91"/>
      <c r="F172" s="91"/>
      <c r="G172" s="91"/>
      <c r="H172" s="91"/>
      <c r="I172" s="52">
        <f t="shared" si="6"/>
        <v>5.7692307692307683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61">
        <v>50</v>
      </c>
      <c r="B173" s="61">
        <f>(257+24)/1.56</f>
        <v>180.12820512820511</v>
      </c>
      <c r="C173" s="61">
        <v>4</v>
      </c>
      <c r="D173" s="61">
        <f>(24+24)/1.56</f>
        <v>30.769230769230766</v>
      </c>
      <c r="E173" s="91"/>
      <c r="F173" s="91"/>
      <c r="G173" s="91"/>
      <c r="H173" s="91"/>
      <c r="I173" s="52">
        <f t="shared" si="6"/>
        <v>5.5128205128205083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61">
        <v>55</v>
      </c>
      <c r="B174" s="61">
        <f>274/1.56</f>
        <v>175.64102564102564</v>
      </c>
      <c r="C174" s="61"/>
      <c r="D174" s="61"/>
      <c r="E174" s="91"/>
      <c r="F174" s="91"/>
      <c r="G174" s="91"/>
      <c r="H174" s="91"/>
      <c r="I174" s="52">
        <f t="shared" si="6"/>
        <v>5.2564102564102599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61">
        <v>60</v>
      </c>
      <c r="B175" s="61">
        <f>(289+23)/1.56</f>
        <v>200</v>
      </c>
      <c r="C175" s="61">
        <v>5</v>
      </c>
      <c r="D175" s="61">
        <f>(23+23)/1.56</f>
        <v>29.487179487179485</v>
      </c>
      <c r="E175" s="91"/>
      <c r="F175" s="91"/>
      <c r="G175" s="91"/>
      <c r="H175" s="91"/>
      <c r="I175" s="52">
        <f t="shared" si="6"/>
        <v>4.8717948717948731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61">
        <v>65</v>
      </c>
      <c r="B176" s="61">
        <f>302/1.56</f>
        <v>193.58974358974359</v>
      </c>
      <c r="C176" s="61"/>
      <c r="D176" s="61"/>
      <c r="E176" s="91"/>
      <c r="F176" s="91"/>
      <c r="G176" s="91"/>
      <c r="H176" s="91"/>
      <c r="I176" s="52">
        <f t="shared" si="6"/>
        <v>4.6153846153846132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61">
        <v>70</v>
      </c>
      <c r="B177" s="61">
        <f>(313+23)/1.56</f>
        <v>215.38461538461539</v>
      </c>
      <c r="C177" s="61">
        <v>6</v>
      </c>
      <c r="D177" s="61">
        <f>(23+22)/1.56</f>
        <v>28.846153846153847</v>
      </c>
      <c r="E177" s="91"/>
      <c r="F177" s="91"/>
      <c r="G177" s="91"/>
      <c r="H177" s="91"/>
      <c r="I177" s="52">
        <f t="shared" si="6"/>
        <v>4.3589743589743595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61">
        <v>75</v>
      </c>
      <c r="B178" s="61">
        <f>324/1.56</f>
        <v>207.69230769230768</v>
      </c>
      <c r="C178" s="61"/>
      <c r="D178" s="61"/>
      <c r="E178" s="66"/>
      <c r="F178" s="66"/>
      <c r="G178" s="66"/>
      <c r="H178" s="66"/>
      <c r="I178" s="52">
        <f t="shared" si="6"/>
        <v>4.2307692307692264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61">
        <v>80</v>
      </c>
      <c r="B179" s="61">
        <f>(333+22)/1.56</f>
        <v>227.56410256410257</v>
      </c>
      <c r="C179" s="61">
        <v>7</v>
      </c>
      <c r="D179" s="61">
        <f>(22+21)/1.56</f>
        <v>27.564102564102562</v>
      </c>
      <c r="E179" s="66"/>
      <c r="F179" s="66"/>
      <c r="G179" s="66"/>
      <c r="H179" s="66"/>
      <c r="I179" s="52">
        <f t="shared" si="6"/>
        <v>3.974358974358978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85</v>
      </c>
      <c r="B180" s="53">
        <v>219.23076923076923</v>
      </c>
      <c r="C180" s="53"/>
      <c r="D180" s="53"/>
      <c r="E180" s="57"/>
      <c r="F180" s="57"/>
      <c r="G180" s="57"/>
      <c r="H180" s="57"/>
      <c r="I180" s="52">
        <f t="shared" si="6"/>
        <v>3.8461538461538454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90</v>
      </c>
      <c r="B181" s="53">
        <v>237.17948717948718</v>
      </c>
      <c r="C181" s="53">
        <v>8</v>
      </c>
      <c r="D181" s="53">
        <v>25.641025641025639</v>
      </c>
      <c r="E181" s="57"/>
      <c r="F181" s="57"/>
      <c r="G181" s="57"/>
      <c r="H181" s="57"/>
      <c r="I181" s="52">
        <f t="shared" si="6"/>
        <v>3.5897435897435912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95</v>
      </c>
      <c r="B182" s="53">
        <v>229.48717948717947</v>
      </c>
      <c r="C182" s="53"/>
      <c r="D182" s="53"/>
      <c r="E182" s="57"/>
      <c r="F182" s="57"/>
      <c r="G182" s="57"/>
      <c r="H182" s="57"/>
      <c r="I182" s="52">
        <f t="shared" si="6"/>
        <v>3.5897435897435854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100</v>
      </c>
      <c r="B183" s="53">
        <v>246.15384615384613</v>
      </c>
      <c r="C183" s="53">
        <v>9</v>
      </c>
      <c r="D183" s="53">
        <v>23.717948717948715</v>
      </c>
      <c r="E183" s="57"/>
      <c r="F183" s="57"/>
      <c r="G183" s="57"/>
      <c r="H183" s="57"/>
      <c r="I183" s="52">
        <f t="shared" si="6"/>
        <v>3.3333333333333313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110</v>
      </c>
      <c r="B184" s="53">
        <v>253.2051282051282</v>
      </c>
      <c r="C184" s="53"/>
      <c r="D184" s="53">
        <v>22.435897435897434</v>
      </c>
      <c r="E184" s="57"/>
      <c r="F184" s="57"/>
      <c r="G184" s="57"/>
      <c r="H184" s="57"/>
      <c r="I184" s="52">
        <f t="shared" si="6"/>
        <v>3.0769230769230802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259.61538461538458</v>
      </c>
      <c r="C185" s="53">
        <v>10</v>
      </c>
      <c r="D185" s="53">
        <v>259.61538461538458</v>
      </c>
      <c r="E185" s="57"/>
      <c r="F185" s="57"/>
      <c r="G185" s="57"/>
      <c r="H185" s="57"/>
      <c r="I185" s="52">
        <f t="shared" si="6"/>
        <v>2.884615384615381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Alisier torminal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1">
        <v>42</v>
      </c>
      <c r="C192" s="61"/>
      <c r="D192" s="61"/>
      <c r="E192" s="54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1">
        <f>62+8</f>
        <v>70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1">
        <f>76+8+21</f>
        <v>105</v>
      </c>
      <c r="C194" s="61">
        <v>1</v>
      </c>
      <c r="D194" s="61">
        <f>8+21</f>
        <v>29</v>
      </c>
      <c r="E194" s="54"/>
      <c r="F194" s="54"/>
      <c r="G194" s="54"/>
      <c r="H194" s="54">
        <v>1</v>
      </c>
      <c r="I194" s="52">
        <f t="shared" si="7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1">
        <f>95+21</f>
        <v>116</v>
      </c>
      <c r="C195" s="61"/>
      <c r="D195" s="61"/>
      <c r="E195" s="54"/>
      <c r="F195" s="54"/>
      <c r="G195" s="54"/>
      <c r="H195" s="54"/>
      <c r="I195" s="52">
        <f t="shared" si="7"/>
        <v>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1">
        <f>116+21+21</f>
        <v>158</v>
      </c>
      <c r="C196" s="61">
        <v>2</v>
      </c>
      <c r="D196" s="61">
        <f>21+21</f>
        <v>42</v>
      </c>
      <c r="E196" s="54"/>
      <c r="F196" s="54"/>
      <c r="G196" s="54"/>
      <c r="H196" s="54"/>
      <c r="I196" s="52">
        <f t="shared" si="7"/>
        <v>8.4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1">
        <f>137+21</f>
        <v>158</v>
      </c>
      <c r="C197" s="61"/>
      <c r="D197" s="61"/>
      <c r="E197" s="54"/>
      <c r="F197" s="54"/>
      <c r="G197" s="54"/>
      <c r="H197" s="54"/>
      <c r="I197" s="52">
        <f t="shared" si="7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61">
        <f>157+21+21</f>
        <v>199</v>
      </c>
      <c r="C198" s="61">
        <v>3</v>
      </c>
      <c r="D198" s="61">
        <f>21+21</f>
        <v>42</v>
      </c>
      <c r="E198" s="54"/>
      <c r="F198" s="54"/>
      <c r="G198" s="54"/>
      <c r="H198" s="5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61">
        <f>176+21</f>
        <v>197</v>
      </c>
      <c r="C199" s="61"/>
      <c r="D199" s="61"/>
      <c r="E199" s="54"/>
      <c r="F199" s="54"/>
      <c r="G199" s="54"/>
      <c r="H199" s="54"/>
      <c r="I199" s="52">
        <f t="shared" si="7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235</v>
      </c>
      <c r="C200" s="53">
        <v>4</v>
      </c>
      <c r="D200" s="53">
        <v>42</v>
      </c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229</v>
      </c>
      <c r="C201" s="53"/>
      <c r="D201" s="53"/>
      <c r="E201" s="54"/>
      <c r="F201" s="54"/>
      <c r="G201" s="54"/>
      <c r="H201" s="54"/>
      <c r="I201" s="52">
        <f t="shared" si="7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263</v>
      </c>
      <c r="C202" s="53">
        <v>5</v>
      </c>
      <c r="D202" s="53">
        <v>42</v>
      </c>
      <c r="E202" s="54"/>
      <c r="F202" s="54"/>
      <c r="G202" s="54"/>
      <c r="H202" s="54"/>
      <c r="I202" s="52">
        <f t="shared" si="7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252</v>
      </c>
      <c r="C203" s="53"/>
      <c r="D203" s="53"/>
      <c r="E203" s="54"/>
      <c r="F203" s="54"/>
      <c r="G203" s="54"/>
      <c r="H203" s="54"/>
      <c r="I203" s="52">
        <f t="shared" si="7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282</v>
      </c>
      <c r="C204" s="53">
        <v>6</v>
      </c>
      <c r="D204" s="53">
        <v>42</v>
      </c>
      <c r="E204" s="54"/>
      <c r="F204" s="54"/>
      <c r="G204" s="54"/>
      <c r="H204" s="54"/>
      <c r="I204" s="52">
        <f t="shared" si="7"/>
        <v>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90</v>
      </c>
      <c r="B205" s="53">
        <v>296</v>
      </c>
      <c r="C205" s="53">
        <v>7</v>
      </c>
      <c r="D205" s="53">
        <v>42</v>
      </c>
      <c r="E205" s="54"/>
      <c r="F205" s="54"/>
      <c r="G205" s="54"/>
      <c r="H205" s="54"/>
      <c r="I205" s="52">
        <f t="shared" si="7"/>
        <v>5.6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100</v>
      </c>
      <c r="B206" s="53">
        <v>303</v>
      </c>
      <c r="C206" s="53">
        <v>8</v>
      </c>
      <c r="D206" s="53">
        <v>42</v>
      </c>
      <c r="E206" s="54"/>
      <c r="F206" s="54"/>
      <c r="G206" s="54"/>
      <c r="H206" s="54"/>
      <c r="I206" s="52">
        <f t="shared" si="7"/>
        <v>4.9000000000000004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110</v>
      </c>
      <c r="B207" s="53">
        <v>305</v>
      </c>
      <c r="C207" s="53">
        <v>9</v>
      </c>
      <c r="D207" s="53">
        <v>39</v>
      </c>
      <c r="E207" s="54"/>
      <c r="F207" s="54"/>
      <c r="G207" s="54"/>
      <c r="H207" s="54"/>
      <c r="I207" s="52">
        <f t="shared" si="7"/>
        <v>4.4000000000000004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120</v>
      </c>
      <c r="B208" s="53">
        <v>303</v>
      </c>
      <c r="C208" s="53">
        <v>10</v>
      </c>
      <c r="D208" s="53">
        <v>35</v>
      </c>
      <c r="E208" s="54"/>
      <c r="F208" s="54"/>
      <c r="G208" s="54"/>
      <c r="H208" s="54"/>
      <c r="I208" s="52">
        <f t="shared" si="7"/>
        <v>3.7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130</v>
      </c>
      <c r="B209" s="53">
        <v>300</v>
      </c>
      <c r="C209" s="53">
        <v>11</v>
      </c>
      <c r="D209" s="53">
        <v>31</v>
      </c>
      <c r="E209" s="54"/>
      <c r="F209" s="54"/>
      <c r="G209" s="54"/>
      <c r="H209" s="54"/>
      <c r="I209" s="52">
        <f t="shared" si="7"/>
        <v>3.2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140</v>
      </c>
      <c r="B210" s="53">
        <v>296</v>
      </c>
      <c r="C210" s="53">
        <v>12</v>
      </c>
      <c r="D210" s="53">
        <v>27</v>
      </c>
      <c r="E210" s="54"/>
      <c r="F210" s="54"/>
      <c r="G210" s="54"/>
      <c r="H210" s="54"/>
      <c r="I210" s="52">
        <f t="shared" si="7"/>
        <v>2.7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150</v>
      </c>
      <c r="B211" s="53">
        <v>293</v>
      </c>
      <c r="C211" s="53">
        <v>13</v>
      </c>
      <c r="D211" s="53">
        <v>293</v>
      </c>
      <c r="E211" s="54"/>
      <c r="F211" s="54"/>
      <c r="G211" s="54"/>
      <c r="H211" s="54"/>
      <c r="I211" s="52">
        <f t="shared" si="7"/>
        <v>2.4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Erable champêtre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1">
        <f>22.3+15.1</f>
        <v>37.4</v>
      </c>
      <c r="C218" s="61"/>
      <c r="D218" s="61"/>
      <c r="E218" s="54"/>
      <c r="F218" s="54"/>
      <c r="G218" s="54"/>
      <c r="H218" s="54"/>
      <c r="I218" s="56">
        <f>IFERROR(B218/A218,"")</f>
        <v>2.4933333333333332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1">
        <f>52+15.1+28</f>
        <v>95.1</v>
      </c>
      <c r="C219" s="61">
        <v>1</v>
      </c>
      <c r="D219" s="61">
        <f>15.1+28</f>
        <v>43.1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11.54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1">
        <f>86.5+28</f>
        <v>114.5</v>
      </c>
      <c r="C220" s="61"/>
      <c r="D220" s="61"/>
      <c r="E220" s="54"/>
      <c r="F220" s="54"/>
      <c r="G220" s="54"/>
      <c r="H220" s="54"/>
      <c r="I220" s="56">
        <f t="shared" si="8"/>
        <v>12.500000000000002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30</v>
      </c>
      <c r="B221" s="61">
        <f>118.5+28+28</f>
        <v>174.5</v>
      </c>
      <c r="C221" s="61">
        <v>2</v>
      </c>
      <c r="D221" s="61">
        <f>28+28</f>
        <v>56</v>
      </c>
      <c r="E221" s="54"/>
      <c r="F221" s="54"/>
      <c r="G221" s="54"/>
      <c r="H221" s="54">
        <v>1</v>
      </c>
      <c r="I221" s="56">
        <f t="shared" si="8"/>
        <v>12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35</v>
      </c>
      <c r="B222" s="61">
        <f>144.4+28</f>
        <v>172.4</v>
      </c>
      <c r="C222" s="61"/>
      <c r="D222" s="61"/>
      <c r="E222" s="54"/>
      <c r="F222" s="54"/>
      <c r="G222" s="54"/>
      <c r="H222" s="54"/>
      <c r="I222" s="56">
        <f t="shared" si="8"/>
        <v>10.780000000000001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40</v>
      </c>
      <c r="B223" s="61">
        <f>163.6+28+28</f>
        <v>219.6</v>
      </c>
      <c r="C223" s="61">
        <v>3</v>
      </c>
      <c r="D223" s="61">
        <f>28+28</f>
        <v>56</v>
      </c>
      <c r="E223" s="54"/>
      <c r="F223" s="54"/>
      <c r="G223" s="54"/>
      <c r="H223" s="54"/>
      <c r="I223" s="56">
        <f t="shared" si="8"/>
        <v>9.4399999999999977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61">
        <v>45</v>
      </c>
      <c r="B224" s="61">
        <f>182.8+21.8</f>
        <v>204.60000000000002</v>
      </c>
      <c r="C224" s="61"/>
      <c r="D224" s="61"/>
      <c r="E224" s="54"/>
      <c r="F224" s="54"/>
      <c r="G224" s="54"/>
      <c r="H224" s="54"/>
      <c r="I224" s="56">
        <f t="shared" si="8"/>
        <v>8.2000000000000064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61">
        <v>50</v>
      </c>
      <c r="B225" s="61">
        <f>201.9+21.8+16.5</f>
        <v>240.20000000000002</v>
      </c>
      <c r="C225" s="61">
        <v>4</v>
      </c>
      <c r="D225" s="61">
        <f>21.8+16.5</f>
        <v>38.299999999999997</v>
      </c>
      <c r="E225" s="54"/>
      <c r="F225" s="54"/>
      <c r="G225" s="54"/>
      <c r="H225" s="54"/>
      <c r="I225" s="56">
        <f t="shared" si="8"/>
        <v>7.1199999999999992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61">
        <v>55</v>
      </c>
      <c r="B226" s="61">
        <f>219.1+13.4</f>
        <v>232.5</v>
      </c>
      <c r="C226" s="61"/>
      <c r="D226" s="61"/>
      <c r="E226" s="54"/>
      <c r="F226" s="54"/>
      <c r="G226" s="54"/>
      <c r="H226" s="54"/>
      <c r="I226" s="56">
        <f t="shared" si="8"/>
        <v>6.119999999999993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61">
        <v>60</v>
      </c>
      <c r="B227" s="61">
        <f>233.1+13.4+11.8</f>
        <v>258.3</v>
      </c>
      <c r="C227" s="61">
        <v>5</v>
      </c>
      <c r="D227" s="61">
        <f>13.4+11.8</f>
        <v>25.200000000000003</v>
      </c>
      <c r="E227" s="54"/>
      <c r="F227" s="54"/>
      <c r="G227" s="54"/>
      <c r="H227" s="54"/>
      <c r="I227" s="56">
        <f t="shared" si="8"/>
        <v>5.1600000000000019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61">
        <v>65</v>
      </c>
      <c r="B228" s="61">
        <f>243.9+10.9</f>
        <v>254.8</v>
      </c>
      <c r="C228" s="61"/>
      <c r="D228" s="61"/>
      <c r="E228" s="54"/>
      <c r="F228" s="54"/>
      <c r="G228" s="54"/>
      <c r="H228" s="54"/>
      <c r="I228" s="56">
        <f t="shared" si="8"/>
        <v>4.3399999999999981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61">
        <v>70</v>
      </c>
      <c r="B229" s="61">
        <f>252.7+10.9+10</f>
        <v>273.59999999999997</v>
      </c>
      <c r="C229" s="61">
        <v>6</v>
      </c>
      <c r="D229" s="61">
        <f>10.9+10</f>
        <v>20.9</v>
      </c>
      <c r="E229" s="54"/>
      <c r="F229" s="54"/>
      <c r="G229" s="54"/>
      <c r="H229" s="54"/>
      <c r="I229" s="56">
        <f t="shared" si="8"/>
        <v>3.7599999999999909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61">
        <v>75</v>
      </c>
      <c r="B230" s="61">
        <f>260.6+9.1</f>
        <v>269.70000000000005</v>
      </c>
      <c r="C230" s="61"/>
      <c r="D230" s="61"/>
      <c r="E230" s="54"/>
      <c r="F230" s="54"/>
      <c r="G230" s="54"/>
      <c r="H230" s="54"/>
      <c r="I230" s="56">
        <f t="shared" si="8"/>
        <v>3.4000000000000172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61">
        <v>80</v>
      </c>
      <c r="B231" s="61">
        <f>267.3+9.1+8.2</f>
        <v>284.60000000000002</v>
      </c>
      <c r="C231" s="61">
        <v>7</v>
      </c>
      <c r="D231" s="61">
        <f>B231</f>
        <v>284.60000000000002</v>
      </c>
      <c r="E231" s="54"/>
      <c r="F231" s="54"/>
      <c r="G231" s="54"/>
      <c r="H231" s="54"/>
      <c r="I231" s="56">
        <f t="shared" si="8"/>
        <v>2.9799999999999955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Tilleul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15</v>
      </c>
      <c r="B244" s="61">
        <f>78/1.56</f>
        <v>50</v>
      </c>
      <c r="C244" s="61"/>
      <c r="D244" s="61"/>
      <c r="E244" s="54"/>
      <c r="F244" s="54"/>
      <c r="G244" s="54"/>
      <c r="H244" s="64"/>
      <c r="I244" s="56">
        <f>IFERROR(B244/A244,"")</f>
        <v>3.3333333333333335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20</v>
      </c>
      <c r="B245" s="61">
        <f>(126+16)/1.56</f>
        <v>91.025641025641022</v>
      </c>
      <c r="C245" s="61">
        <v>1</v>
      </c>
      <c r="D245" s="61">
        <f>(16+22)/1.56</f>
        <v>24.358974358974358</v>
      </c>
      <c r="E245" s="64"/>
      <c r="F245" s="64"/>
      <c r="G245" s="64"/>
      <c r="H245" s="64"/>
      <c r="I245" s="56">
        <f>IF(A245&lt;&gt;0,(B245-(B244-D244))/(A245-A244),"")</f>
        <v>8.2051282051282044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25</v>
      </c>
      <c r="B246" s="61">
        <f>170/1.56</f>
        <v>108.97435897435896</v>
      </c>
      <c r="C246" s="61"/>
      <c r="D246" s="61"/>
      <c r="E246" s="64"/>
      <c r="F246" s="64"/>
      <c r="G246" s="64"/>
      <c r="H246" s="64"/>
      <c r="I246" s="56">
        <f>IF(A246&lt;&gt;0,(B246-(B245-D245))/(A246-A245),"")</f>
        <v>8.4615384615384617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30</v>
      </c>
      <c r="B247" s="61">
        <f>(208+25)/1.56</f>
        <v>149.35897435897436</v>
      </c>
      <c r="C247" s="61">
        <v>2</v>
      </c>
      <c r="D247" s="61">
        <f>(25+26)/1.56</f>
        <v>32.692307692307693</v>
      </c>
      <c r="E247" s="64"/>
      <c r="F247" s="64"/>
      <c r="G247" s="64"/>
      <c r="H247" s="64"/>
      <c r="I247" s="56">
        <f t="shared" ref="I247:I263" si="9">IF(A247&lt;&gt;0,(B247-(B246-D246))/(A247-A246),"")</f>
        <v>8.0769230769230802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35</v>
      </c>
      <c r="B248" s="61">
        <f>242/1.56</f>
        <v>155.12820512820511</v>
      </c>
      <c r="C248" s="61"/>
      <c r="D248" s="61"/>
      <c r="E248" s="64"/>
      <c r="F248" s="64"/>
      <c r="G248" s="64"/>
      <c r="H248" s="64"/>
      <c r="I248" s="56">
        <f t="shared" si="9"/>
        <v>7.6923076923076881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40</v>
      </c>
      <c r="B249" s="61">
        <f>(271+27)/1.56</f>
        <v>191.02564102564102</v>
      </c>
      <c r="C249" s="61">
        <v>3</v>
      </c>
      <c r="D249" s="61">
        <f>(27+27)/1.56</f>
        <v>34.615384615384613</v>
      </c>
      <c r="E249" s="64"/>
      <c r="F249" s="64"/>
      <c r="G249" s="64"/>
      <c r="H249" s="64"/>
      <c r="I249" s="56">
        <f t="shared" si="9"/>
        <v>7.1794871794871824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45</v>
      </c>
      <c r="B250" s="61">
        <f>297/1.56</f>
        <v>190.38461538461539</v>
      </c>
      <c r="C250" s="61"/>
      <c r="D250" s="61"/>
      <c r="E250" s="64"/>
      <c r="F250" s="64"/>
      <c r="G250" s="64"/>
      <c r="H250" s="64"/>
      <c r="I250" s="56">
        <f t="shared" si="9"/>
        <v>6.7948717948717956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>
        <v>50</v>
      </c>
      <c r="B251" s="58">
        <v>221.7948717948718</v>
      </c>
      <c r="C251" s="58">
        <v>4</v>
      </c>
      <c r="D251" s="58">
        <v>32.692307692307693</v>
      </c>
      <c r="E251" s="64"/>
      <c r="F251" s="64"/>
      <c r="G251" s="64"/>
      <c r="H251" s="64"/>
      <c r="I251" s="56">
        <f t="shared" si="9"/>
        <v>6.2820512820512819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>
        <v>55</v>
      </c>
      <c r="B252" s="58">
        <v>217.94871794871793</v>
      </c>
      <c r="C252" s="58"/>
      <c r="D252" s="58"/>
      <c r="E252" s="64"/>
      <c r="F252" s="64"/>
      <c r="G252" s="64"/>
      <c r="H252" s="64"/>
      <c r="I252" s="56">
        <f t="shared" si="9"/>
        <v>5.7692307692307683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>
        <v>60</v>
      </c>
      <c r="B253" s="58">
        <v>244.87179487179486</v>
      </c>
      <c r="C253" s="58">
        <v>5</v>
      </c>
      <c r="D253" s="58">
        <v>30.128205128205128</v>
      </c>
      <c r="E253" s="64"/>
      <c r="F253" s="64"/>
      <c r="G253" s="64"/>
      <c r="H253" s="64"/>
      <c r="I253" s="56">
        <f t="shared" si="9"/>
        <v>5.3846153846153868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>
        <v>65</v>
      </c>
      <c r="B254" s="58">
        <v>240.38461538461539</v>
      </c>
      <c r="C254" s="58"/>
      <c r="D254" s="58"/>
      <c r="E254" s="64"/>
      <c r="F254" s="64"/>
      <c r="G254" s="64"/>
      <c r="H254" s="64"/>
      <c r="I254" s="56">
        <f t="shared" si="9"/>
        <v>5.1282051282051331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>
        <v>70</v>
      </c>
      <c r="B255" s="58">
        <v>265.38461538461536</v>
      </c>
      <c r="C255" s="58">
        <v>6</v>
      </c>
      <c r="D255" s="58">
        <v>27.564102564102562</v>
      </c>
      <c r="E255" s="64"/>
      <c r="F255" s="64"/>
      <c r="G255" s="64"/>
      <c r="H255" s="64"/>
      <c r="I255" s="56">
        <f t="shared" si="9"/>
        <v>4.9999999999999947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>
        <v>75</v>
      </c>
      <c r="B256" s="58">
        <v>260.89743589743591</v>
      </c>
      <c r="C256" s="58"/>
      <c r="D256" s="58"/>
      <c r="E256" s="65"/>
      <c r="F256" s="65"/>
      <c r="G256" s="65"/>
      <c r="H256" s="65"/>
      <c r="I256" s="56">
        <f t="shared" si="9"/>
        <v>4.6153846153846247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>
        <v>80</v>
      </c>
      <c r="B257" s="61">
        <f>(419+21)/1.56</f>
        <v>282.05128205128204</v>
      </c>
      <c r="C257" s="92">
        <v>7</v>
      </c>
      <c r="D257" s="61">
        <f>(21+20)/1.56</f>
        <v>26.282051282051281</v>
      </c>
      <c r="E257" s="57"/>
      <c r="F257" s="57"/>
      <c r="G257" s="57"/>
      <c r="H257" s="57"/>
      <c r="I257" s="56">
        <f t="shared" si="9"/>
        <v>4.2307692307692264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>
        <v>85</v>
      </c>
      <c r="B258" s="53">
        <v>276.28205128205127</v>
      </c>
      <c r="C258" s="53"/>
      <c r="D258" s="53"/>
      <c r="E258" s="57"/>
      <c r="F258" s="57"/>
      <c r="G258" s="57"/>
      <c r="H258" s="57"/>
      <c r="I258" s="56">
        <f t="shared" si="9"/>
        <v>4.1025641025640995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>
        <v>90</v>
      </c>
      <c r="B259" s="53">
        <v>295.5128205128205</v>
      </c>
      <c r="C259" s="53">
        <v>8</v>
      </c>
      <c r="D259" s="53">
        <v>24.358974358974358</v>
      </c>
      <c r="E259" s="57"/>
      <c r="F259" s="57"/>
      <c r="G259" s="57"/>
      <c r="H259" s="57"/>
      <c r="I259" s="56">
        <f t="shared" si="9"/>
        <v>3.8461538461538454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>
        <v>95</v>
      </c>
      <c r="B260" s="53">
        <v>289.74358974358972</v>
      </c>
      <c r="C260" s="53"/>
      <c r="D260" s="53"/>
      <c r="E260" s="57"/>
      <c r="F260" s="57"/>
      <c r="G260" s="57"/>
      <c r="H260" s="57"/>
      <c r="I260" s="56">
        <f t="shared" si="9"/>
        <v>3.7179487179487181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>
        <v>100</v>
      </c>
      <c r="B261" s="53">
        <v>307.69230769230768</v>
      </c>
      <c r="C261" s="53">
        <v>9</v>
      </c>
      <c r="D261" s="53">
        <v>22.435897435897434</v>
      </c>
      <c r="E261" s="57"/>
      <c r="F261" s="57"/>
      <c r="G261" s="57"/>
      <c r="H261" s="57"/>
      <c r="I261" s="56">
        <f t="shared" si="9"/>
        <v>3.5897435897435912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>
        <v>105</v>
      </c>
      <c r="B262" s="53">
        <v>301.28205128205127</v>
      </c>
      <c r="C262" s="53"/>
      <c r="D262" s="53"/>
      <c r="E262" s="57"/>
      <c r="F262" s="57"/>
      <c r="G262" s="57"/>
      <c r="H262" s="57"/>
      <c r="I262" s="56">
        <f t="shared" si="9"/>
        <v>3.2051282051282102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>
        <v>110</v>
      </c>
      <c r="B263" s="53">
        <v>317.94871794871796</v>
      </c>
      <c r="C263" s="53">
        <v>10</v>
      </c>
      <c r="D263" s="53">
        <v>317.94871794871796</v>
      </c>
      <c r="E263" s="57"/>
      <c r="F263" s="57"/>
      <c r="G263" s="57"/>
      <c r="H263" s="57"/>
      <c r="I263" s="56">
        <f t="shared" si="9"/>
        <v>3.333333333333337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Hêtre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Erable sycomore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Erable plane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Chêne sessile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Merisier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Charme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Alisier torminal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Erable champêtre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Tilleul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632.26350546340541</v>
      </c>
      <c r="T3" s="60">
        <f>IF('Données projet'!E9&gt;30,$R$33-$H$33,LOOKUP('Données projet'!$E$9,$A$3:$A$203,R3:R203)-LOOKUP('Données projet'!$E$9,$A$3:$A$203,$H$3:$H$203))</f>
        <v>340.45335016367915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336.25341821407534</v>
      </c>
      <c r="AO3" s="60">
        <f>IF('Données projet'!E10&gt;30,$AM$33-$H$33,LOOKUP('Données projet'!$E$10,$A$3:$A$203,AM3:AM203)-LOOKUP('Données projet'!$E$10,$A$3:$A$203,$H$3:$H$203))</f>
        <v>360.3246221345039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336.25341821407534</v>
      </c>
      <c r="BJ3" s="60">
        <f>IF('Données projet'!E11&gt;30,$BH$33-$H$33,LOOKUP('Données projet'!$E$11,$A$3:$A$203,BH3:BH203)-LOOKUP('Données projet'!$E$11,$A$3:$A$203,$H$3:$H$203))</f>
        <v>360.3246221345039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469.67944008675863</v>
      </c>
      <c r="CE3" s="60">
        <f>IF('Données projet'!E12&gt;30,$CC$33-$H$33,LOOKUP('Données projet'!$E$12,$A$3:$A$203,CC3:CC203)-LOOKUP('Données projet'!$E$12,$A$3:$A$203,$H$3:$H$203))</f>
        <v>266.11908070867173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312.59632808777332</v>
      </c>
      <c r="CZ3" s="60">
        <f>IF('Données projet'!E13&gt;30,$CX$33-$H$33,LOOKUP('Données projet'!$E$13,$A$3:$A$203,CX3:CX203)-LOOKUP('Données projet'!$E$13,$A$3:$A$203,$H$3:$H$203))</f>
        <v>302.59481222418219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398.29746143975166</v>
      </c>
      <c r="DU3" s="60">
        <f>IF('Données projet'!E14&gt;30,$DS$33-$H$33,LOOKUP('Données projet'!$E$14,$A$3:$A$203,DS3:DS203)-LOOKUP('Données projet'!$E$14,$A$3:$A$203,$H$3:$H$203))</f>
        <v>300.63705521148802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496.33873798282525</v>
      </c>
      <c r="EP3" s="60">
        <f>IF('Données projet'!E15&gt;30,$EN$33-$H$33,LOOKUP('Données projet'!$E$15,$A$3:$A$203,EN3:EN203)-LOOKUP('Données projet'!$E$15,$A$3:$A$203,$H$3:$H$203))</f>
        <v>280.25465074992246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165</v>
      </c>
      <c r="FJ3" s="60">
        <f ca="1">AVERAGE(OFFSET($FI$3,0,0,'Données projet'!$E$16+1,1))-AVERAGE(OFFSET($H$3,0,0,'Données projet'!$E$16+1,1))</f>
        <v>363.28611056308665</v>
      </c>
      <c r="FK3" s="60">
        <f>IF('Données projet'!E16&gt;30,$FI$33-$H$33,LOOKUP('Données projet'!$E$16,$A$3:$A$203,FI3:FI203)-LOOKUP('Données projet'!$E$16,$A$3:$A$203,$H$3:$H$203))</f>
        <v>389.43647559455974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165</v>
      </c>
      <c r="GE3" s="60">
        <f ca="1">AVERAGE(OFFSET($GD$3,0,0,'Données projet'!$E$17+1,1))-AVERAGE(OFFSET($H$3,0,0,'Données projet'!$E$17+1,1))</f>
        <v>344.62096650402731</v>
      </c>
      <c r="GF3" s="60">
        <f>IF('Données projet'!E17&gt;30,$GD$33-$H$33,LOOKUP('Données projet'!$E$17,$A$3:$A$203,GD3:GD203)-LOOKUP('Données projet'!$E$17,$A$3:$A$203,$H$3:$H$203))</f>
        <v>277.30931495079346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1.6</v>
      </c>
      <c r="N4" s="14">
        <f>IF('Données projet'!$A$36&gt;35,N3+M4-V3,IF(A4&lt;'Données projet'!$A$36,$K$205^A4,IF(A4='Données projet'!$A$36,'Données projet'!$B$36,N3+M4-V3)))</f>
        <v>1.189207115002721</v>
      </c>
      <c r="O4" s="14">
        <f>N4*VLOOKUP('Données projet'!$B$9,Paramètres!$A$1:$I$89,3,0)*VLOOKUP('Données projet'!$B$9,Paramètres!$A$1:$I$89,5,0)</f>
        <v>1.0203397046723348</v>
      </c>
      <c r="P4" s="14">
        <f>EXP(-1.0587+0.8836*LN(O4)+0.284)</f>
        <v>0.46911460970544039</v>
      </c>
      <c r="Q4" s="22">
        <f t="shared" ref="Q4:Q34" si="2">(O4+P4)*0.475*44/12</f>
        <v>2.594132930874625</v>
      </c>
      <c r="R4" s="60">
        <f t="shared" si="0"/>
        <v>170.40656688379846</v>
      </c>
      <c r="S4" s="60">
        <f ca="1">AVERAGE(OFFSET($R$3,0,0,'Données projet'!$E$9+1,1))-AVERAGE(OFFSET($H$3,0,0,'Données projet'!$E$9+1,1))</f>
        <v>632.26350546340541</v>
      </c>
      <c r="T4" s="60">
        <f>$T$3</f>
        <v>340.45335016367915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2.4933333333333332</v>
      </c>
      <c r="AI4" s="14">
        <f>IF('Données projet'!$A$62&gt;35,AI3+AH4-AQ3,IF(A4&lt;'Données projet'!$A$62,$AF$205^A4,IF(A4='Données projet'!$A$62,'Données projet'!$B$62,AI3+AH4-AQ3)))</f>
        <v>1.2730870686066207</v>
      </c>
      <c r="AJ4" s="14">
        <f>AI4*VLOOKUP('Données projet'!$B$10,Paramètres!$A$1:$I$89,3,0)*VLOOKUP('Données projet'!$B$10,Paramètres!$A$1:$I$89,5,0)</f>
        <v>1.0128680717834275</v>
      </c>
      <c r="AK4" s="14">
        <f>EXP(-1.0587+0.8836*LN(AJ4)+0.284)</f>
        <v>0.46607798613582108</v>
      </c>
      <c r="AL4" s="22">
        <f t="shared" ref="AL4:AL67" si="4">(AJ4+AK4)*0.475*44/12</f>
        <v>2.5758310508760247</v>
      </c>
      <c r="AM4" s="60">
        <f t="shared" ref="AM4:AM67" si="5">AL4+(AD4+AE4)*44/12</f>
        <v>170.38826500379986</v>
      </c>
      <c r="AN4" s="60">
        <f ca="1">AVERAGE(OFFSET($AM$3,0,0,'Données projet'!$E$10+1,1))-AVERAGE(OFFSET($H$3,0,0,'Données projet'!$E$10+1,1))</f>
        <v>336.25341821407534</v>
      </c>
      <c r="AO4" s="60">
        <f>$AO$3</f>
        <v>360.3246221345039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1.0128680717834275</v>
      </c>
      <c r="BF4" s="14">
        <f>EXP(-1.0587+0.8836*LN(BE4)+0.284)</f>
        <v>0.46607798613582108</v>
      </c>
      <c r="BG4" s="22">
        <f t="shared" ref="BG4:BG67" si="7">(BE4+BF4)*0.475*44/12</f>
        <v>2.5758310508760247</v>
      </c>
      <c r="BH4" s="60">
        <f t="shared" ref="BH4:BH67" si="8">BG4+(AY4+AZ4)*44/12</f>
        <v>170.38826500379986</v>
      </c>
      <c r="BI4" s="60">
        <f ca="1">AVERAGE(OFFSET($BH$3,0,0,'Données projet'!$E$11+1,1))-AVERAGE(OFFSET($H$3,0,0,'Données projet'!$E$11+1,1))</f>
        <v>336.25341821407534</v>
      </c>
      <c r="BJ4" s="60">
        <f>$BJ$3</f>
        <v>360.3246221345039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1.0907244698905405</v>
      </c>
      <c r="CA4" s="14">
        <f>EXP(-1.0587+0.8836*LN(BZ4)+0.284)</f>
        <v>0.49759623852608204</v>
      </c>
      <c r="CB4" s="22">
        <f t="shared" ref="CB4:CB67" si="10">(BZ4+CA4)*0.475*44/12</f>
        <v>2.7663252338256172</v>
      </c>
      <c r="CC4" s="60">
        <f t="shared" ref="CC4:CC67" si="11">CB4+(BT4+BU4)*44/12</f>
        <v>170.57875918674947</v>
      </c>
      <c r="CD4" s="60">
        <f ca="1">AVERAGE(OFFSET($CC$3,0,0,'Données projet'!$E$12+1,1))-AVERAGE(OFFSET($H$3,0,0,'Données projet'!$E$12+1,1))</f>
        <v>469.67944008675863</v>
      </c>
      <c r="CE4" s="60">
        <f>$CE$3</f>
        <v>266.11908070867173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0">
        <f t="shared" ref="CX4:CX67" si="14">CW4+(CO4+CP4)*44/12</f>
        <v>170.35052583421262</v>
      </c>
      <c r="CY4" s="60">
        <f ca="1">AVERAGE(OFFSET($CX$3,0,0,'Données projet'!$E$13+1,1))-AVERAGE(OFFSET($H$3,0,0,'Données projet'!$E$13+1,1))</f>
        <v>312.59632808777332</v>
      </c>
      <c r="CZ4" s="60">
        <f>$CZ$3</f>
        <v>302.59481222418219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2.4358974358974361</v>
      </c>
      <c r="DO4" s="13">
        <f>IF('Données projet'!$A$166&gt;35,DO3+DN4-DW3,IF(A4&lt;'Données projet'!$A$166,$DL$205^A4,IF(A4='Données projet'!$A$166,'Données projet'!$B$166,DO3+DN4-DW3)))</f>
        <v>1.2711106295585217</v>
      </c>
      <c r="DP4" s="18">
        <f>DO4*VLOOKUP('Données projet'!$B$14,Paramètres!$A$1:$I$89,3,0)*VLOOKUP('Données projet'!$B$14,Paramètres!$A$1:$I$89,5,0)</f>
        <v>1.2095888750878894</v>
      </c>
      <c r="DQ4" s="14">
        <f>EXP(-1.0587+0.8836*LN(DP4)+0.284)</f>
        <v>0.5452187850680178</v>
      </c>
      <c r="DR4" s="22">
        <f t="shared" ref="DR4:DR67" si="16">(DP4+DQ4)*0.475*44/12</f>
        <v>3.0562900081048716</v>
      </c>
      <c r="DS4" s="60">
        <f t="shared" ref="DS4:DS67" si="17">DR4+(DJ4+DK4)*44/12</f>
        <v>170.86872396102871</v>
      </c>
      <c r="DT4" s="60">
        <f ca="1">AVERAGE(OFFSET($DS$3,0,0,'Données projet'!$E$14+1,1))-AVERAGE(OFFSET($H$3,0,0,'Données projet'!$E$14+1,1))</f>
        <v>398.29746143975166</v>
      </c>
      <c r="DU4" s="60">
        <f>$DU$3</f>
        <v>300.63705521148802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1.165946847124371</v>
      </c>
      <c r="EL4" s="14">
        <f>EXP(-1.0587+0.8836*LN(EK4)+0.284)</f>
        <v>0.52780002987456354</v>
      </c>
      <c r="EM4" s="22">
        <f t="shared" ref="EM4:EM67" si="19">(EK4+EL4)*0.475*44/12</f>
        <v>2.9499424774398109</v>
      </c>
      <c r="EN4" s="60">
        <f t="shared" ref="EN4:EN67" si="20">EM4+(EE4+EF4)*44/12</f>
        <v>170.76237643036364</v>
      </c>
      <c r="EO4" s="60">
        <f ca="1">AVERAGE(OFFSET($EN$3,0,0,'Données projet'!$E$15+1,1))-AVERAGE(OFFSET($H$3,0,0,'Données projet'!$E$15+1,1))</f>
        <v>496.33873798282525</v>
      </c>
      <c r="EP4" s="60">
        <f>$EP$3</f>
        <v>280.25465074992246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2.4933333333333332</v>
      </c>
      <c r="FE4" s="13">
        <f>IF('Données projet'!$A$218&gt;35,FE3+FD4-FM3,IF(A4&lt;'Données projet'!$A$218,$FB$205^A4,IF(A4='Données projet'!$A$218,'Données projet'!$B$218,FE3+FD4-FM3)))</f>
        <v>1.2730870686066207</v>
      </c>
      <c r="FF4" s="18">
        <f>FE4*VLOOKUP('Données projet'!$B$16,Paramètres!$A$1:$I$89,3,0)*VLOOKUP('Données projet'!$B$16,Paramètres!$A$1:$I$89,5,0)</f>
        <v>1.1121688631347439</v>
      </c>
      <c r="FG4" s="14">
        <f>EXP(-1.0587+0.8836*LN(FF4)+0.284)</f>
        <v>0.50623075212543323</v>
      </c>
      <c r="FH4" s="22">
        <f t="shared" ref="FH4:FH67" si="22">(FF4+FG4)*0.475*44/12</f>
        <v>2.8187126632448081</v>
      </c>
      <c r="FI4" s="60">
        <f t="shared" ref="FI4:FI67" si="23">FH4+(EZ4+FA4)*44/12</f>
        <v>170.63114661616865</v>
      </c>
      <c r="FJ4" s="60">
        <f ca="1">AVERAGE(OFFSET($FI$3,0,0,'Données projet'!$E$16+1,1))-AVERAGE(OFFSET($H$3,0,0,'Données projet'!$E$16+1,1))</f>
        <v>363.28611056308665</v>
      </c>
      <c r="FK4" s="60">
        <f>$FK$3</f>
        <v>389.43647559455974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3.3333333333333335</v>
      </c>
      <c r="FZ4" s="13">
        <f>IF('Données projet'!$A$244&gt;35,FZ3+FY4-GH3,IF(A4&lt;'Données projet'!$A$244,$FW$205^A4,IF(A4='Données projet'!$A$244,'Données projet'!$B$244,FZ3+FY4-GH3)))</f>
        <v>1.2979700365523266</v>
      </c>
      <c r="GA4" s="18">
        <f>FZ4*VLOOKUP('Données projet'!$B$17,Paramètres!$A$1:$I$89,3,0)*VLOOKUP('Données projet'!$B$17,Paramètres!$A$1:$I$89,5,0)</f>
        <v>0.87067830051930062</v>
      </c>
      <c r="GB4" s="14">
        <f>EXP(-1.0587+0.8836*LN(GA4)+0.284)</f>
        <v>0.40776537662742923</v>
      </c>
      <c r="GC4" s="22">
        <f t="shared" ref="GC4:GC67" si="25">(GA4+GB4)*0.475*44/12</f>
        <v>2.226622737697221</v>
      </c>
      <c r="GD4" s="60">
        <f t="shared" ref="GD4:GD67" si="26">GC4+(FU4+FV4)*44/12</f>
        <v>170.03905669062107</v>
      </c>
      <c r="GE4" s="60">
        <f ca="1">AVERAGE(OFFSET($GD$3,0,0,'Données projet'!$E$17+1,1))-AVERAGE(OFFSET($H$3,0,0,'Données projet'!$E$17+1,1))</f>
        <v>344.62096650402731</v>
      </c>
      <c r="GF4" s="60">
        <f>$GF$3</f>
        <v>277.30931495079346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1.6</v>
      </c>
      <c r="N5" s="14">
        <f>IF('Données projet'!$A$36&gt;35,N4+M5-V4,IF(A5&lt;'Données projet'!$A$36,$K$205^A5,IF(A5='Données projet'!$A$36,'Données projet'!$B$36,N4+M5-V4)))</f>
        <v>1.4142135623730949</v>
      </c>
      <c r="O5" s="14">
        <f>N5*VLOOKUP('Données projet'!$B$9,Paramètres!$A$1:$I$89,3,0)*VLOOKUP('Données projet'!$B$9,Paramètres!$A$1:$I$89,5,0)</f>
        <v>1.2133952365161156</v>
      </c>
      <c r="P5" s="14">
        <f t="shared" ref="P5:P68" si="33">EXP(-1.0587+0.8836*LN(O5)+0.284)</f>
        <v>0.54673450619692521</v>
      </c>
      <c r="Q5" s="22">
        <f t="shared" si="2"/>
        <v>3.0655593018918794</v>
      </c>
      <c r="R5" s="60">
        <f t="shared" si="0"/>
        <v>173.66284058939272</v>
      </c>
      <c r="S5" s="60">
        <f ca="1">AVERAGE(OFFSET($R$3,0,0,'Données projet'!$E$9+1,1))-AVERAGE(OFFSET($H$3,0,0,'Données projet'!$E$9+1,1))</f>
        <v>632.26350546340541</v>
      </c>
      <c r="T5" s="60">
        <f t="shared" ref="T5:T68" si="34">$T$3</f>
        <v>340.45335016367915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2.4933333333333332</v>
      </c>
      <c r="AI5" s="14">
        <f>IF('Données projet'!$A$62&gt;35,AI4+AH5-AQ4,IF(A5&lt;'Données projet'!$A$62,$AF$205^A5,IF(A5='Données projet'!$A$62,'Données projet'!$B$62,AI4+AH5-AQ4)))</f>
        <v>1.6207506842533985</v>
      </c>
      <c r="AJ5" s="14">
        <f>AI5*VLOOKUP('Données projet'!$B$10,Paramètres!$A$1:$I$89,3,0)*VLOOKUP('Données projet'!$B$10,Paramètres!$A$1:$I$89,5,0)</f>
        <v>1.2894692443920039</v>
      </c>
      <c r="AK5" s="14">
        <f t="shared" ref="AK5:AK68" si="35">EXP(-1.0587+0.8836*LN(AJ5)+0.284)</f>
        <v>0.57691418040252707</v>
      </c>
      <c r="AL5" s="22">
        <f t="shared" si="4"/>
        <v>3.2506177981838085</v>
      </c>
      <c r="AM5" s="60">
        <f t="shared" si="5"/>
        <v>173.84789908568465</v>
      </c>
      <c r="AN5" s="60">
        <f ca="1">AVERAGE(OFFSET($AM$3,0,0,'Données projet'!$E$10+1,1))-AVERAGE(OFFSET($H$3,0,0,'Données projet'!$E$10+1,1))</f>
        <v>336.25341821407534</v>
      </c>
      <c r="AO5" s="60">
        <f t="shared" ref="AO5:AO68" si="36">$AO$3</f>
        <v>360.3246221345039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1.2894692443920039</v>
      </c>
      <c r="BF5" s="14">
        <f t="shared" ref="BF5:BF68" si="37">EXP(-1.0587+0.8836*LN(BE5)+0.284)</f>
        <v>0.57691418040252707</v>
      </c>
      <c r="BG5" s="22">
        <f t="shared" si="7"/>
        <v>3.2506177981838085</v>
      </c>
      <c r="BH5" s="60">
        <f t="shared" si="8"/>
        <v>173.84789908568465</v>
      </c>
      <c r="BI5" s="60">
        <f ca="1">AVERAGE(OFFSET($BH$3,0,0,'Données projet'!$E$11+1,1))-AVERAGE(OFFSET($H$3,0,0,'Données projet'!$E$11+1,1))</f>
        <v>336.25341821407534</v>
      </c>
      <c r="BJ5" s="60">
        <f t="shared" ref="BJ5:BJ68" si="38">$BJ$3</f>
        <v>360.3246221345039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1.3148539668633961</v>
      </c>
      <c r="CA5" s="14">
        <f t="shared" ref="CA5:CA68" si="39">EXP(-1.0587+0.8836*LN(BZ5)+0.284)</f>
        <v>0.58693801963664449</v>
      </c>
      <c r="CB5" s="22">
        <f t="shared" si="10"/>
        <v>3.3122877098209038</v>
      </c>
      <c r="CC5" s="60">
        <f t="shared" si="11"/>
        <v>173.90956899732174</v>
      </c>
      <c r="CD5" s="60">
        <f ca="1">AVERAGE(OFFSET($CC$3,0,0,'Données projet'!$E$12+1,1))-AVERAGE(OFFSET($H$3,0,0,'Données projet'!$E$12+1,1))</f>
        <v>469.67944008675863</v>
      </c>
      <c r="CE5" s="60">
        <f t="shared" ref="CE5:CE68" si="40">$CE$3</f>
        <v>266.11908070867173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0">
        <f t="shared" si="14"/>
        <v>173.81410309918456</v>
      </c>
      <c r="CY5" s="60">
        <f ca="1">AVERAGE(OFFSET($CX$3,0,0,'Données projet'!$E$13+1,1))-AVERAGE(OFFSET($H$3,0,0,'Données projet'!$E$13+1,1))</f>
        <v>312.59632808777332</v>
      </c>
      <c r="CZ5" s="60">
        <f t="shared" ref="CZ5:CZ68" si="42">$CZ$3</f>
        <v>302.59481222418219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2.4358974358974361</v>
      </c>
      <c r="DO5" s="13">
        <f>IF('Données projet'!$A$166&gt;35,DO4+DN5-DW4,IF(A5&lt;'Données projet'!$A$166,$DL$205^A5,IF(A5='Données projet'!$A$166,'Données projet'!$B$166,DO4+DN5-DW4)))</f>
        <v>1.6157222325766614</v>
      </c>
      <c r="DP5" s="18">
        <f>DO5*VLOOKUP('Données projet'!$B$14,Paramètres!$A$1:$I$89,3,0)*VLOOKUP('Données projet'!$B$14,Paramètres!$A$1:$I$89,5,0)</f>
        <v>1.5375212765199511</v>
      </c>
      <c r="DQ5" s="14">
        <f t="shared" ref="DQ5:DQ68" si="43">EXP(-1.0587+0.8836*LN(DP5)+0.284)</f>
        <v>0.67394928852564717</v>
      </c>
      <c r="DR5" s="22">
        <f t="shared" si="16"/>
        <v>3.8516445674544162</v>
      </c>
      <c r="DS5" s="60">
        <f t="shared" si="17"/>
        <v>174.44892585495526</v>
      </c>
      <c r="DT5" s="60">
        <f ca="1">AVERAGE(OFFSET($DS$3,0,0,'Données projet'!$E$14+1,1))-AVERAGE(OFFSET($H$3,0,0,'Données projet'!$E$14+1,1))</f>
        <v>398.29746143975166</v>
      </c>
      <c r="DU5" s="60">
        <f t="shared" ref="DU5:DU68" si="44">$DU$3</f>
        <v>300.63705521148802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1.4055335507850097</v>
      </c>
      <c r="EL5" s="14">
        <f t="shared" ref="EL5:EL68" si="45">EXP(-1.0587+0.8836*LN(EK5)+0.284)</f>
        <v>0.62256480317525631</v>
      </c>
      <c r="EM5" s="22">
        <f t="shared" si="19"/>
        <v>3.5322712998141292</v>
      </c>
      <c r="EN5" s="60">
        <f t="shared" si="20"/>
        <v>174.12955258731498</v>
      </c>
      <c r="EO5" s="60">
        <f ca="1">AVERAGE(OFFSET($EN$3,0,0,'Données projet'!$E$15+1,1))-AVERAGE(OFFSET($H$3,0,0,'Données projet'!$E$15+1,1))</f>
        <v>496.33873798282525</v>
      </c>
      <c r="EP5" s="60">
        <f t="shared" ref="EP5:EP68" si="46">$EP$3</f>
        <v>280.25465074992246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2.4933333333333332</v>
      </c>
      <c r="FE5" s="13">
        <f>IF('Données projet'!$A$218&gt;35,FE4+FD5-FM4,IF(A5&lt;'Données projet'!$A$218,$FB$205^A5,IF(A5='Données projet'!$A$218,'Données projet'!$B$218,FE4+FD5-FM4)))</f>
        <v>1.6207506842533985</v>
      </c>
      <c r="FF5" s="18">
        <f>FE5*VLOOKUP('Données projet'!$B$16,Paramètres!$A$1:$I$89,3,0)*VLOOKUP('Données projet'!$B$16,Paramètres!$A$1:$I$89,5,0)</f>
        <v>1.4158877977637692</v>
      </c>
      <c r="FG5" s="14">
        <f t="shared" ref="FG5:FG68" si="47">EXP(-1.0587+0.8836*LN(FF5)+0.284)</f>
        <v>0.62661551960081552</v>
      </c>
      <c r="FH5" s="22">
        <f t="shared" si="22"/>
        <v>3.5573599444099848</v>
      </c>
      <c r="FI5" s="60">
        <f t="shared" si="23"/>
        <v>174.15464123191083</v>
      </c>
      <c r="FJ5" s="60">
        <f ca="1">AVERAGE(OFFSET($FI$3,0,0,'Données projet'!$E$16+1,1))-AVERAGE(OFFSET($H$3,0,0,'Données projet'!$E$16+1,1))</f>
        <v>363.28611056308665</v>
      </c>
      <c r="FK5" s="60">
        <f t="shared" ref="FK5:FK68" si="48">$FK$3</f>
        <v>389.43647559455974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3.3333333333333335</v>
      </c>
      <c r="FZ5" s="13">
        <f>IF('Données projet'!$A$244&gt;35,FZ4+FY5-GH4,IF(A5&lt;'Données projet'!$A$244,$FW$205^A5,IF(A5='Données projet'!$A$244,'Données projet'!$B$244,FZ4+FY5-GH4)))</f>
        <v>1.6847262157876479</v>
      </c>
      <c r="GA5" s="18">
        <f>FZ5*VLOOKUP('Données projet'!$B$17,Paramètres!$A$1:$I$89,3,0)*VLOOKUP('Données projet'!$B$17,Paramètres!$A$1:$I$89,5,0)</f>
        <v>1.1301143455503542</v>
      </c>
      <c r="GB5" s="14">
        <f t="shared" ref="GB5:GB68" si="49">EXP(-1.0587+0.8836*LN(GA5)+0.284)</f>
        <v>0.5134415452108555</v>
      </c>
      <c r="GC5" s="22">
        <f t="shared" si="25"/>
        <v>2.8625265097424397</v>
      </c>
      <c r="GD5" s="60">
        <f t="shared" si="26"/>
        <v>173.45980779724329</v>
      </c>
      <c r="GE5" s="60">
        <f ca="1">AVERAGE(OFFSET($GD$3,0,0,'Données projet'!$E$17+1,1))-AVERAGE(OFFSET($H$3,0,0,'Données projet'!$E$17+1,1))</f>
        <v>344.62096650402731</v>
      </c>
      <c r="GF5" s="60">
        <f t="shared" ref="GF5:GF68" si="50">$GF$3</f>
        <v>277.30931495079346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1.6</v>
      </c>
      <c r="N6" s="14">
        <f>IF('Données projet'!$A$36&gt;35,N5+M6-V5,IF(A6&lt;'Données projet'!$A$36,$K$205^A6,IF(A6='Données projet'!$A$36,'Données projet'!$B$36,N5+M6-V5)))</f>
        <v>1.6817928305074288</v>
      </c>
      <c r="O6" s="14">
        <f>N6*VLOOKUP('Données projet'!$B$9,Paramètres!$A$1:$I$89,3,0)*VLOOKUP('Données projet'!$B$9,Paramètres!$A$1:$I$89,5,0)</f>
        <v>1.4429782485753739</v>
      </c>
      <c r="P6" s="14">
        <f t="shared" si="33"/>
        <v>0.6371974227238163</v>
      </c>
      <c r="Q6" s="22">
        <f t="shared" si="2"/>
        <v>3.6229726275127558</v>
      </c>
      <c r="R6" s="60">
        <f t="shared" si="0"/>
        <v>176.97799319739764</v>
      </c>
      <c r="S6" s="60">
        <f ca="1">AVERAGE(OFFSET($R$3,0,0,'Données projet'!$E$9+1,1))-AVERAGE(OFFSET($H$3,0,0,'Données projet'!$E$9+1,1))</f>
        <v>632.26350546340541</v>
      </c>
      <c r="T6" s="60">
        <f t="shared" si="34"/>
        <v>340.45335016367915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2.4933333333333332</v>
      </c>
      <c r="AI6" s="14">
        <f>IF('Données projet'!$A$62&gt;35,AI5+AH6-AQ5,IF(A6&lt;'Données projet'!$A$62,$AF$205^A6,IF(A6='Données projet'!$A$62,'Données projet'!$B$62,AI5+AH6-AQ5)))</f>
        <v>2.0633567375583337</v>
      </c>
      <c r="AJ6" s="14">
        <f>AI6*VLOOKUP('Données projet'!$B$10,Paramètres!$A$1:$I$89,3,0)*VLOOKUP('Données projet'!$B$10,Paramètres!$A$1:$I$89,5,0)</f>
        <v>1.6416066204014104</v>
      </c>
      <c r="AK6" s="14">
        <f t="shared" si="35"/>
        <v>0.71410789921437878</v>
      </c>
      <c r="AL6" s="22">
        <f t="shared" si="4"/>
        <v>4.1028694549974993</v>
      </c>
      <c r="AM6" s="60">
        <f t="shared" si="5"/>
        <v>177.45789002488237</v>
      </c>
      <c r="AN6" s="60">
        <f ca="1">AVERAGE(OFFSET($AM$3,0,0,'Données projet'!$E$10+1,1))-AVERAGE(OFFSET($H$3,0,0,'Données projet'!$E$10+1,1))</f>
        <v>336.25341821407534</v>
      </c>
      <c r="AO6" s="60">
        <f t="shared" si="36"/>
        <v>360.3246221345039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1.6416066204014104</v>
      </c>
      <c r="BF6" s="14">
        <f t="shared" si="37"/>
        <v>0.71410789921437878</v>
      </c>
      <c r="BG6" s="22">
        <f t="shared" si="7"/>
        <v>4.1028694549974993</v>
      </c>
      <c r="BH6" s="60">
        <f t="shared" si="8"/>
        <v>177.45789002488237</v>
      </c>
      <c r="BI6" s="60">
        <f ca="1">AVERAGE(OFFSET($BH$3,0,0,'Données projet'!$E$11+1,1))-AVERAGE(OFFSET($H$3,0,0,'Données projet'!$E$11+1,1))</f>
        <v>336.25341821407534</v>
      </c>
      <c r="BJ6" s="60">
        <f t="shared" si="38"/>
        <v>360.3246221345039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1.5850391202371266</v>
      </c>
      <c r="CA6" s="14">
        <f t="shared" si="39"/>
        <v>0.69232082604846479</v>
      </c>
      <c r="CB6" s="22">
        <f t="shared" si="10"/>
        <v>3.966401906447405</v>
      </c>
      <c r="CC6" s="60">
        <f t="shared" si="11"/>
        <v>177.32142247633229</v>
      </c>
      <c r="CD6" s="60">
        <f ca="1">AVERAGE(OFFSET($CC$3,0,0,'Données projet'!$E$12+1,1))-AVERAGE(OFFSET($H$3,0,0,'Données projet'!$E$12+1,1))</f>
        <v>469.67944008675863</v>
      </c>
      <c r="CE6" s="60">
        <f t="shared" si="40"/>
        <v>266.11908070867173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0">
        <f t="shared" si="14"/>
        <v>177.43279037341409</v>
      </c>
      <c r="CY6" s="60">
        <f ca="1">AVERAGE(OFFSET($CX$3,0,0,'Données projet'!$E$13+1,1))-AVERAGE(OFFSET($H$3,0,0,'Données projet'!$E$13+1,1))</f>
        <v>312.59632808777332</v>
      </c>
      <c r="CZ6" s="60">
        <f t="shared" si="42"/>
        <v>302.59481222418219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2.4358974358974361</v>
      </c>
      <c r="DO6" s="13">
        <f>IF('Données projet'!$A$166&gt;35,DO5+DN6-DW5,IF(A6&lt;'Données projet'!$A$166,$DL$205^A6,IF(A6='Données projet'!$A$166,'Données projet'!$B$166,DO5+DN6-DW5)))</f>
        <v>2.0537617042422203</v>
      </c>
      <c r="DP6" s="18">
        <f>DO6*VLOOKUP('Données projet'!$B$14,Paramètres!$A$1:$I$89,3,0)*VLOOKUP('Données projet'!$B$14,Paramètres!$A$1:$I$89,5,0)</f>
        <v>1.9543596377568968</v>
      </c>
      <c r="DQ6" s="14">
        <f t="shared" si="43"/>
        <v>0.83307409051865666</v>
      </c>
      <c r="DR6" s="22">
        <f t="shared" si="16"/>
        <v>4.8547804100799219</v>
      </c>
      <c r="DS6" s="60">
        <f t="shared" si="17"/>
        <v>178.2098009799648</v>
      </c>
      <c r="DT6" s="60">
        <f ca="1">AVERAGE(OFFSET($DS$3,0,0,'Données projet'!$E$14+1,1))-AVERAGE(OFFSET($H$3,0,0,'Données projet'!$E$14+1,1))</f>
        <v>398.29746143975166</v>
      </c>
      <c r="DU6" s="60">
        <f t="shared" si="44"/>
        <v>300.63705521148802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1.694352163012101</v>
      </c>
      <c r="EL6" s="14">
        <f t="shared" si="45"/>
        <v>0.73434428233124405</v>
      </c>
      <c r="EM6" s="22">
        <f t="shared" si="19"/>
        <v>4.2299796423063247</v>
      </c>
      <c r="EN6" s="60">
        <f t="shared" si="20"/>
        <v>177.5850002121912</v>
      </c>
      <c r="EO6" s="60">
        <f ca="1">AVERAGE(OFFSET($EN$3,0,0,'Données projet'!$E$15+1,1))-AVERAGE(OFFSET($H$3,0,0,'Données projet'!$E$15+1,1))</f>
        <v>496.33873798282525</v>
      </c>
      <c r="EP6" s="60">
        <f t="shared" si="46"/>
        <v>280.25465074992246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2.4933333333333332</v>
      </c>
      <c r="FE6" s="13">
        <f>IF('Données projet'!$A$218&gt;35,FE5+FD6-FM5,IF(A6&lt;'Données projet'!$A$218,$FB$205^A6,IF(A6='Données projet'!$A$218,'Données projet'!$B$218,FE5+FD6-FM5)))</f>
        <v>2.0633567375583337</v>
      </c>
      <c r="FF6" s="18">
        <f>FE6*VLOOKUP('Données projet'!$B$16,Paramètres!$A$1:$I$89,3,0)*VLOOKUP('Données projet'!$B$16,Paramètres!$A$1:$I$89,5,0)</f>
        <v>1.8025484459309604</v>
      </c>
      <c r="FG6" s="14">
        <f t="shared" si="47"/>
        <v>0.77562852070138621</v>
      </c>
      <c r="FH6" s="22">
        <f t="shared" si="22"/>
        <v>4.4903248835513372</v>
      </c>
      <c r="FI6" s="60">
        <f t="shared" si="23"/>
        <v>177.84534545343621</v>
      </c>
      <c r="FJ6" s="60">
        <f ca="1">AVERAGE(OFFSET($FI$3,0,0,'Données projet'!$E$16+1,1))-AVERAGE(OFFSET($H$3,0,0,'Données projet'!$E$16+1,1))</f>
        <v>363.28611056308665</v>
      </c>
      <c r="FK6" s="60">
        <f t="shared" si="48"/>
        <v>389.43647559455974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3.3333333333333335</v>
      </c>
      <c r="FZ6" s="13">
        <f>IF('Données projet'!$A$244&gt;35,FZ5+FY6-GH5,IF(A6&lt;'Données projet'!$A$244,$FW$205^A6,IF(A6='Données projet'!$A$244,'Données projet'!$B$244,FZ5+FY6-GH5)))</f>
        <v>2.1867241478865562</v>
      </c>
      <c r="GA6" s="18">
        <f>FZ6*VLOOKUP('Données projet'!$B$17,Paramètres!$A$1:$I$89,3,0)*VLOOKUP('Données projet'!$B$17,Paramètres!$A$1:$I$89,5,0)</f>
        <v>1.4668545584023018</v>
      </c>
      <c r="GB6" s="14">
        <f t="shared" si="49"/>
        <v>0.64650467023192038</v>
      </c>
      <c r="GC6" s="22">
        <f t="shared" si="25"/>
        <v>3.6807673232046039</v>
      </c>
      <c r="GD6" s="60">
        <f t="shared" si="26"/>
        <v>177.03578789308949</v>
      </c>
      <c r="GE6" s="60">
        <f ca="1">AVERAGE(OFFSET($GD$3,0,0,'Données projet'!$E$17+1,1))-AVERAGE(OFFSET($H$3,0,0,'Données projet'!$E$17+1,1))</f>
        <v>344.62096650402731</v>
      </c>
      <c r="GF6" s="60">
        <f t="shared" si="50"/>
        <v>277.30931495079346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1.6</v>
      </c>
      <c r="N7" s="14">
        <f>IF('Données projet'!$A$36&gt;35,N6+M7-V6,IF(A7&lt;'Données projet'!$A$36,$K$205^A7,IF(A7='Données projet'!$A$36,'Données projet'!$B$36,N6+M7-V6)))</f>
        <v>1.9999999999999996</v>
      </c>
      <c r="O7" s="14">
        <f>N7*VLOOKUP('Données projet'!$B$9,Paramètres!$A$1:$I$89,3,0)*VLOOKUP('Données projet'!$B$9,Paramètres!$A$1:$I$89,5,0)</f>
        <v>1.7159999999999997</v>
      </c>
      <c r="P7" s="14">
        <f t="shared" si="33"/>
        <v>0.74262837066960552</v>
      </c>
      <c r="Q7" s="22">
        <f t="shared" si="2"/>
        <v>4.2821110789162296</v>
      </c>
      <c r="R7" s="60">
        <f t="shared" si="0"/>
        <v>180.36823314309316</v>
      </c>
      <c r="S7" s="60">
        <f ca="1">AVERAGE(OFFSET($R$3,0,0,'Données projet'!$E$9+1,1))-AVERAGE(OFFSET($H$3,0,0,'Données projet'!$E$9+1,1))</f>
        <v>632.26350546340541</v>
      </c>
      <c r="T7" s="60">
        <f t="shared" si="34"/>
        <v>340.45335016367915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2.4933333333333332</v>
      </c>
      <c r="AI7" s="14">
        <f>IF('Données projet'!$A$62&gt;35,AI6+AH7-AQ6,IF(A7&lt;'Données projet'!$A$62,$AF$205^A7,IF(A7='Données projet'!$A$62,'Données projet'!$B$62,AI6+AH7-AQ6)))</f>
        <v>2.6268327805078595</v>
      </c>
      <c r="AJ7" s="14">
        <f>AI7*VLOOKUP('Données projet'!$B$10,Paramètres!$A$1:$I$89,3,0)*VLOOKUP('Données projet'!$B$10,Paramètres!$A$1:$I$89,5,0)</f>
        <v>2.0899081601720533</v>
      </c>
      <c r="AK7" s="14">
        <f t="shared" si="35"/>
        <v>0.88392712303339283</v>
      </c>
      <c r="AL7" s="22">
        <f t="shared" si="4"/>
        <v>5.1794297849161515</v>
      </c>
      <c r="AM7" s="60">
        <f t="shared" si="5"/>
        <v>181.2655518490931</v>
      </c>
      <c r="AN7" s="60">
        <f ca="1">AVERAGE(OFFSET($AM$3,0,0,'Données projet'!$E$10+1,1))-AVERAGE(OFFSET($H$3,0,0,'Données projet'!$E$10+1,1))</f>
        <v>336.25341821407534</v>
      </c>
      <c r="AO7" s="60">
        <f t="shared" si="36"/>
        <v>360.3246221345039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2.0899081601720533</v>
      </c>
      <c r="BF7" s="14">
        <f t="shared" si="37"/>
        <v>0.88392712303339283</v>
      </c>
      <c r="BG7" s="22">
        <f t="shared" si="7"/>
        <v>5.1794297849161515</v>
      </c>
      <c r="BH7" s="60">
        <f t="shared" si="8"/>
        <v>181.2655518490931</v>
      </c>
      <c r="BI7" s="60">
        <f ca="1">AVERAGE(OFFSET($BH$3,0,0,'Données projet'!$E$11+1,1))-AVERAGE(OFFSET($H$3,0,0,'Données projet'!$E$11+1,1))</f>
        <v>336.25341821407534</v>
      </c>
      <c r="BJ7" s="60">
        <f t="shared" si="38"/>
        <v>360.3246221345039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1.9107437601419195</v>
      </c>
      <c r="CA7" s="14">
        <f t="shared" si="39"/>
        <v>0.81662477151702284</v>
      </c>
      <c r="CB7" s="22">
        <f t="shared" si="10"/>
        <v>4.7501668593059909</v>
      </c>
      <c r="CC7" s="60">
        <f t="shared" si="11"/>
        <v>180.83628892348293</v>
      </c>
      <c r="CD7" s="60">
        <f ca="1">AVERAGE(OFFSET($CC$3,0,0,'Données projet'!$E$12+1,1))-AVERAGE(OFFSET($H$3,0,0,'Données projet'!$E$12+1,1))</f>
        <v>469.67944008675863</v>
      </c>
      <c r="CE7" s="60">
        <f t="shared" si="40"/>
        <v>266.11908070867173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0">
        <f t="shared" si="14"/>
        <v>181.25615849813238</v>
      </c>
      <c r="CY7" s="60">
        <f ca="1">AVERAGE(OFFSET($CX$3,0,0,'Données projet'!$E$13+1,1))-AVERAGE(OFFSET($H$3,0,0,'Données projet'!$E$13+1,1))</f>
        <v>312.59632808777332</v>
      </c>
      <c r="CZ7" s="60">
        <f t="shared" si="42"/>
        <v>302.59481222418219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2.4358974358974361</v>
      </c>
      <c r="DO7" s="13">
        <f>IF('Données projet'!$A$166&gt;35,DO6+DN7-DW6,IF(A7&lt;'Données projet'!$A$166,$DL$205^A7,IF(A7='Données projet'!$A$166,'Données projet'!$B$166,DO6+DN7-DW6)))</f>
        <v>2.610558332842511</v>
      </c>
      <c r="DP7" s="18">
        <f>DO7*VLOOKUP('Données projet'!$B$14,Paramètres!$A$1:$I$89,3,0)*VLOOKUP('Données projet'!$B$14,Paramètres!$A$1:$I$89,5,0)</f>
        <v>2.4842073095329336</v>
      </c>
      <c r="DQ7" s="14">
        <f t="shared" si="43"/>
        <v>1.029769527335997</v>
      </c>
      <c r="DR7" s="22">
        <f t="shared" si="16"/>
        <v>6.1201763242133866</v>
      </c>
      <c r="DS7" s="60">
        <f t="shared" si="17"/>
        <v>182.20629838839034</v>
      </c>
      <c r="DT7" s="60">
        <f ca="1">AVERAGE(OFFSET($DS$3,0,0,'Données projet'!$E$14+1,1))-AVERAGE(OFFSET($H$3,0,0,'Données projet'!$E$14+1,1))</f>
        <v>398.29746143975166</v>
      </c>
      <c r="DU7" s="60">
        <f t="shared" si="44"/>
        <v>300.63705521148802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2.042519191875845</v>
      </c>
      <c r="EL7" s="14">
        <f t="shared" si="45"/>
        <v>0.86619340226463792</v>
      </c>
      <c r="EM7" s="22">
        <f t="shared" si="19"/>
        <v>5.0660077681280073</v>
      </c>
      <c r="EN7" s="60">
        <f t="shared" si="20"/>
        <v>181.15212983230495</v>
      </c>
      <c r="EO7" s="60">
        <f ca="1">AVERAGE(OFFSET($EN$3,0,0,'Données projet'!$E$15+1,1))-AVERAGE(OFFSET($H$3,0,0,'Données projet'!$E$15+1,1))</f>
        <v>496.33873798282525</v>
      </c>
      <c r="EP7" s="60">
        <f t="shared" si="46"/>
        <v>280.25465074992246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2.4933333333333332</v>
      </c>
      <c r="FE7" s="13">
        <f>IF('Données projet'!$A$218&gt;35,FE6+FD7-FM6,IF(A7&lt;'Données projet'!$A$218,$FB$205^A7,IF(A7='Données projet'!$A$218,'Données projet'!$B$218,FE6+FD7-FM6)))</f>
        <v>2.6268327805078595</v>
      </c>
      <c r="FF7" s="18">
        <f>FE7*VLOOKUP('Données projet'!$B$16,Paramètres!$A$1:$I$89,3,0)*VLOOKUP('Données projet'!$B$16,Paramètres!$A$1:$I$89,5,0)</f>
        <v>2.2948011170516667</v>
      </c>
      <c r="FG7" s="14">
        <f t="shared" si="47"/>
        <v>0.96007772438938166</v>
      </c>
      <c r="FH7" s="22">
        <f t="shared" si="22"/>
        <v>5.6689139821764911</v>
      </c>
      <c r="FI7" s="60">
        <f t="shared" si="23"/>
        <v>181.75503604635344</v>
      </c>
      <c r="FJ7" s="60">
        <f ca="1">AVERAGE(OFFSET($FI$3,0,0,'Données projet'!$E$16+1,1))-AVERAGE(OFFSET($H$3,0,0,'Données projet'!$E$16+1,1))</f>
        <v>363.28611056308665</v>
      </c>
      <c r="FK7" s="60">
        <f t="shared" si="48"/>
        <v>389.43647559455974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3.3333333333333335</v>
      </c>
      <c r="FZ7" s="13">
        <f>IF('Données projet'!$A$244&gt;35,FZ6+FY7-GH6,IF(A7&lt;'Données projet'!$A$244,$FW$205^A7,IF(A7='Données projet'!$A$244,'Données projet'!$B$244,FZ6+FY7-GH6)))</f>
        <v>2.8383024221621684</v>
      </c>
      <c r="GA7" s="18">
        <f>FZ7*VLOOKUP('Données projet'!$B$17,Paramètres!$A$1:$I$89,3,0)*VLOOKUP('Données projet'!$B$17,Paramètres!$A$1:$I$89,5,0)</f>
        <v>1.9039332647863827</v>
      </c>
      <c r="GB7" s="14">
        <f t="shared" si="49"/>
        <v>0.81405233474053373</v>
      </c>
      <c r="GC7" s="22">
        <f t="shared" si="25"/>
        <v>4.7338249191760466</v>
      </c>
      <c r="GD7" s="60">
        <f t="shared" si="26"/>
        <v>180.81994698335299</v>
      </c>
      <c r="GE7" s="60">
        <f ca="1">AVERAGE(OFFSET($GD$3,0,0,'Données projet'!$E$17+1,1))-AVERAGE(OFFSET($H$3,0,0,'Données projet'!$E$17+1,1))</f>
        <v>344.62096650402731</v>
      </c>
      <c r="GF7" s="60">
        <f t="shared" si="50"/>
        <v>277.30931495079346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1.6</v>
      </c>
      <c r="N8" s="14">
        <f>IF('Données projet'!$A$36&gt;35,N7+M8-V7,IF(A8&lt;'Données projet'!$A$36,$K$205^A8,IF(A8='Données projet'!$A$36,'Données projet'!$B$36,N7+M8-V7)))</f>
        <v>2.3784142300054416</v>
      </c>
      <c r="O8" s="14">
        <f>N8*VLOOKUP('Données projet'!$B$9,Paramètres!$A$1:$I$89,3,0)*VLOOKUP('Données projet'!$B$9,Paramètres!$A$1:$I$89,5,0)</f>
        <v>2.0406794093446692</v>
      </c>
      <c r="P8" s="14">
        <f t="shared" si="33"/>
        <v>0.86550396667632346</v>
      </c>
      <c r="Q8" s="22">
        <f t="shared" si="2"/>
        <v>5.061602713236562</v>
      </c>
      <c r="R8" s="60">
        <f t="shared" si="0"/>
        <v>183.85265058968392</v>
      </c>
      <c r="S8" s="60">
        <f ca="1">AVERAGE(OFFSET($R$3,0,0,'Données projet'!$E$9+1,1))-AVERAGE(OFFSET($H$3,0,0,'Données projet'!$E$9+1,1))</f>
        <v>632.26350546340541</v>
      </c>
      <c r="T8" s="60">
        <f t="shared" si="34"/>
        <v>340.45335016367915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2.4933333333333332</v>
      </c>
      <c r="AI8" s="14">
        <f>IF('Données projet'!$A$62&gt;35,AI7+AH8-AQ7,IF(A8&lt;'Données projet'!$A$62,$AF$205^A8,IF(A8='Données projet'!$A$62,'Données projet'!$B$62,AI7+AH8-AQ7)))</f>
        <v>3.3441868442565297</v>
      </c>
      <c r="AJ8" s="14">
        <f>AI8*VLOOKUP('Données projet'!$B$10,Paramètres!$A$1:$I$89,3,0)*VLOOKUP('Données projet'!$B$10,Paramètres!$A$1:$I$89,5,0)</f>
        <v>2.6606350532904952</v>
      </c>
      <c r="AK8" s="14">
        <f t="shared" si="35"/>
        <v>1.0941303963920053</v>
      </c>
      <c r="AL8" s="22">
        <f t="shared" si="4"/>
        <v>6.5395498248636885</v>
      </c>
      <c r="AM8" s="60">
        <f t="shared" si="5"/>
        <v>185.33059770131104</v>
      </c>
      <c r="AN8" s="60">
        <f ca="1">AVERAGE(OFFSET($AM$3,0,0,'Données projet'!$E$10+1,1))-AVERAGE(OFFSET($H$3,0,0,'Données projet'!$E$10+1,1))</f>
        <v>336.25341821407534</v>
      </c>
      <c r="AO8" s="60">
        <f t="shared" si="36"/>
        <v>360.3246221345039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2.6606350532904952</v>
      </c>
      <c r="BF8" s="14">
        <f t="shared" si="37"/>
        <v>1.0941303963920053</v>
      </c>
      <c r="BG8" s="22">
        <f t="shared" si="7"/>
        <v>6.5395498248636885</v>
      </c>
      <c r="BH8" s="60">
        <f t="shared" si="8"/>
        <v>185.33059770131104</v>
      </c>
      <c r="BI8" s="60">
        <f ca="1">AVERAGE(OFFSET($BH$3,0,0,'Données projet'!$E$11+1,1))-AVERAGE(OFFSET($H$3,0,0,'Données projet'!$E$11+1,1))</f>
        <v>336.25341821407534</v>
      </c>
      <c r="BJ8" s="60">
        <f t="shared" si="38"/>
        <v>360.3246221345039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2.3033764090157529</v>
      </c>
      <c r="CA8" s="14">
        <f t="shared" si="39"/>
        <v>0.96324708482559218</v>
      </c>
      <c r="CB8" s="22">
        <f t="shared" si="10"/>
        <v>5.6893692517736758</v>
      </c>
      <c r="CC8" s="60">
        <f t="shared" si="11"/>
        <v>184.48041712822103</v>
      </c>
      <c r="CD8" s="60">
        <f ca="1">AVERAGE(OFFSET($CC$3,0,0,'Données projet'!$E$12+1,1))-AVERAGE(OFFSET($H$3,0,0,'Données projet'!$E$12+1,1))</f>
        <v>469.67944008675863</v>
      </c>
      <c r="CE8" s="60">
        <f t="shared" si="40"/>
        <v>266.11908070867173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0">
        <f t="shared" si="14"/>
        <v>185.3470463579701</v>
      </c>
      <c r="CY8" s="60">
        <f ca="1">AVERAGE(OFFSET($CX$3,0,0,'Données projet'!$E$13+1,1))-AVERAGE(OFFSET($H$3,0,0,'Données projet'!$E$13+1,1))</f>
        <v>312.59632808777332</v>
      </c>
      <c r="CZ8" s="60">
        <f t="shared" si="42"/>
        <v>302.59481222418219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2.4358974358974361</v>
      </c>
      <c r="DO8" s="13">
        <f>IF('Données projet'!$A$166&gt;35,DO7+DN8-DW7,IF(A8&lt;'Données projet'!$A$166,$DL$205^A8,IF(A8='Données projet'!$A$166,'Données projet'!$B$166,DO7+DN8-DW7)))</f>
        <v>3.3183084459586891</v>
      </c>
      <c r="DP8" s="18">
        <f>DO8*VLOOKUP('Données projet'!$B$14,Paramètres!$A$1:$I$89,3,0)*VLOOKUP('Données projet'!$B$14,Paramètres!$A$1:$I$89,5,0)</f>
        <v>3.1577023171742886</v>
      </c>
      <c r="DQ8" s="14">
        <f t="shared" si="43"/>
        <v>1.2729063254981332</v>
      </c>
      <c r="DR8" s="22">
        <f t="shared" si="16"/>
        <v>7.7166433859878012</v>
      </c>
      <c r="DS8" s="60">
        <f t="shared" si="17"/>
        <v>186.50769126243515</v>
      </c>
      <c r="DT8" s="60">
        <f ca="1">AVERAGE(OFFSET($DS$3,0,0,'Données projet'!$E$14+1,1))-AVERAGE(OFFSET($H$3,0,0,'Données projet'!$E$14+1,1))</f>
        <v>398.29746143975166</v>
      </c>
      <c r="DU8" s="60">
        <f t="shared" si="44"/>
        <v>300.63705521148802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2.4622299544651152</v>
      </c>
      <c r="EL8" s="14">
        <f t="shared" si="45"/>
        <v>1.021715601495419</v>
      </c>
      <c r="EM8" s="22">
        <f t="shared" si="19"/>
        <v>6.0678718432979295</v>
      </c>
      <c r="EN8" s="60">
        <f t="shared" si="20"/>
        <v>184.85891971974527</v>
      </c>
      <c r="EO8" s="60">
        <f ca="1">AVERAGE(OFFSET($EN$3,0,0,'Données projet'!$E$15+1,1))-AVERAGE(OFFSET($H$3,0,0,'Données projet'!$E$15+1,1))</f>
        <v>496.33873798282525</v>
      </c>
      <c r="EP8" s="60">
        <f t="shared" si="46"/>
        <v>280.25465074992246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2.4933333333333332</v>
      </c>
      <c r="FE8" s="13">
        <f>IF('Données projet'!$A$218&gt;35,FE7+FD8-FM7,IF(A8&lt;'Données projet'!$A$218,$FB$205^A8,IF(A8='Données projet'!$A$218,'Données projet'!$B$218,FE7+FD8-FM7)))</f>
        <v>3.3441868442565297</v>
      </c>
      <c r="FF8" s="18">
        <f>FE8*VLOOKUP('Données projet'!$B$16,Paramètres!$A$1:$I$89,3,0)*VLOOKUP('Données projet'!$B$16,Paramètres!$A$1:$I$89,5,0)</f>
        <v>2.9214816271425046</v>
      </c>
      <c r="FG8" s="14">
        <f t="shared" si="47"/>
        <v>1.1883900762637927</v>
      </c>
      <c r="FH8" s="22">
        <f t="shared" si="22"/>
        <v>7.1580265500992999</v>
      </c>
      <c r="FI8" s="60">
        <f t="shared" si="23"/>
        <v>185.94907442654664</v>
      </c>
      <c r="FJ8" s="60">
        <f ca="1">AVERAGE(OFFSET($FI$3,0,0,'Données projet'!$E$16+1,1))-AVERAGE(OFFSET($H$3,0,0,'Données projet'!$E$16+1,1))</f>
        <v>363.28611056308665</v>
      </c>
      <c r="FK8" s="60">
        <f t="shared" si="48"/>
        <v>389.43647559455974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3.3333333333333335</v>
      </c>
      <c r="FZ8" s="13">
        <f>IF('Données projet'!$A$244&gt;35,FZ7+FY8-GH7,IF(A8&lt;'Données projet'!$A$244,$FW$205^A8,IF(A8='Données projet'!$A$244,'Données projet'!$B$244,FZ7+FY8-GH7)))</f>
        <v>3.6840314986403868</v>
      </c>
      <c r="GA8" s="18">
        <f>FZ8*VLOOKUP('Données projet'!$B$17,Paramètres!$A$1:$I$89,3,0)*VLOOKUP('Données projet'!$B$17,Paramètres!$A$1:$I$89,5,0)</f>
        <v>2.4712483292879717</v>
      </c>
      <c r="GB8" s="14">
        <f t="shared" si="49"/>
        <v>1.0250215260762008</v>
      </c>
      <c r="GC8" s="22">
        <f t="shared" si="25"/>
        <v>6.0893366647592657</v>
      </c>
      <c r="GD8" s="60">
        <f t="shared" si="26"/>
        <v>184.88038454120661</v>
      </c>
      <c r="GE8" s="60">
        <f ca="1">AVERAGE(OFFSET($GD$3,0,0,'Données projet'!$E$17+1,1))-AVERAGE(OFFSET($H$3,0,0,'Données projet'!$E$17+1,1))</f>
        <v>344.62096650402731</v>
      </c>
      <c r="GF8" s="60">
        <f t="shared" si="50"/>
        <v>277.30931495079346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1.6</v>
      </c>
      <c r="N9" s="14">
        <f>IF('Données projet'!$A$36&gt;35,N8+M9-V8,IF(A9&lt;'Données projet'!$A$36,$K$205^A9,IF(A9='Données projet'!$A$36,'Données projet'!$B$36,N8+M9-V8)))</f>
        <v>2.8284271247461894</v>
      </c>
      <c r="O9" s="14">
        <f>N9*VLOOKUP('Données projet'!$B$9,Paramètres!$A$1:$I$89,3,0)*VLOOKUP('Données projet'!$B$9,Paramètres!$A$1:$I$89,5,0)</f>
        <v>2.4267904730322307</v>
      </c>
      <c r="P9" s="14">
        <f t="shared" si="33"/>
        <v>1.0087106093953995</v>
      </c>
      <c r="Q9" s="22">
        <f t="shared" si="2"/>
        <v>5.9834977185614555</v>
      </c>
      <c r="R9" s="60">
        <f t="shared" si="0"/>
        <v>187.45374981482044</v>
      </c>
      <c r="S9" s="60">
        <f ca="1">AVERAGE(OFFSET($R$3,0,0,'Données projet'!$E$9+1,1))-AVERAGE(OFFSET($H$3,0,0,'Données projet'!$E$9+1,1))</f>
        <v>632.26350546340541</v>
      </c>
      <c r="T9" s="60">
        <f t="shared" si="34"/>
        <v>340.45335016367915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2.4933333333333332</v>
      </c>
      <c r="AI9" s="14">
        <f>IF('Données projet'!$A$62&gt;35,AI8+AH9-AQ8,IF(A9&lt;'Données projet'!$A$62,$AF$205^A9,IF(A9='Données projet'!$A$62,'Données projet'!$B$62,AI8+AH9-AQ8)))</f>
        <v>4.2574410264273705</v>
      </c>
      <c r="AJ9" s="14">
        <f>AI9*VLOOKUP('Données projet'!$B$10,Paramètres!$A$1:$I$89,3,0)*VLOOKUP('Données projet'!$B$10,Paramètres!$A$1:$I$89,5,0)</f>
        <v>3.3872200806256161</v>
      </c>
      <c r="AK9" s="14">
        <f t="shared" si="35"/>
        <v>1.3543212931409303</v>
      </c>
      <c r="AL9" s="22">
        <f t="shared" si="4"/>
        <v>8.2581845593100685</v>
      </c>
      <c r="AM9" s="60">
        <f t="shared" si="5"/>
        <v>189.72843665556906</v>
      </c>
      <c r="AN9" s="60">
        <f ca="1">AVERAGE(OFFSET($AM$3,0,0,'Données projet'!$E$10+1,1))-AVERAGE(OFFSET($H$3,0,0,'Données projet'!$E$10+1,1))</f>
        <v>336.25341821407534</v>
      </c>
      <c r="AO9" s="60">
        <f t="shared" si="36"/>
        <v>360.3246221345039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3.3872200806256161</v>
      </c>
      <c r="BF9" s="14">
        <f t="shared" si="37"/>
        <v>1.3543212931409303</v>
      </c>
      <c r="BG9" s="22">
        <f t="shared" si="7"/>
        <v>8.2581845593100685</v>
      </c>
      <c r="BH9" s="60">
        <f t="shared" si="8"/>
        <v>189.72843665556906</v>
      </c>
      <c r="BI9" s="60">
        <f ca="1">AVERAGE(OFFSET($BH$3,0,0,'Données projet'!$E$11+1,1))-AVERAGE(OFFSET($H$3,0,0,'Données projet'!$E$11+1,1))</f>
        <v>336.25341821407534</v>
      </c>
      <c r="BJ9" s="60">
        <f t="shared" si="38"/>
        <v>360.3246221345039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2.7766898902321886</v>
      </c>
      <c r="CA9" s="14">
        <f t="shared" si="39"/>
        <v>1.1361949561012803</v>
      </c>
      <c r="CB9" s="22">
        <f t="shared" si="10"/>
        <v>6.8149411073641248</v>
      </c>
      <c r="CC9" s="60">
        <f t="shared" si="11"/>
        <v>188.28519320362309</v>
      </c>
      <c r="CD9" s="60">
        <f ca="1">AVERAGE(OFFSET($CC$3,0,0,'Données projet'!$E$12+1,1))-AVERAGE(OFFSET($H$3,0,0,'Données projet'!$E$12+1,1))</f>
        <v>469.67944008675863</v>
      </c>
      <c r="CE9" s="60">
        <f t="shared" si="40"/>
        <v>266.11908070867173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0">
        <f t="shared" si="14"/>
        <v>189.78516218149196</v>
      </c>
      <c r="CY9" s="60">
        <f ca="1">AVERAGE(OFFSET($CX$3,0,0,'Données projet'!$E$13+1,1))-AVERAGE(OFFSET($H$3,0,0,'Données projet'!$E$13+1,1))</f>
        <v>312.59632808777332</v>
      </c>
      <c r="CZ9" s="60">
        <f t="shared" si="42"/>
        <v>302.59481222418219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2.4358974358974361</v>
      </c>
      <c r="DO9" s="13">
        <f>IF('Données projet'!$A$166&gt;35,DO8+DN9-DW8,IF(A9&lt;'Données projet'!$A$166,$DL$205^A9,IF(A9='Données projet'!$A$166,'Données projet'!$B$166,DO8+DN9-DW8)))</f>
        <v>4.2179371378119086</v>
      </c>
      <c r="DP9" s="18">
        <f>DO9*VLOOKUP('Données projet'!$B$14,Paramètres!$A$1:$I$89,3,0)*VLOOKUP('Données projet'!$B$14,Paramètres!$A$1:$I$89,5,0)</f>
        <v>4.0137889803418121</v>
      </c>
      <c r="DQ9" s="14">
        <f t="shared" si="43"/>
        <v>1.5734496608040387</v>
      </c>
      <c r="DR9" s="22">
        <f t="shared" si="16"/>
        <v>9.7311072999956902</v>
      </c>
      <c r="DS9" s="60">
        <f t="shared" si="17"/>
        <v>191.20135939625467</v>
      </c>
      <c r="DT9" s="60">
        <f ca="1">AVERAGE(OFFSET($DS$3,0,0,'Données projet'!$E$14+1,1))-AVERAGE(OFFSET($H$3,0,0,'Données projet'!$E$14+1,1))</f>
        <v>398.29746143975166</v>
      </c>
      <c r="DU9" s="60">
        <f t="shared" si="44"/>
        <v>300.63705521148802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2.9681857447309605</v>
      </c>
      <c r="EL9" s="14">
        <f t="shared" si="45"/>
        <v>1.2051613041728233</v>
      </c>
      <c r="EM9" s="22">
        <f t="shared" si="19"/>
        <v>7.2685794435074236</v>
      </c>
      <c r="EN9" s="60">
        <f t="shared" si="20"/>
        <v>188.73883153976641</v>
      </c>
      <c r="EO9" s="60">
        <f ca="1">AVERAGE(OFFSET($EN$3,0,0,'Données projet'!$E$15+1,1))-AVERAGE(OFFSET($H$3,0,0,'Données projet'!$E$15+1,1))</f>
        <v>496.33873798282525</v>
      </c>
      <c r="EP9" s="60">
        <f t="shared" si="46"/>
        <v>280.25465074992246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2.4933333333333332</v>
      </c>
      <c r="FE9" s="13">
        <f>IF('Données projet'!$A$218&gt;35,FE8+FD9-FM8,IF(A9&lt;'Données projet'!$A$218,$FB$205^A9,IF(A9='Données projet'!$A$218,'Données projet'!$B$218,FE8+FD9-FM8)))</f>
        <v>4.2574410264273705</v>
      </c>
      <c r="FF9" s="18">
        <f>FE9*VLOOKUP('Données projet'!$B$16,Paramètres!$A$1:$I$89,3,0)*VLOOKUP('Données projet'!$B$16,Paramètres!$A$1:$I$89,5,0)</f>
        <v>3.7193004806869516</v>
      </c>
      <c r="FG9" s="14">
        <f t="shared" si="47"/>
        <v>1.4709965011014925</v>
      </c>
      <c r="FH9" s="22">
        <f t="shared" si="22"/>
        <v>9.0397672432815401</v>
      </c>
      <c r="FI9" s="60">
        <f t="shared" si="23"/>
        <v>190.51001933954052</v>
      </c>
      <c r="FJ9" s="60">
        <f ca="1">AVERAGE(OFFSET($FI$3,0,0,'Données projet'!$E$16+1,1))-AVERAGE(OFFSET($H$3,0,0,'Données projet'!$E$16+1,1))</f>
        <v>363.28611056308665</v>
      </c>
      <c r="FK9" s="60">
        <f t="shared" si="48"/>
        <v>389.43647559455974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3.3333333333333335</v>
      </c>
      <c r="FZ9" s="13">
        <f>IF('Données projet'!$A$244&gt;35,FZ8+FY9-GH8,IF(A9&lt;'Données projet'!$A$244,$FW$205^A9,IF(A9='Données projet'!$A$244,'Données projet'!$B$244,FZ8+FY9-GH8)))</f>
        <v>4.7817624989501848</v>
      </c>
      <c r="GA9" s="18">
        <f>FZ9*VLOOKUP('Données projet'!$B$17,Paramètres!$A$1:$I$89,3,0)*VLOOKUP('Données projet'!$B$17,Paramètres!$A$1:$I$89,5,0)</f>
        <v>3.2076062842957844</v>
      </c>
      <c r="GB9" s="14">
        <f t="shared" si="49"/>
        <v>1.2906653345014574</v>
      </c>
      <c r="GC9" s="22">
        <f t="shared" si="25"/>
        <v>7.8344897360718626</v>
      </c>
      <c r="GD9" s="60">
        <f t="shared" si="26"/>
        <v>189.30474183233085</v>
      </c>
      <c r="GE9" s="60">
        <f ca="1">AVERAGE(OFFSET($GD$3,0,0,'Données projet'!$E$17+1,1))-AVERAGE(OFFSET($H$3,0,0,'Données projet'!$E$17+1,1))</f>
        <v>344.62096650402731</v>
      </c>
      <c r="GF9" s="60">
        <f t="shared" si="50"/>
        <v>277.30931495079346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1.6</v>
      </c>
      <c r="N10" s="14">
        <f>IF('Données projet'!$A$36&gt;35,N9+M10-V9,IF(A10&lt;'Données projet'!$A$36,$K$205^A10,IF(A10='Données projet'!$A$36,'Données projet'!$B$36,N9+M10-V9)))</f>
        <v>3.3635856610148567</v>
      </c>
      <c r="O10" s="14">
        <f>N10*VLOOKUP('Données projet'!$B$9,Paramètres!$A$1:$I$89,3,0)*VLOOKUP('Données projet'!$B$9,Paramètres!$A$1:$I$89,5,0)</f>
        <v>2.8859564971507474</v>
      </c>
      <c r="P10" s="14">
        <f t="shared" si="33"/>
        <v>1.1756122821876749</v>
      </c>
      <c r="Q10" s="22">
        <f t="shared" si="2"/>
        <v>7.073898957347752</v>
      </c>
      <c r="R10" s="60">
        <f t="shared" si="0"/>
        <v>191.19807989308399</v>
      </c>
      <c r="S10" s="60">
        <f ca="1">AVERAGE(OFFSET($R$3,0,0,'Données projet'!$E$9+1,1))-AVERAGE(OFFSET($H$3,0,0,'Données projet'!$E$9+1,1))</f>
        <v>632.26350546340541</v>
      </c>
      <c r="T10" s="60">
        <f t="shared" si="34"/>
        <v>340.45335016367915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2.4933333333333332</v>
      </c>
      <c r="AI10" s="14">
        <f>IF('Données projet'!$A$62&gt;35,AI9+AH10-AQ9,IF(A10&lt;'Données projet'!$A$62,$AF$205^A10,IF(A10='Données projet'!$A$62,'Données projet'!$B$62,AI9+AH10-AQ9)))</f>
        <v>5.4200931160999835</v>
      </c>
      <c r="AJ10" s="14">
        <f>AI10*VLOOKUP('Données projet'!$B$10,Paramètres!$A$1:$I$89,3,0)*VLOOKUP('Données projet'!$B$10,Paramètres!$A$1:$I$89,5,0)</f>
        <v>4.312226083169147</v>
      </c>
      <c r="AK10" s="14">
        <f t="shared" si="35"/>
        <v>1.6763871756998234</v>
      </c>
      <c r="AL10" s="22">
        <f t="shared" si="4"/>
        <v>10.430168092530124</v>
      </c>
      <c r="AM10" s="60">
        <f t="shared" si="5"/>
        <v>194.55434902826636</v>
      </c>
      <c r="AN10" s="60">
        <f ca="1">AVERAGE(OFFSET($AM$3,0,0,'Données projet'!$E$10+1,1))-AVERAGE(OFFSET($H$3,0,0,'Données projet'!$E$10+1,1))</f>
        <v>336.25341821407534</v>
      </c>
      <c r="AO10" s="60">
        <f t="shared" si="36"/>
        <v>360.3246221345039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4.312226083169147</v>
      </c>
      <c r="BF10" s="14">
        <f t="shared" si="37"/>
        <v>1.6763871756998234</v>
      </c>
      <c r="BG10" s="22">
        <f t="shared" si="7"/>
        <v>10.430168092530124</v>
      </c>
      <c r="BH10" s="60">
        <f t="shared" si="8"/>
        <v>194.55434902826636</v>
      </c>
      <c r="BI10" s="60">
        <f ca="1">AVERAGE(OFFSET($BH$3,0,0,'Données projet'!$E$11+1,1))-AVERAGE(OFFSET($H$3,0,0,'Données projet'!$E$11+1,1))</f>
        <v>336.25341821407534</v>
      </c>
      <c r="BJ10" s="60">
        <f t="shared" si="38"/>
        <v>360.3246221345039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3.3472630510321921</v>
      </c>
      <c r="CA10" s="14">
        <f t="shared" si="39"/>
        <v>1.34019505338418</v>
      </c>
      <c r="CB10" s="22">
        <f t="shared" si="10"/>
        <v>8.1639895318585136</v>
      </c>
      <c r="CC10" s="60">
        <f t="shared" si="11"/>
        <v>192.28817046759474</v>
      </c>
      <c r="CD10" s="60">
        <f ca="1">AVERAGE(OFFSET($CC$3,0,0,'Données projet'!$E$12+1,1))-AVERAGE(OFFSET($H$3,0,0,'Données projet'!$E$12+1,1))</f>
        <v>469.67944008675863</v>
      </c>
      <c r="CE10" s="60">
        <f t="shared" si="40"/>
        <v>266.11908070867173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0">
        <f t="shared" si="14"/>
        <v>194.67166451260897</v>
      </c>
      <c r="CY10" s="60">
        <f ca="1">AVERAGE(OFFSET($CX$3,0,0,'Données projet'!$E$13+1,1))-AVERAGE(OFFSET($H$3,0,0,'Données projet'!$E$13+1,1))</f>
        <v>312.59632808777332</v>
      </c>
      <c r="CZ10" s="60">
        <f t="shared" si="42"/>
        <v>302.59481222418219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2.4358974358974361</v>
      </c>
      <c r="DO10" s="13">
        <f>IF('Données projet'!$A$166&gt;35,DO9+DN10-DW9,IF(A10&lt;'Données projet'!$A$166,$DL$205^A10,IF(A10='Données projet'!$A$166,'Données projet'!$B$166,DO9+DN10-DW9)))</f>
        <v>5.3614647306823651</v>
      </c>
      <c r="DP10" s="18">
        <f>DO10*VLOOKUP('Données projet'!$B$14,Paramètres!$A$1:$I$89,3,0)*VLOOKUP('Données projet'!$B$14,Paramètres!$A$1:$I$89,5,0)</f>
        <v>5.1019698377173386</v>
      </c>
      <c r="DQ10" s="14">
        <f t="shared" si="43"/>
        <v>1.9449536745097864</v>
      </c>
      <c r="DR10" s="22">
        <f t="shared" si="16"/>
        <v>12.273391783795576</v>
      </c>
      <c r="DS10" s="60">
        <f t="shared" si="17"/>
        <v>196.39757271953181</v>
      </c>
      <c r="DT10" s="60">
        <f ca="1">AVERAGE(OFFSET($DS$3,0,0,'Données projet'!$E$14+1,1))-AVERAGE(OFFSET($H$3,0,0,'Données projet'!$E$14+1,1))</f>
        <v>398.29746143975166</v>
      </c>
      <c r="DU10" s="60">
        <f t="shared" si="44"/>
        <v>300.63705521148802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3.5781087786895851</v>
      </c>
      <c r="EL10" s="14">
        <f t="shared" si="45"/>
        <v>1.4215440842341414</v>
      </c>
      <c r="EM10" s="22">
        <f t="shared" si="19"/>
        <v>8.707728736258824</v>
      </c>
      <c r="EN10" s="60">
        <f t="shared" si="20"/>
        <v>192.83190967199505</v>
      </c>
      <c r="EO10" s="60">
        <f ca="1">AVERAGE(OFFSET($EN$3,0,0,'Données projet'!$E$15+1,1))-AVERAGE(OFFSET($H$3,0,0,'Données projet'!$E$15+1,1))</f>
        <v>496.33873798282525</v>
      </c>
      <c r="EP10" s="60">
        <f t="shared" si="46"/>
        <v>280.25465074992246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2.4933333333333332</v>
      </c>
      <c r="FE10" s="13">
        <f>IF('Données projet'!$A$218&gt;35,FE9+FD10-FM9,IF(A10&lt;'Données projet'!$A$218,$FB$205^A10,IF(A10='Données projet'!$A$218,'Données projet'!$B$218,FE9+FD10-FM9)))</f>
        <v>5.4200931160999835</v>
      </c>
      <c r="FF10" s="18">
        <f>FE10*VLOOKUP('Données projet'!$B$16,Paramètres!$A$1:$I$89,3,0)*VLOOKUP('Données projet'!$B$16,Paramètres!$A$1:$I$89,5,0)</f>
        <v>4.7349933462249458</v>
      </c>
      <c r="FG10" s="14">
        <f t="shared" si="47"/>
        <v>1.8208084613561826</v>
      </c>
      <c r="FH10" s="22">
        <f t="shared" si="22"/>
        <v>11.418021481537131</v>
      </c>
      <c r="FI10" s="60">
        <f t="shared" si="23"/>
        <v>195.54220241727336</v>
      </c>
      <c r="FJ10" s="60">
        <f ca="1">AVERAGE(OFFSET($FI$3,0,0,'Données projet'!$E$16+1,1))-AVERAGE(OFFSET($H$3,0,0,'Données projet'!$E$16+1,1))</f>
        <v>363.28611056308665</v>
      </c>
      <c r="FK10" s="60">
        <f t="shared" si="48"/>
        <v>389.43647559455974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3.3333333333333335</v>
      </c>
      <c r="FZ10" s="13">
        <f>IF('Données projet'!$A$244&gt;35,FZ9+FY10-GH9,IF(A10&lt;'Données projet'!$A$244,$FW$205^A10,IF(A10='Données projet'!$A$244,'Données projet'!$B$244,FZ9+FY10-GH9)))</f>
        <v>6.2065844455469161</v>
      </c>
      <c r="GA10" s="18">
        <f>FZ10*VLOOKUP('Données projet'!$B$17,Paramètres!$A$1:$I$89,3,0)*VLOOKUP('Données projet'!$B$17,Paramètres!$A$1:$I$89,5,0)</f>
        <v>4.1633768460728717</v>
      </c>
      <c r="GB10" s="14">
        <f t="shared" si="49"/>
        <v>1.6251531926949223</v>
      </c>
      <c r="GC10" s="22">
        <f t="shared" si="25"/>
        <v>10.081689817520575</v>
      </c>
      <c r="GD10" s="60">
        <f t="shared" si="26"/>
        <v>194.20587075325682</v>
      </c>
      <c r="GE10" s="60">
        <f ca="1">AVERAGE(OFFSET($GD$3,0,0,'Données projet'!$E$17+1,1))-AVERAGE(OFFSET($H$3,0,0,'Données projet'!$E$17+1,1))</f>
        <v>344.62096650402731</v>
      </c>
      <c r="GF10" s="60">
        <f t="shared" si="50"/>
        <v>277.30931495079346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1.6</v>
      </c>
      <c r="N11" s="14">
        <f>IF('Données projet'!$A$36&gt;35,N10+M11-V10,IF(A11&lt;'Données projet'!$A$36,$K$205^A11,IF(A11='Données projet'!$A$36,'Données projet'!$B$36,N10+M11-V10)))</f>
        <v>3.9999999999999982</v>
      </c>
      <c r="O11" s="14">
        <f>N11*VLOOKUP('Données projet'!$B$9,Paramètres!$A$1:$I$89,3,0)*VLOOKUP('Données projet'!$B$9,Paramètres!$A$1:$I$89,5,0)</f>
        <v>3.4319999999999991</v>
      </c>
      <c r="P11" s="14">
        <f t="shared" si="33"/>
        <v>1.3701295744860806</v>
      </c>
      <c r="Q11" s="22">
        <f t="shared" si="2"/>
        <v>8.3637090088965884</v>
      </c>
      <c r="R11" s="60">
        <f t="shared" si="0"/>
        <v>195.11698187511715</v>
      </c>
      <c r="S11" s="60">
        <f ca="1">AVERAGE(OFFSET($R$3,0,0,'Données projet'!$E$9+1,1))-AVERAGE(OFFSET($H$3,0,0,'Données projet'!$E$9+1,1))</f>
        <v>632.26350546340541</v>
      </c>
      <c r="T11" s="60">
        <f t="shared" si="34"/>
        <v>340.45335016367915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2.4933333333333332</v>
      </c>
      <c r="AI11" s="14">
        <f>IF('Données projet'!$A$62&gt;35,AI10+AH11-AQ10,IF(A11&lt;'Données projet'!$A$62,$AF$205^A11,IF(A11='Données projet'!$A$62,'Données projet'!$B$62,AI10+AH11-AQ10)))</f>
        <v>6.9002504567506522</v>
      </c>
      <c r="AJ11" s="14">
        <f>AI11*VLOOKUP('Données projet'!$B$10,Paramètres!$A$1:$I$89,3,0)*VLOOKUP('Données projet'!$B$10,Paramètres!$A$1:$I$89,5,0)</f>
        <v>5.4898392633908193</v>
      </c>
      <c r="AK11" s="14">
        <f t="shared" si="35"/>
        <v>2.0750422939399171</v>
      </c>
      <c r="AL11" s="22">
        <f t="shared" si="4"/>
        <v>13.175502045684366</v>
      </c>
      <c r="AM11" s="60">
        <f t="shared" si="5"/>
        <v>199.92877491190492</v>
      </c>
      <c r="AN11" s="60">
        <f ca="1">AVERAGE(OFFSET($AM$3,0,0,'Données projet'!$E$10+1,1))-AVERAGE(OFFSET($H$3,0,0,'Données projet'!$E$10+1,1))</f>
        <v>336.25341821407534</v>
      </c>
      <c r="AO11" s="60">
        <f t="shared" si="36"/>
        <v>360.3246221345039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5.4898392633908193</v>
      </c>
      <c r="BF11" s="14">
        <f t="shared" si="37"/>
        <v>2.0750422939399171</v>
      </c>
      <c r="BG11" s="22">
        <f t="shared" si="7"/>
        <v>13.175502045684366</v>
      </c>
      <c r="BH11" s="60">
        <f t="shared" si="8"/>
        <v>199.92877491190492</v>
      </c>
      <c r="BI11" s="60">
        <f ca="1">AVERAGE(OFFSET($BH$3,0,0,'Données projet'!$E$11+1,1))-AVERAGE(OFFSET($H$3,0,0,'Données projet'!$E$11+1,1))</f>
        <v>336.25341821407534</v>
      </c>
      <c r="BJ11" s="60">
        <f t="shared" si="38"/>
        <v>360.3246221345039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4.0350814731667564</v>
      </c>
      <c r="CA11" s="14">
        <f t="shared" si="39"/>
        <v>1.5808227025391921</v>
      </c>
      <c r="CB11" s="22">
        <f t="shared" si="10"/>
        <v>9.7810331060211926</v>
      </c>
      <c r="CC11" s="60">
        <f t="shared" si="11"/>
        <v>196.53430597224175</v>
      </c>
      <c r="CD11" s="60">
        <f ca="1">AVERAGE(OFFSET($CC$3,0,0,'Données projet'!$E$12+1,1))-AVERAGE(OFFSET($H$3,0,0,'Données projet'!$E$12+1,1))</f>
        <v>469.67944008675863</v>
      </c>
      <c r="CE11" s="60">
        <f t="shared" si="40"/>
        <v>266.11908070867173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0">
        <f t="shared" si="14"/>
        <v>200.13499008101996</v>
      </c>
      <c r="CY11" s="60">
        <f ca="1">AVERAGE(OFFSET($CX$3,0,0,'Données projet'!$E$13+1,1))-AVERAGE(OFFSET($H$3,0,0,'Données projet'!$E$13+1,1))</f>
        <v>312.59632808777332</v>
      </c>
      <c r="CZ11" s="60">
        <f t="shared" si="42"/>
        <v>302.59481222418219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2.4358974358974361</v>
      </c>
      <c r="DO11" s="13">
        <f>IF('Données projet'!$A$166&gt;35,DO10+DN11-DW10,IF(A11&lt;'Données projet'!$A$166,$DL$205^A11,IF(A11='Données projet'!$A$166,'Données projet'!$B$166,DO10+DN11-DW10)))</f>
        <v>6.815014809173471</v>
      </c>
      <c r="DP11" s="18">
        <f>DO11*VLOOKUP('Données projet'!$B$14,Paramètres!$A$1:$I$89,3,0)*VLOOKUP('Données projet'!$B$14,Paramètres!$A$1:$I$89,5,0)</f>
        <v>6.4851680924094746</v>
      </c>
      <c r="DQ11" s="14">
        <f t="shared" si="43"/>
        <v>2.4041727487208409</v>
      </c>
      <c r="DR11" s="22">
        <f t="shared" si="16"/>
        <v>15.4822686316353</v>
      </c>
      <c r="DS11" s="60">
        <f t="shared" si="17"/>
        <v>202.23554149785585</v>
      </c>
      <c r="DT11" s="60">
        <f ca="1">AVERAGE(OFFSET($DS$3,0,0,'Données projet'!$E$14+1,1))-AVERAGE(OFFSET($H$3,0,0,'Données projet'!$E$14+1,1))</f>
        <v>398.29746143975166</v>
      </c>
      <c r="DU11" s="60">
        <f t="shared" si="44"/>
        <v>300.63705521148802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4.3133629540748091</v>
      </c>
      <c r="EL11" s="14">
        <f t="shared" si="45"/>
        <v>1.6767776864592203</v>
      </c>
      <c r="EM11" s="22">
        <f t="shared" si="19"/>
        <v>10.432828282263435</v>
      </c>
      <c r="EN11" s="60">
        <f t="shared" si="20"/>
        <v>197.186101148484</v>
      </c>
      <c r="EO11" s="60">
        <f ca="1">AVERAGE(OFFSET($EN$3,0,0,'Données projet'!$E$15+1,1))-AVERAGE(OFFSET($H$3,0,0,'Données projet'!$E$15+1,1))</f>
        <v>496.33873798282525</v>
      </c>
      <c r="EP11" s="60">
        <f t="shared" si="46"/>
        <v>280.25465074992246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2.4933333333333332</v>
      </c>
      <c r="FE11" s="13">
        <f>IF('Données projet'!$A$218&gt;35,FE10+FD11-FM10,IF(A11&lt;'Données projet'!$A$218,$FB$205^A11,IF(A11='Données projet'!$A$218,'Données projet'!$B$218,FE10+FD11-FM10)))</f>
        <v>6.9002504567506522</v>
      </c>
      <c r="FF11" s="18">
        <f>FE11*VLOOKUP('Données projet'!$B$16,Paramètres!$A$1:$I$89,3,0)*VLOOKUP('Données projet'!$B$16,Paramètres!$A$1:$I$89,5,0)</f>
        <v>6.0280587990173711</v>
      </c>
      <c r="FG11" s="14">
        <f t="shared" si="47"/>
        <v>2.2538078441816265</v>
      </c>
      <c r="FH11" s="22">
        <f t="shared" si="22"/>
        <v>14.424251070238251</v>
      </c>
      <c r="FI11" s="60">
        <f t="shared" si="23"/>
        <v>201.17752393645881</v>
      </c>
      <c r="FJ11" s="60">
        <f ca="1">AVERAGE(OFFSET($FI$3,0,0,'Données projet'!$E$16+1,1))-AVERAGE(OFFSET($H$3,0,0,'Données projet'!$E$16+1,1))</f>
        <v>363.28611056308665</v>
      </c>
      <c r="FK11" s="60">
        <f t="shared" si="48"/>
        <v>389.43647559455974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3.3333333333333335</v>
      </c>
      <c r="FZ11" s="13">
        <f>IF('Données projet'!$A$244&gt;35,FZ10+FY11-GH10,IF(A11&lt;'Données projet'!$A$244,$FW$205^A11,IF(A11='Données projet'!$A$244,'Données projet'!$B$244,FZ10+FY11-GH10)))</f>
        <v>8.0559606396516319</v>
      </c>
      <c r="GA11" s="18">
        <f>FZ11*VLOOKUP('Données projet'!$B$17,Paramètres!$A$1:$I$89,3,0)*VLOOKUP('Données projet'!$B$17,Paramètres!$A$1:$I$89,5,0)</f>
        <v>5.4039383970783144</v>
      </c>
      <c r="GB11" s="14">
        <f t="shared" si="49"/>
        <v>2.0463266728603036</v>
      </c>
      <c r="GC11" s="22">
        <f t="shared" si="25"/>
        <v>12.975878330143091</v>
      </c>
      <c r="GD11" s="60">
        <f t="shared" si="26"/>
        <v>199.72915119636366</v>
      </c>
      <c r="GE11" s="60">
        <f ca="1">AVERAGE(OFFSET($GD$3,0,0,'Données projet'!$E$17+1,1))-AVERAGE(OFFSET($H$3,0,0,'Données projet'!$E$17+1,1))</f>
        <v>344.62096650402731</v>
      </c>
      <c r="GF11" s="60">
        <f t="shared" si="50"/>
        <v>277.30931495079346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1.6</v>
      </c>
      <c r="N12" s="14">
        <f>IF('Données projet'!$A$36&gt;35,N11+M12-V11,IF(A12&lt;'Données projet'!$A$36,$K$205^A12,IF(A12='Données projet'!$A$36,'Données projet'!$B$36,N11+M12-V11)))</f>
        <v>4.7568284600108823</v>
      </c>
      <c r="O12" s="14">
        <f>N12*VLOOKUP('Données projet'!$B$9,Paramètres!$A$1:$I$89,3,0)*VLOOKUP('Données projet'!$B$9,Paramètres!$A$1:$I$89,5,0)</f>
        <v>4.0813588186893375</v>
      </c>
      <c r="P12" s="14">
        <f t="shared" si="33"/>
        <v>1.5968317780655192</v>
      </c>
      <c r="Q12" s="22">
        <f t="shared" si="2"/>
        <v>9.8895152893480418</v>
      </c>
      <c r="R12" s="60">
        <f t="shared" si="0"/>
        <v>199.24747404190413</v>
      </c>
      <c r="S12" s="60">
        <f ca="1">AVERAGE(OFFSET($R$3,0,0,'Données projet'!$E$9+1,1))-AVERAGE(OFFSET($H$3,0,0,'Données projet'!$E$9+1,1))</f>
        <v>632.26350546340541</v>
      </c>
      <c r="T12" s="60">
        <f t="shared" si="34"/>
        <v>340.45335016367915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2.4933333333333332</v>
      </c>
      <c r="AI12" s="14">
        <f>IF('Données projet'!$A$62&gt;35,AI11+AH12-AQ11,IF(A12&lt;'Données projet'!$A$62,$AF$205^A12,IF(A12='Données projet'!$A$62,'Données projet'!$B$62,AI11+AH12-AQ11)))</f>
        <v>8.784619626636184</v>
      </c>
      <c r="AJ12" s="14">
        <f>AI12*VLOOKUP('Données projet'!$B$10,Paramètres!$A$1:$I$89,3,0)*VLOOKUP('Données projet'!$B$10,Paramètres!$A$1:$I$89,5,0)</f>
        <v>6.9890433749517484</v>
      </c>
      <c r="AK12" s="14">
        <f t="shared" si="35"/>
        <v>2.5685000363009434</v>
      </c>
      <c r="AL12" s="22">
        <f t="shared" si="4"/>
        <v>16.646054774598436</v>
      </c>
      <c r="AM12" s="60">
        <f t="shared" si="5"/>
        <v>206.00401352715451</v>
      </c>
      <c r="AN12" s="60">
        <f ca="1">AVERAGE(OFFSET($AM$3,0,0,'Données projet'!$E$10+1,1))-AVERAGE(OFFSET($H$3,0,0,'Données projet'!$E$10+1,1))</f>
        <v>336.25341821407534</v>
      </c>
      <c r="AO12" s="60">
        <f t="shared" si="36"/>
        <v>360.3246221345039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6.9890433749517484</v>
      </c>
      <c r="BF12" s="14">
        <f t="shared" si="37"/>
        <v>2.5685000363009434</v>
      </c>
      <c r="BG12" s="22">
        <f t="shared" si="7"/>
        <v>16.646054774598436</v>
      </c>
      <c r="BH12" s="60">
        <f t="shared" si="8"/>
        <v>206.00401352715451</v>
      </c>
      <c r="BI12" s="60">
        <f ca="1">AVERAGE(OFFSET($BH$3,0,0,'Données projet'!$E$11+1,1))-AVERAGE(OFFSET($H$3,0,0,'Données projet'!$E$11+1,1))</f>
        <v>336.25341821407534</v>
      </c>
      <c r="BJ12" s="60">
        <f t="shared" si="38"/>
        <v>360.3246221345039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4.8642375119197085</v>
      </c>
      <c r="CA12" s="14">
        <f t="shared" si="39"/>
        <v>1.8646542609995393</v>
      </c>
      <c r="CB12" s="22">
        <f t="shared" si="10"/>
        <v>11.719486504501022</v>
      </c>
      <c r="CC12" s="60">
        <f t="shared" si="11"/>
        <v>201.07744525705709</v>
      </c>
      <c r="CD12" s="60">
        <f ca="1">AVERAGE(OFFSET($CC$3,0,0,'Données projet'!$E$12+1,1))-AVERAGE(OFFSET($H$3,0,0,'Données projet'!$E$12+1,1))</f>
        <v>469.67944008675863</v>
      </c>
      <c r="CE12" s="60">
        <f t="shared" si="40"/>
        <v>266.11908070867173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0">
        <f t="shared" si="14"/>
        <v>206.33826886995783</v>
      </c>
      <c r="CY12" s="60">
        <f ca="1">AVERAGE(OFFSET($CX$3,0,0,'Données projet'!$E$13+1,1))-AVERAGE(OFFSET($H$3,0,0,'Données projet'!$E$13+1,1))</f>
        <v>312.59632808777332</v>
      </c>
      <c r="CZ12" s="60">
        <f t="shared" si="42"/>
        <v>302.59481222418219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2.4358974358974361</v>
      </c>
      <c r="DO12" s="13">
        <f>IF('Données projet'!$A$166&gt;35,DO11+DN12-DW11,IF(A12&lt;'Données projet'!$A$166,$DL$205^A12,IF(A12='Données projet'!$A$166,'Données projet'!$B$166,DO11+DN12-DW11)))</f>
        <v>8.6626377645391397</v>
      </c>
      <c r="DP12" s="18">
        <f>DO12*VLOOKUP('Données projet'!$B$14,Paramètres!$A$1:$I$89,3,0)*VLOOKUP('Données projet'!$B$14,Paramètres!$A$1:$I$89,5,0)</f>
        <v>8.2433660967354445</v>
      </c>
      <c r="DQ12" s="14">
        <f t="shared" si="43"/>
        <v>2.9718171087795939</v>
      </c>
      <c r="DR12" s="22">
        <f t="shared" si="16"/>
        <v>19.53311074960536</v>
      </c>
      <c r="DS12" s="60">
        <f t="shared" si="17"/>
        <v>208.89106950216143</v>
      </c>
      <c r="DT12" s="60">
        <f ca="1">AVERAGE(OFFSET($DS$3,0,0,'Données projet'!$E$14+1,1))-AVERAGE(OFFSET($H$3,0,0,'Données projet'!$E$14+1,1))</f>
        <v>398.29746143975166</v>
      </c>
      <c r="DU12" s="60">
        <f t="shared" si="44"/>
        <v>300.63705521148802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5.1997021679141717</v>
      </c>
      <c r="EL12" s="14">
        <f t="shared" si="45"/>
        <v>1.977837649208241</v>
      </c>
      <c r="EM12" s="22">
        <f t="shared" si="19"/>
        <v>12.500881848154869</v>
      </c>
      <c r="EN12" s="60">
        <f t="shared" si="20"/>
        <v>201.85884060071095</v>
      </c>
      <c r="EO12" s="60">
        <f ca="1">AVERAGE(OFFSET($EN$3,0,0,'Données projet'!$E$15+1,1))-AVERAGE(OFFSET($H$3,0,0,'Données projet'!$E$15+1,1))</f>
        <v>496.33873798282525</v>
      </c>
      <c r="EP12" s="60">
        <f t="shared" si="46"/>
        <v>280.25465074992246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2.4933333333333332</v>
      </c>
      <c r="FE12" s="13">
        <f>IF('Données projet'!$A$218&gt;35,FE11+FD12-FM11,IF(A12&lt;'Données projet'!$A$218,$FB$205^A12,IF(A12='Données projet'!$A$218,'Données projet'!$B$218,FE11+FD12-FM11)))</f>
        <v>8.784619626636184</v>
      </c>
      <c r="FF12" s="18">
        <f>FE12*VLOOKUP('Données projet'!$B$16,Paramètres!$A$1:$I$89,3,0)*VLOOKUP('Données projet'!$B$16,Paramètres!$A$1:$I$89,5,0)</f>
        <v>7.6742437058293707</v>
      </c>
      <c r="FG12" s="14">
        <f t="shared" si="47"/>
        <v>2.7897771271950154</v>
      </c>
      <c r="FH12" s="22">
        <f t="shared" si="22"/>
        <v>18.224836284184136</v>
      </c>
      <c r="FI12" s="60">
        <f t="shared" si="23"/>
        <v>207.58279503674021</v>
      </c>
      <c r="FJ12" s="60">
        <f ca="1">AVERAGE(OFFSET($FI$3,0,0,'Données projet'!$E$16+1,1))-AVERAGE(OFFSET($H$3,0,0,'Données projet'!$E$16+1,1))</f>
        <v>363.28611056308665</v>
      </c>
      <c r="FK12" s="60">
        <f t="shared" si="48"/>
        <v>389.43647559455974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3.3333333333333335</v>
      </c>
      <c r="FZ12" s="13">
        <f>IF('Données projet'!$A$244&gt;35,FZ11+FY12-GH11,IF(A12&lt;'Données projet'!$A$244,$FW$205^A12,IF(A12='Données projet'!$A$244,'Données projet'!$B$244,FZ11+FY12-GH11)))</f>
        <v>10.456395525912733</v>
      </c>
      <c r="GA12" s="18">
        <f>FZ12*VLOOKUP('Données projet'!$B$17,Paramètres!$A$1:$I$89,3,0)*VLOOKUP('Données projet'!$B$17,Paramètres!$A$1:$I$89,5,0)</f>
        <v>7.0141501187822621</v>
      </c>
      <c r="GB12" s="14">
        <f t="shared" si="49"/>
        <v>2.5766511556462244</v>
      </c>
      <c r="GC12" s="22">
        <f t="shared" si="25"/>
        <v>16.70397888629628</v>
      </c>
      <c r="GD12" s="60">
        <f t="shared" si="26"/>
        <v>206.06193763885236</v>
      </c>
      <c r="GE12" s="60">
        <f ca="1">AVERAGE(OFFSET($GD$3,0,0,'Données projet'!$E$17+1,1))-AVERAGE(OFFSET($H$3,0,0,'Données projet'!$E$17+1,1))</f>
        <v>344.62096650402731</v>
      </c>
      <c r="GF12" s="60">
        <f t="shared" si="50"/>
        <v>277.30931495079346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1.6</v>
      </c>
      <c r="N13" s="14">
        <f>IF('Données projet'!$A$36&gt;35,N12+M13-V12,IF(A13&lt;'Données projet'!$A$36,$K$205^A13,IF(A13='Données projet'!$A$36,'Données projet'!$B$36,N12+M13-V12)))</f>
        <v>5.656854249492377</v>
      </c>
      <c r="O13" s="14">
        <f>N13*VLOOKUP('Données projet'!$B$9,Paramètres!$A$1:$I$89,3,0)*VLOOKUP('Données projet'!$B$9,Paramètres!$A$1:$I$89,5,0)</f>
        <v>4.8535809460644597</v>
      </c>
      <c r="P13" s="14">
        <f t="shared" si="33"/>
        <v>1.8610442215994896</v>
      </c>
      <c r="Q13" s="22">
        <f t="shared" si="2"/>
        <v>11.694638833681379</v>
      </c>
      <c r="R13" s="60">
        <f t="shared" si="0"/>
        <v>203.63330081872627</v>
      </c>
      <c r="S13" s="60">
        <f ca="1">AVERAGE(OFFSET($R$3,0,0,'Données projet'!$E$9+1,1))-AVERAGE(OFFSET($H$3,0,0,'Données projet'!$E$9+1,1))</f>
        <v>632.26350546340541</v>
      </c>
      <c r="T13" s="60">
        <f t="shared" si="34"/>
        <v>340.45335016367915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2.4933333333333332</v>
      </c>
      <c r="AI13" s="14">
        <f>IF('Données projet'!$A$62&gt;35,AI12+AH13-AQ12,IF(A13&lt;'Données projet'!$A$62,$AF$205^A13,IF(A13='Données projet'!$A$62,'Données projet'!$B$62,AI12+AH13-AQ12)))</f>
        <v>11.183585649298445</v>
      </c>
      <c r="AJ13" s="14">
        <f>AI13*VLOOKUP('Données projet'!$B$10,Paramètres!$A$1:$I$89,3,0)*VLOOKUP('Données projet'!$B$10,Paramètres!$A$1:$I$89,5,0)</f>
        <v>8.8976607425818433</v>
      </c>
      <c r="AK13" s="14">
        <f t="shared" si="35"/>
        <v>3.1793050463331762</v>
      </c>
      <c r="AL13" s="22">
        <f t="shared" si="4"/>
        <v>21.03404874902699</v>
      </c>
      <c r="AM13" s="60">
        <f t="shared" si="5"/>
        <v>212.97271073407188</v>
      </c>
      <c r="AN13" s="60">
        <f ca="1">AVERAGE(OFFSET($AM$3,0,0,'Données projet'!$E$10+1,1))-AVERAGE(OFFSET($H$3,0,0,'Données projet'!$E$10+1,1))</f>
        <v>336.25341821407534</v>
      </c>
      <c r="AO13" s="60">
        <f t="shared" si="36"/>
        <v>360.3246221345039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8.8976607425818433</v>
      </c>
      <c r="BF13" s="14">
        <f t="shared" si="37"/>
        <v>3.1793050463331762</v>
      </c>
      <c r="BG13" s="22">
        <f t="shared" si="7"/>
        <v>21.03404874902699</v>
      </c>
      <c r="BH13" s="60">
        <f t="shared" si="8"/>
        <v>212.97271073407188</v>
      </c>
      <c r="BI13" s="60">
        <f ca="1">AVERAGE(OFFSET($BH$3,0,0,'Données projet'!$E$11+1,1))-AVERAGE(OFFSET($H$3,0,0,'Données projet'!$E$11+1,1))</f>
        <v>336.25341821407534</v>
      </c>
      <c r="BJ13" s="60">
        <f t="shared" si="38"/>
        <v>360.3246221345039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5.8637741839194364</v>
      </c>
      <c r="CA13" s="14">
        <f t="shared" si="39"/>
        <v>2.1994468497187687</v>
      </c>
      <c r="CB13" s="22">
        <f t="shared" si="10"/>
        <v>14.043443300253207</v>
      </c>
      <c r="CC13" s="60">
        <f t="shared" si="11"/>
        <v>205.9821052852981</v>
      </c>
      <c r="CD13" s="60">
        <f ca="1">AVERAGE(OFFSET($CC$3,0,0,'Données projet'!$E$12+1,1))-AVERAGE(OFFSET($H$3,0,0,'Données projet'!$E$12+1,1))</f>
        <v>469.67944008675863</v>
      </c>
      <c r="CE13" s="60">
        <f t="shared" si="40"/>
        <v>266.11908070867173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0">
        <f t="shared" si="14"/>
        <v>213.48875977378654</v>
      </c>
      <c r="CY13" s="60">
        <f ca="1">AVERAGE(OFFSET($CX$3,0,0,'Données projet'!$E$13+1,1))-AVERAGE(OFFSET($H$3,0,0,'Données projet'!$E$13+1,1))</f>
        <v>312.59632808777332</v>
      </c>
      <c r="CZ13" s="60">
        <f t="shared" si="42"/>
        <v>302.59481222418219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2.4358974358974361</v>
      </c>
      <c r="DO13" s="13">
        <f>IF('Données projet'!$A$166&gt;35,DO12+DN13-DW12,IF(A13&lt;'Données projet'!$A$166,$DL$205^A13,IF(A13='Données projet'!$A$166,'Données projet'!$B$166,DO12+DN13-DW12)))</f>
        <v>11.011170942520771</v>
      </c>
      <c r="DP13" s="18">
        <f>DO13*VLOOKUP('Données projet'!$B$14,Paramètres!$A$1:$I$89,3,0)*VLOOKUP('Données projet'!$B$14,Paramètres!$A$1:$I$89,5,0)</f>
        <v>10.478230268902767</v>
      </c>
      <c r="DQ13" s="14">
        <f t="shared" si="43"/>
        <v>3.67348682940279</v>
      </c>
      <c r="DR13" s="22">
        <f t="shared" si="16"/>
        <v>24.647573946215513</v>
      </c>
      <c r="DS13" s="60">
        <f t="shared" si="17"/>
        <v>216.5862359312604</v>
      </c>
      <c r="DT13" s="60">
        <f ca="1">AVERAGE(OFFSET($DS$3,0,0,'Données projet'!$E$14+1,1))-AVERAGE(OFFSET($H$3,0,0,'Données projet'!$E$14+1,1))</f>
        <v>398.29746143975166</v>
      </c>
      <c r="DU13" s="60">
        <f t="shared" si="44"/>
        <v>300.63705521148802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6.2681724035000874</v>
      </c>
      <c r="EL13" s="14">
        <f t="shared" si="45"/>
        <v>2.3329519459947301</v>
      </c>
      <c r="EM13" s="22">
        <f t="shared" si="19"/>
        <v>14.98029157537014</v>
      </c>
      <c r="EN13" s="60">
        <f t="shared" si="20"/>
        <v>206.91895356041502</v>
      </c>
      <c r="EO13" s="60">
        <f ca="1">AVERAGE(OFFSET($EN$3,0,0,'Données projet'!$E$15+1,1))-AVERAGE(OFFSET($H$3,0,0,'Données projet'!$E$15+1,1))</f>
        <v>496.33873798282525</v>
      </c>
      <c r="EP13" s="60">
        <f t="shared" si="46"/>
        <v>280.25465074992246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2.4933333333333332</v>
      </c>
      <c r="FE13" s="13">
        <f>IF('Données projet'!$A$218&gt;35,FE12+FD13-FM12,IF(A13&lt;'Données projet'!$A$218,$FB$205^A13,IF(A13='Données projet'!$A$218,'Données projet'!$B$218,FE12+FD13-FM12)))</f>
        <v>11.183585649298445</v>
      </c>
      <c r="FF13" s="18">
        <f>FE13*VLOOKUP('Données projet'!$B$16,Paramètres!$A$1:$I$89,3,0)*VLOOKUP('Données projet'!$B$16,Paramètres!$A$1:$I$89,5,0)</f>
        <v>9.769980423227123</v>
      </c>
      <c r="FG13" s="14">
        <f t="shared" si="47"/>
        <v>3.4532031821224263</v>
      </c>
      <c r="FH13" s="22">
        <f t="shared" si="22"/>
        <v>23.030378112650464</v>
      </c>
      <c r="FI13" s="60">
        <f t="shared" si="23"/>
        <v>214.96904009769534</v>
      </c>
      <c r="FJ13" s="60">
        <f ca="1">AVERAGE(OFFSET($FI$3,0,0,'Données projet'!$E$16+1,1))-AVERAGE(OFFSET($H$3,0,0,'Données projet'!$E$16+1,1))</f>
        <v>363.28611056308665</v>
      </c>
      <c r="FK13" s="60">
        <f t="shared" si="48"/>
        <v>389.43647559455974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3.3333333333333335</v>
      </c>
      <c r="FZ13" s="13">
        <f>IF('Données projet'!$A$244&gt;35,FZ12+FY13-GH12,IF(A13&lt;'Données projet'!$A$244,$FW$205^A13,IF(A13='Données projet'!$A$244,'Données projet'!$B$244,FZ12+FY13-GH12)))</f>
        <v>13.572088082974533</v>
      </c>
      <c r="GA13" s="18">
        <f>FZ13*VLOOKUP('Données projet'!$B$17,Paramètres!$A$1:$I$89,3,0)*VLOOKUP('Données projet'!$B$17,Paramètres!$A$1:$I$89,5,0)</f>
        <v>9.1041566860593175</v>
      </c>
      <c r="GB13" s="14">
        <f t="shared" si="49"/>
        <v>3.2444141328681457</v>
      </c>
      <c r="GC13" s="22">
        <f t="shared" si="25"/>
        <v>21.507094176298665</v>
      </c>
      <c r="GD13" s="60">
        <f t="shared" si="26"/>
        <v>213.44575616134355</v>
      </c>
      <c r="GE13" s="60">
        <f ca="1">AVERAGE(OFFSET($GD$3,0,0,'Données projet'!$E$17+1,1))-AVERAGE(OFFSET($H$3,0,0,'Données projet'!$E$17+1,1))</f>
        <v>344.62096650402731</v>
      </c>
      <c r="GF13" s="60">
        <f t="shared" si="50"/>
        <v>277.30931495079346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1.6</v>
      </c>
      <c r="N14" s="14">
        <f>IF('Données projet'!$A$36&gt;35,N13+M14-V13,IF(A14&lt;'Données projet'!$A$36,$K$205^A14,IF(A14='Données projet'!$A$36,'Données projet'!$B$36,N13+M14-V13)))</f>
        <v>6.7271713220297125</v>
      </c>
      <c r="O14" s="14">
        <f>N14*VLOOKUP('Données projet'!$B$9,Paramètres!$A$1:$I$89,3,0)*VLOOKUP('Données projet'!$B$9,Paramètres!$A$1:$I$89,5,0)</f>
        <v>5.771912994301494</v>
      </c>
      <c r="P14" s="14">
        <f t="shared" si="33"/>
        <v>2.1689733648366443</v>
      </c>
      <c r="Q14" s="22">
        <f t="shared" si="2"/>
        <v>13.830377075498925</v>
      </c>
      <c r="R14" s="60">
        <f t="shared" si="0"/>
        <v>208.32617568461305</v>
      </c>
      <c r="S14" s="60">
        <f ca="1">AVERAGE(OFFSET($R$3,0,0,'Données projet'!$E$9+1,1))-AVERAGE(OFFSET($H$3,0,0,'Données projet'!$E$9+1,1))</f>
        <v>632.26350546340541</v>
      </c>
      <c r="T14" s="60">
        <f t="shared" si="34"/>
        <v>340.45335016367915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2.4933333333333332</v>
      </c>
      <c r="AI14" s="14">
        <f>IF('Données projet'!$A$62&gt;35,AI13+AH14-AQ13,IF(A14&lt;'Données projet'!$A$62,$AF$205^A14,IF(A14='Données projet'!$A$62,'Données projet'!$B$62,AI13+AH14-AQ13)))</f>
        <v>14.237678270776428</v>
      </c>
      <c r="AJ14" s="14">
        <f>AI14*VLOOKUP('Données projet'!$B$10,Paramètres!$A$1:$I$89,3,0)*VLOOKUP('Données projet'!$B$10,Paramètres!$A$1:$I$89,5,0)</f>
        <v>11.327496832229725</v>
      </c>
      <c r="AK14" s="14">
        <f t="shared" si="35"/>
        <v>3.9353632216399443</v>
      </c>
      <c r="AL14" s="22">
        <f t="shared" si="4"/>
        <v>26.582814593823006</v>
      </c>
      <c r="AM14" s="60">
        <f t="shared" si="5"/>
        <v>221.07861320293713</v>
      </c>
      <c r="AN14" s="60">
        <f ca="1">AVERAGE(OFFSET($AM$3,0,0,'Données projet'!$E$10+1,1))-AVERAGE(OFFSET($H$3,0,0,'Données projet'!$E$10+1,1))</f>
        <v>336.25341821407534</v>
      </c>
      <c r="AO14" s="60">
        <f t="shared" si="36"/>
        <v>360.3246221345039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11.327496832229725</v>
      </c>
      <c r="BF14" s="14">
        <f t="shared" si="37"/>
        <v>3.9353632216399443</v>
      </c>
      <c r="BG14" s="22">
        <f t="shared" si="7"/>
        <v>26.582814593823006</v>
      </c>
      <c r="BH14" s="60">
        <f t="shared" si="8"/>
        <v>221.07861320293713</v>
      </c>
      <c r="BI14" s="60">
        <f ca="1">AVERAGE(OFFSET($BH$3,0,0,'Données projet'!$E$11+1,1))-AVERAGE(OFFSET($H$3,0,0,'Données projet'!$E$11+1,1))</f>
        <v>336.25341821407534</v>
      </c>
      <c r="BJ14" s="60">
        <f t="shared" si="38"/>
        <v>360.3246221345039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7.0687024627689707</v>
      </c>
      <c r="CA14" s="14">
        <f t="shared" si="39"/>
        <v>2.5943503554083325</v>
      </c>
      <c r="CB14" s="22">
        <f t="shared" si="10"/>
        <v>16.829816991658799</v>
      </c>
      <c r="CC14" s="60">
        <f t="shared" si="11"/>
        <v>211.32561560077292</v>
      </c>
      <c r="CD14" s="60">
        <f ca="1">AVERAGE(OFFSET($CC$3,0,0,'Données projet'!$E$12+1,1))-AVERAGE(OFFSET($H$3,0,0,'Données projet'!$E$12+1,1))</f>
        <v>469.67944008675863</v>
      </c>
      <c r="CE14" s="60">
        <f t="shared" si="40"/>
        <v>266.11908070867173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0">
        <f t="shared" si="14"/>
        <v>221.84985885474788</v>
      </c>
      <c r="CY14" s="60">
        <f ca="1">AVERAGE(OFFSET($CX$3,0,0,'Données projet'!$E$13+1,1))-AVERAGE(OFFSET($H$3,0,0,'Données projet'!$E$13+1,1))</f>
        <v>312.59632808777332</v>
      </c>
      <c r="CZ14" s="60">
        <f t="shared" si="42"/>
        <v>302.59481222418219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2.4358974358974361</v>
      </c>
      <c r="DO14" s="13">
        <f>IF('Données projet'!$A$166&gt;35,DO13+DN14-DW13,IF(A14&lt;'Données projet'!$A$166,$DL$205^A14,IF(A14='Données projet'!$A$166,'Données projet'!$B$166,DO13+DN14-DW13)))</f>
        <v>13.996416428924077</v>
      </c>
      <c r="DP14" s="18">
        <f>DO14*VLOOKUP('Données projet'!$B$14,Paramètres!$A$1:$I$89,3,0)*VLOOKUP('Données projet'!$B$14,Paramètres!$A$1:$I$89,5,0)</f>
        <v>13.318989873764153</v>
      </c>
      <c r="DQ14" s="14">
        <f t="shared" si="43"/>
        <v>4.5408263671169857</v>
      </c>
      <c r="DR14" s="22">
        <f t="shared" si="16"/>
        <v>31.105846619534645</v>
      </c>
      <c r="DS14" s="60">
        <f t="shared" si="17"/>
        <v>225.60164522864878</v>
      </c>
      <c r="DT14" s="60">
        <f ca="1">AVERAGE(OFFSET($DS$3,0,0,'Données projet'!$E$14+1,1))-AVERAGE(OFFSET($H$3,0,0,'Données projet'!$E$14+1,1))</f>
        <v>398.29746143975166</v>
      </c>
      <c r="DU14" s="60">
        <f t="shared" si="44"/>
        <v>300.63705521148802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7.5561991843392455</v>
      </c>
      <c r="EL14" s="14">
        <f t="shared" si="45"/>
        <v>2.7518258561310041</v>
      </c>
      <c r="EM14" s="22">
        <f t="shared" si="19"/>
        <v>17.953143612152349</v>
      </c>
      <c r="EN14" s="60">
        <f t="shared" si="20"/>
        <v>212.44894222126649</v>
      </c>
      <c r="EO14" s="60">
        <f ca="1">AVERAGE(OFFSET($EN$3,0,0,'Données projet'!$E$15+1,1))-AVERAGE(OFFSET($H$3,0,0,'Données projet'!$E$15+1,1))</f>
        <v>496.33873798282525</v>
      </c>
      <c r="EP14" s="60">
        <f t="shared" si="46"/>
        <v>280.25465074992246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2.4933333333333332</v>
      </c>
      <c r="FE14" s="13">
        <f>IF('Données projet'!$A$218&gt;35,FE13+FD14-FM13,IF(A14&lt;'Données projet'!$A$218,$FB$205^A14,IF(A14='Données projet'!$A$218,'Données projet'!$B$218,FE13+FD14-FM13)))</f>
        <v>14.237678270776428</v>
      </c>
      <c r="FF14" s="18">
        <f>FE14*VLOOKUP('Données projet'!$B$16,Paramètres!$A$1:$I$89,3,0)*VLOOKUP('Données projet'!$B$16,Paramètres!$A$1:$I$89,5,0)</f>
        <v>12.438035737350289</v>
      </c>
      <c r="FG14" s="14">
        <f t="shared" si="47"/>
        <v>4.2743960084761534</v>
      </c>
      <c r="FH14" s="22">
        <f t="shared" si="22"/>
        <v>29.10748529064772</v>
      </c>
      <c r="FI14" s="60">
        <f t="shared" si="23"/>
        <v>223.60328389976186</v>
      </c>
      <c r="FJ14" s="60">
        <f ca="1">AVERAGE(OFFSET($FI$3,0,0,'Données projet'!$E$16+1,1))-AVERAGE(OFFSET($H$3,0,0,'Données projet'!$E$16+1,1))</f>
        <v>363.28611056308665</v>
      </c>
      <c r="FK14" s="60">
        <f t="shared" si="48"/>
        <v>389.43647559455974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3.3333333333333335</v>
      </c>
      <c r="FZ14" s="13">
        <f>IF('Données projet'!$A$244&gt;35,FZ13+FY14-GH13,IF(A14&lt;'Données projet'!$A$244,$FW$205^A14,IF(A14='Données projet'!$A$244,'Données projet'!$B$244,FZ13+FY14-GH13)))</f>
        <v>17.616163665149852</v>
      </c>
      <c r="GA14" s="18">
        <f>FZ14*VLOOKUP('Données projet'!$B$17,Paramètres!$A$1:$I$89,3,0)*VLOOKUP('Données projet'!$B$17,Paramètres!$A$1:$I$89,5,0)</f>
        <v>11.816922586582521</v>
      </c>
      <c r="GB14" s="14">
        <f t="shared" si="49"/>
        <v>4.0852340614632361</v>
      </c>
      <c r="GC14" s="22">
        <f t="shared" si="25"/>
        <v>27.696256162013025</v>
      </c>
      <c r="GD14" s="60">
        <f t="shared" si="26"/>
        <v>222.19205477112715</v>
      </c>
      <c r="GE14" s="60">
        <f ca="1">AVERAGE(OFFSET($GD$3,0,0,'Données projet'!$E$17+1,1))-AVERAGE(OFFSET($H$3,0,0,'Données projet'!$E$17+1,1))</f>
        <v>344.62096650402731</v>
      </c>
      <c r="GF14" s="60">
        <f t="shared" si="50"/>
        <v>277.30931495079346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1.6</v>
      </c>
      <c r="N15" s="14">
        <f>IF('Données projet'!$A$36&gt;35,N14+M15-V14,IF(A15&lt;'Données projet'!$A$36,$K$205^A15,IF(A15='Données projet'!$A$36,'Données projet'!$B$36,N14+M15-V14)))</f>
        <v>7.9999999999999947</v>
      </c>
      <c r="O15" s="14">
        <f>N15*VLOOKUP('Données projet'!$B$9,Paramètres!$A$1:$I$89,3,0)*VLOOKUP('Données projet'!$B$9,Paramètres!$A$1:$I$89,5,0)</f>
        <v>6.8639999999999963</v>
      </c>
      <c r="P15" s="14">
        <f t="shared" si="33"/>
        <v>2.5278525909113112</v>
      </c>
      <c r="Q15" s="22">
        <f t="shared" si="2"/>
        <v>16.357476595837191</v>
      </c>
      <c r="R15" s="60">
        <f t="shared" si="0"/>
        <v>213.38725404857007</v>
      </c>
      <c r="S15" s="60">
        <f ca="1">AVERAGE(OFFSET($R$3,0,0,'Données projet'!$E$9+1,1))-AVERAGE(OFFSET($H$3,0,0,'Données projet'!$E$9+1,1))</f>
        <v>632.26350546340541</v>
      </c>
      <c r="T15" s="60">
        <f t="shared" si="34"/>
        <v>340.45335016367915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2.4933333333333332</v>
      </c>
      <c r="AI15" s="14">
        <f>IF('Données projet'!$A$62&gt;35,AI14+AH15-AQ14,IF(A15&lt;'Données projet'!$A$62,$AF$205^A15,IF(A15='Données projet'!$A$62,'Données projet'!$B$62,AI14+AH15-AQ14)))</f>
        <v>18.125804093506943</v>
      </c>
      <c r="AJ15" s="14">
        <f>AI15*VLOOKUP('Données projet'!$B$10,Paramètres!$A$1:$I$89,3,0)*VLOOKUP('Données projet'!$B$10,Paramètres!$A$1:$I$89,5,0)</f>
        <v>14.420889736794125</v>
      </c>
      <c r="AK15" s="14">
        <f t="shared" si="35"/>
        <v>4.8712166528651375</v>
      </c>
      <c r="AL15" s="22">
        <f t="shared" si="4"/>
        <v>33.600418628656548</v>
      </c>
      <c r="AM15" s="60">
        <f t="shared" si="5"/>
        <v>230.63019608138941</v>
      </c>
      <c r="AN15" s="60">
        <f ca="1">AVERAGE(OFFSET($AM$3,0,0,'Données projet'!$E$10+1,1))-AVERAGE(OFFSET($H$3,0,0,'Données projet'!$E$10+1,1))</f>
        <v>336.25341821407534</v>
      </c>
      <c r="AO15" s="60">
        <f t="shared" si="36"/>
        <v>360.3246221345039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14.420889736794125</v>
      </c>
      <c r="BF15" s="14">
        <f t="shared" si="37"/>
        <v>4.8712166528651375</v>
      </c>
      <c r="BG15" s="22">
        <f t="shared" si="7"/>
        <v>33.600418628656548</v>
      </c>
      <c r="BH15" s="60">
        <f t="shared" si="8"/>
        <v>230.63019608138941</v>
      </c>
      <c r="BI15" s="60">
        <f ca="1">AVERAGE(OFFSET($BH$3,0,0,'Données projet'!$E$11+1,1))-AVERAGE(OFFSET($H$3,0,0,'Données projet'!$E$11+1,1))</f>
        <v>336.25341821407534</v>
      </c>
      <c r="BJ15" s="60">
        <f t="shared" si="38"/>
        <v>360.3246221345039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8.521227615514638</v>
      </c>
      <c r="CA15" s="14">
        <f t="shared" si="39"/>
        <v>3.0601574970852128</v>
      </c>
      <c r="CB15" s="22">
        <f t="shared" si="10"/>
        <v>20.170912404444739</v>
      </c>
      <c r="CC15" s="60">
        <f t="shared" si="11"/>
        <v>217.20068985717762</v>
      </c>
      <c r="CD15" s="60">
        <f ca="1">AVERAGE(OFFSET($CC$3,0,0,'Données projet'!$E$12+1,1))-AVERAGE(OFFSET($H$3,0,0,'Données projet'!$E$12+1,1))</f>
        <v>469.67944008675863</v>
      </c>
      <c r="CE15" s="60">
        <f t="shared" si="40"/>
        <v>266.11908070867173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0">
        <f t="shared" si="14"/>
        <v>231.75638335816086</v>
      </c>
      <c r="CY15" s="60">
        <f ca="1">AVERAGE(OFFSET($CX$3,0,0,'Données projet'!$E$13+1,1))-AVERAGE(OFFSET($H$3,0,0,'Données projet'!$E$13+1,1))</f>
        <v>312.59632808777332</v>
      </c>
      <c r="CZ15" s="60">
        <f t="shared" si="42"/>
        <v>302.59481222418219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2.4358974358974361</v>
      </c>
      <c r="DO15" s="13">
        <f>IF('Données projet'!$A$166&gt;35,DO14+DN15-DW14,IF(A15&lt;'Données projet'!$A$166,$DL$205^A15,IF(A15='Données projet'!$A$166,'Données projet'!$B$166,DO14+DN15-DW14)))</f>
        <v>17.790993698532919</v>
      </c>
      <c r="DP15" s="18">
        <f>DO15*VLOOKUP('Données projet'!$B$14,Paramètres!$A$1:$I$89,3,0)*VLOOKUP('Données projet'!$B$14,Paramètres!$A$1:$I$89,5,0)</f>
        <v>16.929909603523928</v>
      </c>
      <c r="DQ15" s="14">
        <f t="shared" si="43"/>
        <v>5.6129516870098515</v>
      </c>
      <c r="DR15" s="22">
        <f t="shared" si="16"/>
        <v>39.262150081012997</v>
      </c>
      <c r="DS15" s="60">
        <f t="shared" si="17"/>
        <v>236.29192753374588</v>
      </c>
      <c r="DT15" s="60">
        <f ca="1">AVERAGE(OFFSET($DS$3,0,0,'Données projet'!$E$14+1,1))-AVERAGE(OFFSET($H$3,0,0,'Données projet'!$E$14+1,1))</f>
        <v>398.29746143975166</v>
      </c>
      <c r="DU15" s="60">
        <f t="shared" si="44"/>
        <v>300.63705521148802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9.1088984855501316</v>
      </c>
      <c r="EL15" s="14">
        <f t="shared" si="45"/>
        <v>3.2459072101643005</v>
      </c>
      <c r="EM15" s="22">
        <f t="shared" si="19"/>
        <v>21.517953253369303</v>
      </c>
      <c r="EN15" s="60">
        <f t="shared" si="20"/>
        <v>218.54773070610219</v>
      </c>
      <c r="EO15" s="60">
        <f ca="1">AVERAGE(OFFSET($EN$3,0,0,'Données projet'!$E$15+1,1))-AVERAGE(OFFSET($H$3,0,0,'Données projet'!$E$15+1,1))</f>
        <v>496.33873798282525</v>
      </c>
      <c r="EP15" s="60">
        <f t="shared" si="46"/>
        <v>280.25465074992246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2.4933333333333332</v>
      </c>
      <c r="FE15" s="13">
        <f>IF('Données projet'!$A$218&gt;35,FE14+FD15-FM14,IF(A15&lt;'Données projet'!$A$218,$FB$205^A15,IF(A15='Données projet'!$A$218,'Données projet'!$B$218,FE14+FD15-FM14)))</f>
        <v>18.125804093506943</v>
      </c>
      <c r="FF15" s="18">
        <f>FE15*VLOOKUP('Données projet'!$B$16,Paramètres!$A$1:$I$89,3,0)*VLOOKUP('Données projet'!$B$16,Paramètres!$A$1:$I$89,5,0)</f>
        <v>15.834702456087667</v>
      </c>
      <c r="FG15" s="14">
        <f t="shared" si="47"/>
        <v>5.2908735089394296</v>
      </c>
      <c r="FH15" s="22">
        <f t="shared" si="22"/>
        <v>36.793711472422189</v>
      </c>
      <c r="FI15" s="60">
        <f t="shared" si="23"/>
        <v>233.82348892515506</v>
      </c>
      <c r="FJ15" s="60">
        <f ca="1">AVERAGE(OFFSET($FI$3,0,0,'Données projet'!$E$16+1,1))-AVERAGE(OFFSET($H$3,0,0,'Données projet'!$E$16+1,1))</f>
        <v>363.28611056308665</v>
      </c>
      <c r="FK15" s="60">
        <f t="shared" si="48"/>
        <v>389.43647559455974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3.3333333333333335</v>
      </c>
      <c r="FZ15" s="13">
        <f>IF('Données projet'!$A$244&gt;35,FZ14+FY15-GH14,IF(A15&lt;'Données projet'!$A$244,$FW$205^A15,IF(A15='Données projet'!$A$244,'Données projet'!$B$244,FZ14+FY15-GH14)))</f>
        <v>22.865252596366318</v>
      </c>
      <c r="GA15" s="18">
        <f>FZ15*VLOOKUP('Données projet'!$B$17,Paramètres!$A$1:$I$89,3,0)*VLOOKUP('Données projet'!$B$17,Paramètres!$A$1:$I$89,5,0)</f>
        <v>15.338011441642525</v>
      </c>
      <c r="GB15" s="14">
        <f t="shared" si="49"/>
        <v>5.1439602509023024</v>
      </c>
      <c r="GC15" s="22">
        <f t="shared" si="25"/>
        <v>35.672767364515572</v>
      </c>
      <c r="GD15" s="60">
        <f t="shared" si="26"/>
        <v>232.70254481724845</v>
      </c>
      <c r="GE15" s="60">
        <f ca="1">AVERAGE(OFFSET($GD$3,0,0,'Données projet'!$E$17+1,1))-AVERAGE(OFFSET($H$3,0,0,'Données projet'!$E$17+1,1))</f>
        <v>344.62096650402731</v>
      </c>
      <c r="GF15" s="60">
        <f t="shared" si="50"/>
        <v>277.30931495079346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1.6</v>
      </c>
      <c r="N16" s="14">
        <f>IF('Données projet'!$A$36&gt;35,N15+M16-V15,IF(A16&lt;'Données projet'!$A$36,$K$205^A16,IF(A16='Données projet'!$A$36,'Données projet'!$B$36,N15+M16-V15)))</f>
        <v>9.5136569200217629</v>
      </c>
      <c r="O16" s="14">
        <f>N16*VLOOKUP('Données projet'!$B$9,Paramètres!$A$1:$I$89,3,0)*VLOOKUP('Données projet'!$B$9,Paramètres!$A$1:$I$89,5,0)</f>
        <v>8.1627176373786732</v>
      </c>
      <c r="P16" s="14">
        <f t="shared" si="33"/>
        <v>2.946112121509751</v>
      </c>
      <c r="Q16" s="22">
        <f t="shared" si="2"/>
        <v>19.347878496730672</v>
      </c>
      <c r="R16" s="60">
        <f t="shared" si="0"/>
        <v>218.8888787483495</v>
      </c>
      <c r="S16" s="60">
        <f ca="1">AVERAGE(OFFSET($R$3,0,0,'Données projet'!$E$9+1,1))-AVERAGE(OFFSET($H$3,0,0,'Données projet'!$E$9+1,1))</f>
        <v>632.26350546340541</v>
      </c>
      <c r="T16" s="60">
        <f t="shared" si="34"/>
        <v>340.45335016367915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2.4933333333333332</v>
      </c>
      <c r="AI16" s="14">
        <f>IF('Données projet'!$A$62&gt;35,AI15+AH16-AQ15,IF(A16&lt;'Données projet'!$A$62,$AF$205^A16,IF(A16='Données projet'!$A$62,'Données projet'!$B$62,AI15+AH16-AQ15)))</f>
        <v>23.075726799540639</v>
      </c>
      <c r="AJ16" s="14">
        <f>AI16*VLOOKUP('Données projet'!$B$10,Paramètres!$A$1:$I$89,3,0)*VLOOKUP('Données projet'!$B$10,Paramètres!$A$1:$I$89,5,0)</f>
        <v>18.359048241714532</v>
      </c>
      <c r="AK16" s="14">
        <f t="shared" si="35"/>
        <v>6.0296217509656884</v>
      </c>
      <c r="AL16" s="22">
        <f t="shared" si="4"/>
        <v>42.47693357058472</v>
      </c>
      <c r="AM16" s="60">
        <f t="shared" si="5"/>
        <v>242.01793382220353</v>
      </c>
      <c r="AN16" s="60">
        <f ca="1">AVERAGE(OFFSET($AM$3,0,0,'Données projet'!$E$10+1,1))-AVERAGE(OFFSET($H$3,0,0,'Données projet'!$E$10+1,1))</f>
        <v>336.25341821407534</v>
      </c>
      <c r="AO16" s="60">
        <f t="shared" si="36"/>
        <v>360.3246221345039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18.359048241714532</v>
      </c>
      <c r="BF16" s="14">
        <f t="shared" si="37"/>
        <v>6.0296217509656884</v>
      </c>
      <c r="BG16" s="22">
        <f t="shared" si="7"/>
        <v>42.47693357058472</v>
      </c>
      <c r="BH16" s="60">
        <f t="shared" si="8"/>
        <v>242.01793382220353</v>
      </c>
      <c r="BI16" s="60">
        <f ca="1">AVERAGE(OFFSET($BH$3,0,0,'Données projet'!$E$11+1,1))-AVERAGE(OFFSET($H$3,0,0,'Données projet'!$E$11+1,1))</f>
        <v>336.25341821407534</v>
      </c>
      <c r="BJ16" s="60">
        <f t="shared" si="38"/>
        <v>360.3246221345039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10.272227535089344</v>
      </c>
      <c r="CA16" s="14">
        <f t="shared" si="39"/>
        <v>3.6095987912522753</v>
      </c>
      <c r="CB16" s="22">
        <f t="shared" si="10"/>
        <v>24.177514185044988</v>
      </c>
      <c r="CC16" s="60">
        <f t="shared" si="11"/>
        <v>223.71851443666381</v>
      </c>
      <c r="CD16" s="60">
        <f ca="1">AVERAGE(OFFSET($CC$3,0,0,'Données projet'!$E$12+1,1))-AVERAGE(OFFSET($H$3,0,0,'Données projet'!$E$12+1,1))</f>
        <v>469.67944008675863</v>
      </c>
      <c r="CE16" s="60">
        <f t="shared" si="40"/>
        <v>266.11908070867173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0">
        <f t="shared" si="14"/>
        <v>243.63402726856214</v>
      </c>
      <c r="CY16" s="60">
        <f ca="1">AVERAGE(OFFSET($CX$3,0,0,'Données projet'!$E$13+1,1))-AVERAGE(OFFSET($H$3,0,0,'Données projet'!$E$13+1,1))</f>
        <v>312.59632808777332</v>
      </c>
      <c r="CZ16" s="60">
        <f t="shared" si="42"/>
        <v>302.59481222418219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2.4358974358974361</v>
      </c>
      <c r="DO16" s="13">
        <f>IF('Données projet'!$A$166&gt;35,DO15+DN16-DW15,IF(A16&lt;'Données projet'!$A$166,$DL$205^A16,IF(A16='Données projet'!$A$166,'Données projet'!$B$166,DO15+DN16-DW15)))</f>
        <v>22.614321200613873</v>
      </c>
      <c r="DP16" s="18">
        <f>DO16*VLOOKUP('Données projet'!$B$14,Paramètres!$A$1:$I$89,3,0)*VLOOKUP('Données projet'!$B$14,Paramètres!$A$1:$I$89,5,0)</f>
        <v>21.519788054504161</v>
      </c>
      <c r="DQ16" s="14">
        <f t="shared" si="43"/>
        <v>6.9382143454892127</v>
      </c>
      <c r="DR16" s="22">
        <f t="shared" si="16"/>
        <v>49.564354179988463</v>
      </c>
      <c r="DS16" s="60">
        <f t="shared" si="17"/>
        <v>249.10535443160728</v>
      </c>
      <c r="DT16" s="60">
        <f ca="1">AVERAGE(OFFSET($DS$3,0,0,'Données projet'!$E$14+1,1))-AVERAGE(OFFSET($H$3,0,0,'Données projet'!$E$14+1,1))</f>
        <v>398.29746143975166</v>
      </c>
      <c r="DU16" s="60">
        <f t="shared" si="44"/>
        <v>300.63705521148802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10.98065702026792</v>
      </c>
      <c r="EL16" s="14">
        <f t="shared" si="45"/>
        <v>3.8286992592655618</v>
      </c>
      <c r="EM16" s="22">
        <f t="shared" si="19"/>
        <v>25.792962186854144</v>
      </c>
      <c r="EN16" s="60">
        <f t="shared" si="20"/>
        <v>225.33396243847295</v>
      </c>
      <c r="EO16" s="60">
        <f ca="1">AVERAGE(OFFSET($EN$3,0,0,'Données projet'!$E$15+1,1))-AVERAGE(OFFSET($H$3,0,0,'Données projet'!$E$15+1,1))</f>
        <v>496.33873798282525</v>
      </c>
      <c r="EP16" s="60">
        <f t="shared" si="46"/>
        <v>280.25465074992246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2.4933333333333332</v>
      </c>
      <c r="FE16" s="13">
        <f>IF('Données projet'!$A$218&gt;35,FE15+FD16-FM15,IF(A16&lt;'Données projet'!$A$218,$FB$205^A16,IF(A16='Données projet'!$A$218,'Données projet'!$B$218,FE15+FD16-FM15)))</f>
        <v>23.075726799540639</v>
      </c>
      <c r="FF16" s="18">
        <f>FE16*VLOOKUP('Données projet'!$B$16,Paramètres!$A$1:$I$89,3,0)*VLOOKUP('Données projet'!$B$16,Paramètres!$A$1:$I$89,5,0)</f>
        <v>20.158954932078704</v>
      </c>
      <c r="FG16" s="14">
        <f t="shared" si="47"/>
        <v>6.5490755728028107</v>
      </c>
      <c r="FH16" s="22">
        <f t="shared" si="22"/>
        <v>46.516486462668638</v>
      </c>
      <c r="FI16" s="60">
        <f t="shared" si="23"/>
        <v>246.05748671428745</v>
      </c>
      <c r="FJ16" s="60">
        <f ca="1">AVERAGE(OFFSET($FI$3,0,0,'Données projet'!$E$16+1,1))-AVERAGE(OFFSET($H$3,0,0,'Données projet'!$E$16+1,1))</f>
        <v>363.28611056308665</v>
      </c>
      <c r="FK16" s="60">
        <f t="shared" si="48"/>
        <v>389.43647559455974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3.3333333333333335</v>
      </c>
      <c r="FZ16" s="13">
        <f>IF('Données projet'!$A$244&gt;35,FZ15+FY16-GH15,IF(A16&lt;'Données projet'!$A$244,$FW$205^A16,IF(A16='Données projet'!$A$244,'Données projet'!$B$244,FZ15+FY16-GH15)))</f>
        <v>29.678412748283769</v>
      </c>
      <c r="GA16" s="18">
        <f>FZ16*VLOOKUP('Données projet'!$B$17,Paramètres!$A$1:$I$89,3,0)*VLOOKUP('Données projet'!$B$17,Paramètres!$A$1:$I$89,5,0)</f>
        <v>19.90827927154875</v>
      </c>
      <c r="GB16" s="14">
        <f t="shared" si="49"/>
        <v>6.4770651239957129</v>
      </c>
      <c r="GC16" s="22">
        <f t="shared" si="25"/>
        <v>45.954474822239945</v>
      </c>
      <c r="GD16" s="60">
        <f t="shared" si="26"/>
        <v>245.49547507385876</v>
      </c>
      <c r="GE16" s="60">
        <f ca="1">AVERAGE(OFFSET($GD$3,0,0,'Données projet'!$E$17+1,1))-AVERAGE(OFFSET($H$3,0,0,'Données projet'!$E$17+1,1))</f>
        <v>344.62096650402731</v>
      </c>
      <c r="GF16" s="60">
        <f t="shared" si="50"/>
        <v>277.30931495079346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1.6</v>
      </c>
      <c r="N17" s="14">
        <f>IF('Données projet'!$A$36&gt;35,N16+M17-V16,IF(A17&lt;'Données projet'!$A$36,$K$205^A17,IF(A17='Données projet'!$A$36,'Données projet'!$B$36,N16+M17-V16)))</f>
        <v>11.313708498984752</v>
      </c>
      <c r="O17" s="14">
        <f>N17*VLOOKUP('Données projet'!$B$9,Paramètres!$A$1:$I$89,3,0)*VLOOKUP('Données projet'!$B$9,Paramètres!$A$1:$I$89,5,0)</f>
        <v>9.7071618921289176</v>
      </c>
      <c r="P17" s="14">
        <f t="shared" si="33"/>
        <v>3.433577046269785</v>
      </c>
      <c r="Q17" s="22">
        <f t="shared" si="2"/>
        <v>22.886786984377736</v>
      </c>
      <c r="R17" s="60">
        <f t="shared" si="0"/>
        <v>224.91664875665094</v>
      </c>
      <c r="S17" s="60">
        <f ca="1">AVERAGE(OFFSET($R$3,0,0,'Données projet'!$E$9+1,1))-AVERAGE(OFFSET($H$3,0,0,'Données projet'!$E$9+1,1))</f>
        <v>632.26350546340541</v>
      </c>
      <c r="T17" s="60">
        <f t="shared" si="34"/>
        <v>340.45335016367915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2.4933333333333332</v>
      </c>
      <c r="AI17" s="14">
        <f>IF('Données projet'!$A$62&gt;35,AI16+AH17-AQ16,IF(A17&lt;'Données projet'!$A$62,$AF$205^A17,IF(A17='Données projet'!$A$62,'Données projet'!$B$62,AI16+AH17-AQ16)))</f>
        <v>29.37740938719443</v>
      </c>
      <c r="AJ17" s="14">
        <f>AI17*VLOOKUP('Données projet'!$B$10,Paramètres!$A$1:$I$89,3,0)*VLOOKUP('Données projet'!$B$10,Paramètres!$A$1:$I$89,5,0)</f>
        <v>23.372666908451887</v>
      </c>
      <c r="AK17" s="14">
        <f t="shared" si="35"/>
        <v>7.4635026627966923</v>
      </c>
      <c r="AL17" s="22">
        <f t="shared" si="4"/>
        <v>53.706328669924602</v>
      </c>
      <c r="AM17" s="60">
        <f t="shared" si="5"/>
        <v>255.7361904421978</v>
      </c>
      <c r="AN17" s="60">
        <f ca="1">AVERAGE(OFFSET($AM$3,0,0,'Données projet'!$E$10+1,1))-AVERAGE(OFFSET($H$3,0,0,'Données projet'!$E$10+1,1))</f>
        <v>336.25341821407534</v>
      </c>
      <c r="AO17" s="60">
        <f t="shared" si="36"/>
        <v>360.3246221345039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23.372666908451887</v>
      </c>
      <c r="BF17" s="14">
        <f t="shared" si="37"/>
        <v>7.4635026627966923</v>
      </c>
      <c r="BG17" s="22">
        <f t="shared" si="7"/>
        <v>53.706328669924602</v>
      </c>
      <c r="BH17" s="60">
        <f t="shared" si="8"/>
        <v>255.7361904421978</v>
      </c>
      <c r="BI17" s="60">
        <f ca="1">AVERAGE(OFFSET($BH$3,0,0,'Données projet'!$E$11+1,1))-AVERAGE(OFFSET($H$3,0,0,'Données projet'!$E$11+1,1))</f>
        <v>336.25341821407534</v>
      </c>
      <c r="BJ17" s="60">
        <f t="shared" si="38"/>
        <v>360.3246221345039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12.383034850580612</v>
      </c>
      <c r="CA17" s="14">
        <f t="shared" si="39"/>
        <v>4.2576904771143838</v>
      </c>
      <c r="CB17" s="22">
        <f t="shared" si="10"/>
        <v>28.982596612402116</v>
      </c>
      <c r="CC17" s="60">
        <f t="shared" si="11"/>
        <v>231.01245838467531</v>
      </c>
      <c r="CD17" s="60">
        <f ca="1">AVERAGE(OFFSET($CC$3,0,0,'Données projet'!$E$12+1,1))-AVERAGE(OFFSET($H$3,0,0,'Données projet'!$E$12+1,1))</f>
        <v>469.67944008675863</v>
      </c>
      <c r="CE17" s="60">
        <f t="shared" si="40"/>
        <v>266.11908070867173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0">
        <f t="shared" si="14"/>
        <v>258.02412968638174</v>
      </c>
      <c r="CY17" s="60">
        <f ca="1">AVERAGE(OFFSET($CX$3,0,0,'Données projet'!$E$13+1,1))-AVERAGE(OFFSET($H$3,0,0,'Données projet'!$E$13+1,1))</f>
        <v>312.59632808777332</v>
      </c>
      <c r="CZ17" s="60">
        <f t="shared" si="42"/>
        <v>302.59481222418219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2.4358974358974361</v>
      </c>
      <c r="DO17" s="13">
        <f>IF('Données projet'!$A$166&gt;35,DO16+DN17-DW16,IF(A17&lt;'Données projet'!$A$166,$DL$205^A17,IF(A17='Données projet'!$A$166,'Données projet'!$B$166,DO16+DN17-DW16)))</f>
        <v>28.745304058350921</v>
      </c>
      <c r="DP17" s="18">
        <f>DO17*VLOOKUP('Données projet'!$B$14,Paramètres!$A$1:$I$89,3,0)*VLOOKUP('Données projet'!$B$14,Paramètres!$A$1:$I$89,5,0)</f>
        <v>27.354031341926738</v>
      </c>
      <c r="DQ17" s="14">
        <f t="shared" si="43"/>
        <v>8.5763820870506962</v>
      </c>
      <c r="DR17" s="22">
        <f t="shared" si="16"/>
        <v>62.578803388802356</v>
      </c>
      <c r="DS17" s="60">
        <f t="shared" si="17"/>
        <v>264.60866516107558</v>
      </c>
      <c r="DT17" s="60">
        <f ca="1">AVERAGE(OFFSET($DS$3,0,0,'Données projet'!$E$14+1,1))-AVERAGE(OFFSET($H$3,0,0,'Données projet'!$E$14+1,1))</f>
        <v>398.29746143975166</v>
      </c>
      <c r="DU17" s="60">
        <f t="shared" si="44"/>
        <v>300.63705521148802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13.237037254068934</v>
      </c>
      <c r="EL17" s="14">
        <f t="shared" si="45"/>
        <v>4.5161297192961545</v>
      </c>
      <c r="EM17" s="22">
        <f t="shared" si="19"/>
        <v>30.920099145277529</v>
      </c>
      <c r="EN17" s="60">
        <f t="shared" si="20"/>
        <v>232.94996091755073</v>
      </c>
      <c r="EO17" s="60">
        <f ca="1">AVERAGE(OFFSET($EN$3,0,0,'Données projet'!$E$15+1,1))-AVERAGE(OFFSET($H$3,0,0,'Données projet'!$E$15+1,1))</f>
        <v>496.33873798282525</v>
      </c>
      <c r="EP17" s="60">
        <f t="shared" si="46"/>
        <v>280.25465074992246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2.4933333333333332</v>
      </c>
      <c r="FE17" s="13">
        <f>IF('Données projet'!$A$218&gt;35,FE16+FD17-FM16,IF(A17&lt;'Données projet'!$A$218,$FB$205^A17,IF(A17='Données projet'!$A$218,'Données projet'!$B$218,FE16+FD17-FM16)))</f>
        <v>29.37740938719443</v>
      </c>
      <c r="FF17" s="18">
        <f>FE17*VLOOKUP('Données projet'!$B$16,Paramètres!$A$1:$I$89,3,0)*VLOOKUP('Données projet'!$B$16,Paramètres!$A$1:$I$89,5,0)</f>
        <v>25.664104840653053</v>
      </c>
      <c r="FG17" s="14">
        <f t="shared" si="47"/>
        <v>8.1064857789200797</v>
      </c>
      <c r="FH17" s="22">
        <f t="shared" si="22"/>
        <v>58.817111995756541</v>
      </c>
      <c r="FI17" s="60">
        <f t="shared" si="23"/>
        <v>260.84697376802973</v>
      </c>
      <c r="FJ17" s="60">
        <f ca="1">AVERAGE(OFFSET($FI$3,0,0,'Données projet'!$E$16+1,1))-AVERAGE(OFFSET($H$3,0,0,'Données projet'!$E$16+1,1))</f>
        <v>363.28611056308665</v>
      </c>
      <c r="FK17" s="60">
        <f t="shared" si="48"/>
        <v>389.43647559455974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3.3333333333333335</v>
      </c>
      <c r="FZ17" s="13">
        <f>IF('Données projet'!$A$244&gt;35,FZ16+FY17-GH16,IF(A17&lt;'Données projet'!$A$244,$FW$205^A17,IF(A17='Données projet'!$A$244,'Données projet'!$B$244,FZ16+FY17-GH16)))</f>
        <v>38.521690479704915</v>
      </c>
      <c r="GA17" s="18">
        <f>FZ17*VLOOKUP('Données projet'!$B$17,Paramètres!$A$1:$I$89,3,0)*VLOOKUP('Données projet'!$B$17,Paramètres!$A$1:$I$89,5,0)</f>
        <v>25.840349973786058</v>
      </c>
      <c r="GB17" s="14">
        <f t="shared" si="49"/>
        <v>8.1556564542120462</v>
      </c>
      <c r="GC17" s="22">
        <f t="shared" si="25"/>
        <v>59.209711195430032</v>
      </c>
      <c r="GD17" s="60">
        <f t="shared" si="26"/>
        <v>261.23957296770323</v>
      </c>
      <c r="GE17" s="60">
        <f ca="1">AVERAGE(OFFSET($GD$3,0,0,'Données projet'!$E$17+1,1))-AVERAGE(OFFSET($H$3,0,0,'Données projet'!$E$17+1,1))</f>
        <v>344.62096650402731</v>
      </c>
      <c r="GF17" s="60">
        <f t="shared" si="50"/>
        <v>277.30931495079346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1.6</v>
      </c>
      <c r="N18" s="14">
        <f>IF('Données projet'!$A$36&gt;35,N17+M18-V17,IF(A18&lt;'Données projet'!$A$36,$K$205^A18,IF(A18='Données projet'!$A$36,'Données projet'!$B$36,N17+M18-V17)))</f>
        <v>13.454342644059421</v>
      </c>
      <c r="O18" s="14">
        <f>N18*VLOOKUP('Données projet'!$B$9,Paramètres!$A$1:$I$89,3,0)*VLOOKUP('Données projet'!$B$9,Paramètres!$A$1:$I$89,5,0)</f>
        <v>11.543825988602984</v>
      </c>
      <c r="P18" s="14">
        <f t="shared" si="33"/>
        <v>4.0016981182064377</v>
      </c>
      <c r="Q18" s="22">
        <f t="shared" si="2"/>
        <v>27.075121152693075</v>
      </c>
      <c r="R18" s="60">
        <f t="shared" si="0"/>
        <v>231.57187108557412</v>
      </c>
      <c r="S18" s="60">
        <f ca="1">AVERAGE(OFFSET($R$3,0,0,'Données projet'!$E$9+1,1))-AVERAGE(OFFSET($H$3,0,0,'Données projet'!$E$9+1,1))</f>
        <v>632.26350546340541</v>
      </c>
      <c r="T18" s="60">
        <f t="shared" si="34"/>
        <v>340.45335016367915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37.4</v>
      </c>
      <c r="AG18" s="13">
        <f>VLOOKUP(A18,'Données projet'!$A$61:$I$81,9,0)</f>
        <v>2.4933333333333332</v>
      </c>
      <c r="AH18" s="13">
        <f t="array" ref="AH18">INDEX(AG:AG,MIN(IF(ISNUMBER(AG18:AG214),ROW(AG18:AG214),"")))</f>
        <v>2.4933333333333332</v>
      </c>
      <c r="AI18" s="14">
        <f>IF('Données projet'!$A$62&gt;35,AI17+AH18-AQ17,IF(A18&lt;'Données projet'!$A$62,$AF$205^A18,IF(A18='Données projet'!$A$62,'Données projet'!$B$62,AI17+AH18-AQ17)))</f>
        <v>37.4</v>
      </c>
      <c r="AJ18" s="14">
        <f>AI18*VLOOKUP('Données projet'!$B$10,Paramètres!$A$1:$I$89,3,0)*VLOOKUP('Données projet'!$B$10,Paramètres!$A$1:$I$89,5,0)</f>
        <v>29.755439999999997</v>
      </c>
      <c r="AK18" s="14">
        <f t="shared" si="35"/>
        <v>9.2383692208639729</v>
      </c>
      <c r="AL18" s="22">
        <f t="shared" si="4"/>
        <v>67.91421772633808</v>
      </c>
      <c r="AM18" s="60">
        <f t="shared" si="5"/>
        <v>272.41096765921912</v>
      </c>
      <c r="AN18" s="60">
        <f ca="1">AVERAGE(OFFSET($AM$3,0,0,'Données projet'!$E$10+1,1))-AVERAGE(OFFSET($H$3,0,0,'Données projet'!$E$10+1,1))</f>
        <v>336.25341821407534</v>
      </c>
      <c r="AO18" s="60">
        <f t="shared" si="36"/>
        <v>360.3246221345039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29.755439999999997</v>
      </c>
      <c r="BF18" s="14">
        <f t="shared" si="37"/>
        <v>9.2383692208639729</v>
      </c>
      <c r="BG18" s="22">
        <f t="shared" si="7"/>
        <v>67.91421772633808</v>
      </c>
      <c r="BH18" s="60">
        <f t="shared" si="8"/>
        <v>272.41096765921912</v>
      </c>
      <c r="BI18" s="60">
        <f ca="1">AVERAGE(OFFSET($BH$3,0,0,'Données projet'!$E$11+1,1))-AVERAGE(OFFSET($H$3,0,0,'Données projet'!$E$11+1,1))</f>
        <v>336.25341821407534</v>
      </c>
      <c r="BJ18" s="60">
        <f t="shared" si="38"/>
        <v>360.3246221345039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14.927585237660953</v>
      </c>
      <c r="CA18" s="14">
        <f t="shared" si="39"/>
        <v>5.0221449106318534</v>
      </c>
      <c r="CB18" s="22">
        <f t="shared" si="10"/>
        <v>34.745780008276633</v>
      </c>
      <c r="CC18" s="60">
        <f t="shared" si="11"/>
        <v>239.24252994115767</v>
      </c>
      <c r="CD18" s="60">
        <f ca="1">AVERAGE(OFFSET($CC$3,0,0,'Données projet'!$E$12+1,1))-AVERAGE(OFFSET($H$3,0,0,'Données projet'!$E$12+1,1))</f>
        <v>469.67944008675863</v>
      </c>
      <c r="CE18" s="60">
        <f t="shared" si="40"/>
        <v>266.11908070867173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0">
        <f t="shared" si="14"/>
        <v>275.61521021573253</v>
      </c>
      <c r="CY18" s="60">
        <f ca="1">AVERAGE(OFFSET($CX$3,0,0,'Données projet'!$E$13+1,1))-AVERAGE(OFFSET($H$3,0,0,'Données projet'!$E$13+1,1))</f>
        <v>312.59632808777332</v>
      </c>
      <c r="CZ18" s="60">
        <f t="shared" si="42"/>
        <v>302.59481222418219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36.53846153846154</v>
      </c>
      <c r="DM18" s="13">
        <f>VLOOKUP(A18,'Données projet'!$A$165:$I$185,9,0)</f>
        <v>2.4358974358974361</v>
      </c>
      <c r="DN18" s="13">
        <f t="array" ref="DN18">INDEX(DM:DM,MIN(IF(ISNUMBER(DM18:DM214),ROW(DM18:DM214),"")))</f>
        <v>2.4358974358974361</v>
      </c>
      <c r="DO18" s="13">
        <f>IF('Données projet'!$A$166&gt;35,DO17+DN18-DW17,IF(A18&lt;'Données projet'!$A$166,$DL$205^A18,IF(A18='Données projet'!$A$166,'Données projet'!$B$166,DO17+DN18-DW17)))</f>
        <v>36.53846153846154</v>
      </c>
      <c r="DP18" s="18">
        <f>DO18*VLOOKUP('Données projet'!$B$14,Paramètres!$A$1:$I$89,3,0)*VLOOKUP('Données projet'!$B$14,Paramètres!$A$1:$I$89,5,0)</f>
        <v>34.770000000000003</v>
      </c>
      <c r="DQ18" s="14">
        <f t="shared" si="43"/>
        <v>10.601334297333203</v>
      </c>
      <c r="DR18" s="22">
        <f t="shared" si="16"/>
        <v>79.021740567855332</v>
      </c>
      <c r="DS18" s="60">
        <f t="shared" si="17"/>
        <v>283.51849050073639</v>
      </c>
      <c r="DT18" s="60">
        <f ca="1">AVERAGE(OFFSET($DS$3,0,0,'Données projet'!$E$14+1,1))-AVERAGE(OFFSET($H$3,0,0,'Données projet'!$E$14+1,1))</f>
        <v>398.29746143975166</v>
      </c>
      <c r="DU18" s="60">
        <f t="shared" si="44"/>
        <v>300.63705521148802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15.957073874741019</v>
      </c>
      <c r="EL18" s="14">
        <f t="shared" si="45"/>
        <v>5.3269860755326848</v>
      </c>
      <c r="EM18" s="22">
        <f t="shared" si="19"/>
        <v>37.069737746726702</v>
      </c>
      <c r="EN18" s="60">
        <f t="shared" si="20"/>
        <v>241.56648767960775</v>
      </c>
      <c r="EO18" s="60">
        <f ca="1">AVERAGE(OFFSET($EN$3,0,0,'Données projet'!$E$15+1,1))-AVERAGE(OFFSET($H$3,0,0,'Données projet'!$E$15+1,1))</f>
        <v>496.33873798282525</v>
      </c>
      <c r="EP18" s="60">
        <f t="shared" si="46"/>
        <v>280.25465074992246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37.4</v>
      </c>
      <c r="FC18" s="13">
        <f>VLOOKUP(A18,'Données projet'!$A$217:$I$237,9,0)</f>
        <v>2.4933333333333332</v>
      </c>
      <c r="FD18" s="13">
        <f t="array" ref="FD18">INDEX(FC:FC,MIN(IF(ISNUMBER(FC18:FC214),ROW(FC18:FC214),"")))</f>
        <v>2.4933333333333332</v>
      </c>
      <c r="FE18" s="13">
        <f>IF('Données projet'!$A$218&gt;35,FE17+FD18-FM17,IF(A18&lt;'Données projet'!$A$218,$FB$205^A18,IF(A18='Données projet'!$A$218,'Données projet'!$B$218,FE17+FD18-FM17)))</f>
        <v>37.4</v>
      </c>
      <c r="FF18" s="18">
        <f>FE18*VLOOKUP('Données projet'!$B$16,Paramètres!$A$1:$I$89,3,0)*VLOOKUP('Données projet'!$B$16,Paramètres!$A$1:$I$89,5,0)</f>
        <v>32.672640000000008</v>
      </c>
      <c r="FG18" s="14">
        <f t="shared" si="47"/>
        <v>10.03425765259713</v>
      </c>
      <c r="FH18" s="22">
        <f t="shared" si="22"/>
        <v>74.381180078273346</v>
      </c>
      <c r="FI18" s="60">
        <f t="shared" si="23"/>
        <v>278.87793001115438</v>
      </c>
      <c r="FJ18" s="60">
        <f ca="1">AVERAGE(OFFSET($FI$3,0,0,'Données projet'!$E$16+1,1))-AVERAGE(OFFSET($H$3,0,0,'Données projet'!$E$16+1,1))</f>
        <v>363.28611056308665</v>
      </c>
      <c r="FK18" s="60">
        <f t="shared" si="48"/>
        <v>389.43647559455974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50</v>
      </c>
      <c r="FX18" s="13">
        <f>VLOOKUP(A18,'Données projet'!$A$243:$I$263,9,0)</f>
        <v>3.3333333333333335</v>
      </c>
      <c r="FY18" s="13">
        <f t="array" ref="FY18">INDEX(FX:FX,MIN(IF(ISNUMBER(FX18:FX214),ROW(FX18:FX214),"")))</f>
        <v>3.3333333333333335</v>
      </c>
      <c r="FZ18" s="13">
        <f>IF('Données projet'!$A$244&gt;35,FZ17+FY18-GH17,IF(A18&lt;'Données projet'!$A$244,$FW$205^A18,IF(A18='Données projet'!$A$244,'Données projet'!$B$244,FZ17+FY18-GH17)))</f>
        <v>50</v>
      </c>
      <c r="GA18" s="18">
        <f>FZ18*VLOOKUP('Données projet'!$B$17,Paramètres!$A$1:$I$89,3,0)*VLOOKUP('Données projet'!$B$17,Paramètres!$A$1:$I$89,5,0)</f>
        <v>33.54</v>
      </c>
      <c r="GB18" s="14">
        <f t="shared" si="49"/>
        <v>10.269270252156668</v>
      </c>
      <c r="GC18" s="22">
        <f t="shared" si="25"/>
        <v>76.301145689172856</v>
      </c>
      <c r="GD18" s="60">
        <f t="shared" si="26"/>
        <v>280.79789562205389</v>
      </c>
      <c r="GE18" s="60">
        <f ca="1">AVERAGE(OFFSET($GD$3,0,0,'Données projet'!$E$17+1,1))-AVERAGE(OFFSET($H$3,0,0,'Données projet'!$E$17+1,1))</f>
        <v>344.62096650402731</v>
      </c>
      <c r="GF18" s="60">
        <f t="shared" si="50"/>
        <v>277.30931495079346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1.6</v>
      </c>
      <c r="N19" s="14">
        <f>IF('Données projet'!$A$36&gt;35,N18+M19-V18,IF(A19&lt;'Données projet'!$A$36,$K$205^A19,IF(A19='Données projet'!$A$36,'Données projet'!$B$36,N18+M19-V18)))</f>
        <v>15.999999999999986</v>
      </c>
      <c r="O19" s="14">
        <f>N19*VLOOKUP('Données projet'!$B$9,Paramètres!$A$1:$I$89,3,0)*VLOOKUP('Données projet'!$B$9,Paramètres!$A$1:$I$89,5,0)</f>
        <v>13.727999999999991</v>
      </c>
      <c r="P19" s="14">
        <f t="shared" si="33"/>
        <v>4.6638207366437268</v>
      </c>
      <c r="Q19" s="22">
        <f t="shared" si="2"/>
        <v>32.032421116321139</v>
      </c>
      <c r="R19" s="60">
        <f t="shared" si="0"/>
        <v>238.97446703843519</v>
      </c>
      <c r="S19" s="60">
        <f ca="1">AVERAGE(OFFSET($R$3,0,0,'Données projet'!$E$9+1,1))-AVERAGE(OFFSET($H$3,0,0,'Données projet'!$E$9+1,1))</f>
        <v>632.26350546340541</v>
      </c>
      <c r="T19" s="60">
        <f t="shared" si="34"/>
        <v>340.45335016367915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11.54</v>
      </c>
      <c r="AI19" s="14">
        <f>IF('Données projet'!$A$62&gt;35,AI18+AH19-AQ18,IF(A19&lt;'Données projet'!$A$62,$AF$205^A19,IF(A19='Données projet'!$A$62,'Données projet'!$B$62,AI18+AH19-AQ18)))</f>
        <v>48.94</v>
      </c>
      <c r="AJ19" s="14">
        <f>AI19*VLOOKUP('Données projet'!$B$10,Paramètres!$A$1:$I$89,3,0)*VLOOKUP('Données projet'!$B$10,Paramètres!$A$1:$I$89,5,0)</f>
        <v>38.936664</v>
      </c>
      <c r="AK19" s="14">
        <f t="shared" si="35"/>
        <v>11.71636916173216</v>
      </c>
      <c r="AL19" s="22">
        <f t="shared" si="4"/>
        <v>88.220699423350183</v>
      </c>
      <c r="AM19" s="60">
        <f t="shared" si="5"/>
        <v>295.16274534546426</v>
      </c>
      <c r="AN19" s="60">
        <f ca="1">AVERAGE(OFFSET($AM$3,0,0,'Données projet'!$E$10+1,1))-AVERAGE(OFFSET($H$3,0,0,'Données projet'!$E$10+1,1))</f>
        <v>336.25341821407534</v>
      </c>
      <c r="AO19" s="60">
        <f t="shared" si="36"/>
        <v>360.3246221345039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38.936664</v>
      </c>
      <c r="BF19" s="14">
        <f t="shared" si="37"/>
        <v>11.71636916173216</v>
      </c>
      <c r="BG19" s="22">
        <f t="shared" si="7"/>
        <v>88.220699423350183</v>
      </c>
      <c r="BH19" s="60">
        <f t="shared" si="8"/>
        <v>295.16274534546426</v>
      </c>
      <c r="BI19" s="60">
        <f ca="1">AVERAGE(OFFSET($BH$3,0,0,'Données projet'!$E$11+1,1))-AVERAGE(OFFSET($H$3,0,0,'Données projet'!$E$11+1,1))</f>
        <v>336.25341821407534</v>
      </c>
      <c r="BJ19" s="60">
        <f t="shared" si="38"/>
        <v>360.3246221345039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17.995007178485412</v>
      </c>
      <c r="CA19" s="14">
        <f t="shared" si="39"/>
        <v>5.9238546434872337</v>
      </c>
      <c r="CB19" s="22">
        <f t="shared" si="10"/>
        <v>41.658684339935689</v>
      </c>
      <c r="CC19" s="60">
        <f t="shared" si="11"/>
        <v>248.60073026204975</v>
      </c>
      <c r="CD19" s="60">
        <f ca="1">AVERAGE(OFFSET($CC$3,0,0,'Données projet'!$E$12+1,1))-AVERAGE(OFFSET($H$3,0,0,'Données projet'!$E$12+1,1))</f>
        <v>469.67944008675863</v>
      </c>
      <c r="CE19" s="60">
        <f t="shared" si="40"/>
        <v>266.11908070867173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49.6</v>
      </c>
      <c r="CU19" s="18">
        <f>CT19*VLOOKUP('Données projet'!$B$13,Paramètres!$A$1:$I$89,3,0)*VLOOKUP('Données projet'!$B$13,Paramètres!$A$1:$I$89,5,0)</f>
        <v>38.688000000000002</v>
      </c>
      <c r="CV19" s="14">
        <f t="shared" si="41"/>
        <v>11.650229083154354</v>
      </c>
      <c r="CW19" s="22">
        <f t="shared" si="13"/>
        <v>87.672415653160499</v>
      </c>
      <c r="CX19" s="60">
        <f t="shared" si="14"/>
        <v>294.61446157527456</v>
      </c>
      <c r="CY19" s="60">
        <f ca="1">AVERAGE(OFFSET($CX$3,0,0,'Données projet'!$E$13+1,1))-AVERAGE(OFFSET($H$3,0,0,'Données projet'!$E$13+1,1))</f>
        <v>312.59632808777332</v>
      </c>
      <c r="CZ19" s="60">
        <f t="shared" si="42"/>
        <v>302.59481222418219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6.2820512820512802</v>
      </c>
      <c r="DO19" s="13">
        <f>IF('Données projet'!$A$166&gt;35,DO18+DN19-DW18,IF(A19&lt;'Données projet'!$A$166,$DL$205^A19,IF(A19='Données projet'!$A$166,'Données projet'!$B$166,DO18+DN19-DW18)))</f>
        <v>42.820512820512818</v>
      </c>
      <c r="DP19" s="18">
        <f>DO19*VLOOKUP('Données projet'!$B$14,Paramètres!$A$1:$I$89,3,0)*VLOOKUP('Données projet'!$B$14,Paramètres!$A$1:$I$89,5,0)</f>
        <v>40.747999999999998</v>
      </c>
      <c r="DQ19" s="14">
        <f t="shared" si="43"/>
        <v>12.196690104400222</v>
      </c>
      <c r="DR19" s="22">
        <f t="shared" si="16"/>
        <v>92.212001931830386</v>
      </c>
      <c r="DS19" s="60">
        <f t="shared" si="17"/>
        <v>299.15404785394446</v>
      </c>
      <c r="DT19" s="60">
        <f ca="1">AVERAGE(OFFSET($DS$3,0,0,'Données projet'!$E$14+1,1))-AVERAGE(OFFSET($H$3,0,0,'Données projet'!$E$14+1,1))</f>
        <v>398.29746143975166</v>
      </c>
      <c r="DU19" s="60">
        <f t="shared" si="44"/>
        <v>300.63705521148802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19.236042156311996</v>
      </c>
      <c r="EL19" s="14">
        <f t="shared" si="45"/>
        <v>6.2834290449348904</v>
      </c>
      <c r="EM19" s="22">
        <f t="shared" si="19"/>
        <v>44.446412342171662</v>
      </c>
      <c r="EN19" s="60">
        <f t="shared" si="20"/>
        <v>251.38845826428573</v>
      </c>
      <c r="EO19" s="60">
        <f ca="1">AVERAGE(OFFSET($EN$3,0,0,'Données projet'!$E$15+1,1))-AVERAGE(OFFSET($H$3,0,0,'Données projet'!$E$15+1,1))</f>
        <v>496.33873798282525</v>
      </c>
      <c r="EP19" s="60">
        <f t="shared" si="46"/>
        <v>280.25465074992246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11.54</v>
      </c>
      <c r="FE19" s="13">
        <f>IF('Données projet'!$A$218&gt;35,FE18+FD19-FM18,IF(A19&lt;'Données projet'!$A$218,$FB$205^A19,IF(A19='Données projet'!$A$218,'Données projet'!$B$218,FE18+FD19-FM18)))</f>
        <v>48.94</v>
      </c>
      <c r="FF19" s="18">
        <f>FE19*VLOOKUP('Données projet'!$B$16,Paramètres!$A$1:$I$89,3,0)*VLOOKUP('Données projet'!$B$16,Paramètres!$A$1:$I$89,5,0)</f>
        <v>42.753984000000003</v>
      </c>
      <c r="FG19" s="14">
        <f t="shared" si="47"/>
        <v>12.72573807250034</v>
      </c>
      <c r="FH19" s="22">
        <f t="shared" si="22"/>
        <v>96.627182609604759</v>
      </c>
      <c r="FI19" s="60">
        <f t="shared" si="23"/>
        <v>303.56922853171881</v>
      </c>
      <c r="FJ19" s="60">
        <f ca="1">AVERAGE(OFFSET($FI$3,0,0,'Données projet'!$E$16+1,1))-AVERAGE(OFFSET($H$3,0,0,'Données projet'!$E$16+1,1))</f>
        <v>363.28611056308665</v>
      </c>
      <c r="FK19" s="60">
        <f t="shared" si="48"/>
        <v>389.43647559455974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8.2051282051282044</v>
      </c>
      <c r="FZ19" s="13">
        <f>IF('Données projet'!$A$244&gt;35,FZ18+FY19-GH18,IF(A19&lt;'Données projet'!$A$244,$FW$205^A19,IF(A19='Données projet'!$A$244,'Données projet'!$B$244,FZ18+FY19-GH18)))</f>
        <v>58.205128205128204</v>
      </c>
      <c r="GA19" s="18">
        <f>FZ19*VLOOKUP('Données projet'!$B$17,Paramètres!$A$1:$I$89,3,0)*VLOOKUP('Données projet'!$B$17,Paramètres!$A$1:$I$89,5,0)</f>
        <v>39.043999999999997</v>
      </c>
      <c r="GB19" s="14">
        <f t="shared" si="49"/>
        <v>11.744903368873258</v>
      </c>
      <c r="GC19" s="22">
        <f t="shared" si="25"/>
        <v>88.457340034120918</v>
      </c>
      <c r="GD19" s="60">
        <f t="shared" si="26"/>
        <v>295.39938595623499</v>
      </c>
      <c r="GE19" s="60">
        <f ca="1">AVERAGE(OFFSET($GD$3,0,0,'Données projet'!$E$17+1,1))-AVERAGE(OFFSET($H$3,0,0,'Données projet'!$E$17+1,1))</f>
        <v>344.62096650402731</v>
      </c>
      <c r="GF19" s="60">
        <f t="shared" si="50"/>
        <v>277.30931495079346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1.6</v>
      </c>
      <c r="N20" s="14">
        <f>IF('Données projet'!$A$36&gt;35,N19+M20-V19,IF(A20&lt;'Données projet'!$A$36,$K$205^A20,IF(A20='Données projet'!$A$36,'Données projet'!$B$36,N19+M20-V19)))</f>
        <v>19.027313840043519</v>
      </c>
      <c r="O20" s="14">
        <f>N20*VLOOKUP('Données projet'!$B$9,Paramètres!$A$1:$I$89,3,0)*VLOOKUP('Données projet'!$B$9,Paramètres!$A$1:$I$89,5,0)</f>
        <v>16.325435274757343</v>
      </c>
      <c r="P20" s="14">
        <f t="shared" si="33"/>
        <v>5.4354984361731269</v>
      </c>
      <c r="Q20" s="22">
        <f t="shared" si="2"/>
        <v>37.90029287987057</v>
      </c>
      <c r="R20" s="60">
        <f t="shared" si="0"/>
        <v>247.26641719574329</v>
      </c>
      <c r="S20" s="60">
        <f ca="1">AVERAGE(OFFSET($R$3,0,0,'Données projet'!$E$9+1,1))-AVERAGE(OFFSET($H$3,0,0,'Données projet'!$E$9+1,1))</f>
        <v>632.26350546340541</v>
      </c>
      <c r="T20" s="60">
        <f t="shared" si="34"/>
        <v>340.45335016367915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11.54</v>
      </c>
      <c r="AI20" s="14">
        <f>IF('Données projet'!$A$62&gt;35,AI19+AH20-AQ19,IF(A20&lt;'Données projet'!$A$62,$AF$205^A20,IF(A20='Données projet'!$A$62,'Données projet'!$B$62,AI19+AH20-AQ19)))</f>
        <v>60.48</v>
      </c>
      <c r="AJ20" s="14">
        <f>AI20*VLOOKUP('Données projet'!$B$10,Paramètres!$A$1:$I$89,3,0)*VLOOKUP('Données projet'!$B$10,Paramètres!$A$1:$I$89,5,0)</f>
        <v>48.117888000000001</v>
      </c>
      <c r="AK20" s="14">
        <f t="shared" si="35"/>
        <v>14.126615953608919</v>
      </c>
      <c r="AL20" s="22">
        <f t="shared" si="4"/>
        <v>108.40917771920219</v>
      </c>
      <c r="AM20" s="60">
        <f t="shared" si="5"/>
        <v>317.7753020350749</v>
      </c>
      <c r="AN20" s="60">
        <f ca="1">AVERAGE(OFFSET($AM$3,0,0,'Données projet'!$E$10+1,1))-AVERAGE(OFFSET($H$3,0,0,'Données projet'!$E$10+1,1))</f>
        <v>336.25341821407534</v>
      </c>
      <c r="AO20" s="60">
        <f t="shared" si="36"/>
        <v>360.3246221345039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48.117888000000001</v>
      </c>
      <c r="BF20" s="14">
        <f t="shared" si="37"/>
        <v>14.126615953608919</v>
      </c>
      <c r="BG20" s="22">
        <f t="shared" si="7"/>
        <v>108.40917771920219</v>
      </c>
      <c r="BH20" s="60">
        <f t="shared" si="8"/>
        <v>317.7753020350749</v>
      </c>
      <c r="BI20" s="60">
        <f ca="1">AVERAGE(OFFSET($BH$3,0,0,'Données projet'!$E$11+1,1))-AVERAGE(OFFSET($H$3,0,0,'Données projet'!$E$11+1,1))</f>
        <v>336.25341821407534</v>
      </c>
      <c r="BJ20" s="60">
        <f t="shared" si="38"/>
        <v>360.3246221345039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21.692743883101215</v>
      </c>
      <c r="CA20" s="14">
        <f t="shared" si="39"/>
        <v>6.98746341685115</v>
      </c>
      <c r="CB20" s="22">
        <f t="shared" si="10"/>
        <v>49.951361047417038</v>
      </c>
      <c r="CC20" s="60">
        <f t="shared" si="11"/>
        <v>259.31748536328973</v>
      </c>
      <c r="CD20" s="60">
        <f ca="1">AVERAGE(OFFSET($CC$3,0,0,'Données projet'!$E$12+1,1))-AVERAGE(OFFSET($H$3,0,0,'Données projet'!$E$12+1,1))</f>
        <v>469.67944008675863</v>
      </c>
      <c r="CE20" s="60">
        <f t="shared" si="40"/>
        <v>266.11908070867173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59.2</v>
      </c>
      <c r="CU20" s="18">
        <f>CT20*VLOOKUP('Données projet'!$B$13,Paramètres!$A$1:$I$89,3,0)*VLOOKUP('Données projet'!$B$13,Paramètres!$A$1:$I$89,5,0)</f>
        <v>46.176000000000002</v>
      </c>
      <c r="CV20" s="14">
        <f t="shared" si="41"/>
        <v>13.621668778540489</v>
      </c>
      <c r="CW20" s="22">
        <f t="shared" si="13"/>
        <v>104.14760645595801</v>
      </c>
      <c r="CX20" s="60">
        <f t="shared" si="14"/>
        <v>313.51373077183075</v>
      </c>
      <c r="CY20" s="60">
        <f ca="1">AVERAGE(OFFSET($CX$3,0,0,'Données projet'!$E$13+1,1))-AVERAGE(OFFSET($H$3,0,0,'Données projet'!$E$13+1,1))</f>
        <v>312.59632808777332</v>
      </c>
      <c r="CZ20" s="60">
        <f t="shared" si="42"/>
        <v>302.59481222418219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6.2820512820512802</v>
      </c>
      <c r="DO20" s="13">
        <f>IF('Données projet'!$A$166&gt;35,DO19+DN20-DW19,IF(A20&lt;'Données projet'!$A$166,$DL$205^A20,IF(A20='Données projet'!$A$166,'Données projet'!$B$166,DO19+DN20-DW19)))</f>
        <v>49.102564102564095</v>
      </c>
      <c r="DP20" s="18">
        <f>DO20*VLOOKUP('Données projet'!$B$14,Paramètres!$A$1:$I$89,3,0)*VLOOKUP('Données projet'!$B$14,Paramètres!$A$1:$I$89,5,0)</f>
        <v>46.725999999999992</v>
      </c>
      <c r="DQ20" s="14">
        <f t="shared" si="43"/>
        <v>13.764931291666562</v>
      </c>
      <c r="DR20" s="22">
        <f t="shared" si="16"/>
        <v>105.35503866631923</v>
      </c>
      <c r="DS20" s="60">
        <f t="shared" si="17"/>
        <v>314.72116298219197</v>
      </c>
      <c r="DT20" s="60">
        <f ca="1">AVERAGE(OFFSET($DS$3,0,0,'Données projet'!$E$14+1,1))-AVERAGE(OFFSET($H$3,0,0,'Données projet'!$E$14+1,1))</f>
        <v>398.29746143975166</v>
      </c>
      <c r="DU20" s="60">
        <f t="shared" si="44"/>
        <v>300.63705521148802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23.188795185384055</v>
      </c>
      <c r="EL20" s="14">
        <f t="shared" si="45"/>
        <v>7.4115982288884323</v>
      </c>
      <c r="EM20" s="22">
        <f t="shared" si="19"/>
        <v>53.29568519652458</v>
      </c>
      <c r="EN20" s="60">
        <f t="shared" si="20"/>
        <v>262.66180951239733</v>
      </c>
      <c r="EO20" s="60">
        <f ca="1">AVERAGE(OFFSET($EN$3,0,0,'Données projet'!$E$15+1,1))-AVERAGE(OFFSET($H$3,0,0,'Données projet'!$E$15+1,1))</f>
        <v>496.33873798282525</v>
      </c>
      <c r="EP20" s="60">
        <f t="shared" si="46"/>
        <v>280.25465074992246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11.54</v>
      </c>
      <c r="FE20" s="13">
        <f>IF('Données projet'!$A$218&gt;35,FE19+FD20-FM19,IF(A20&lt;'Données projet'!$A$218,$FB$205^A20,IF(A20='Données projet'!$A$218,'Données projet'!$B$218,FE19+FD20-FM19)))</f>
        <v>60.48</v>
      </c>
      <c r="FF20" s="18">
        <f>FE20*VLOOKUP('Données projet'!$B$16,Paramètres!$A$1:$I$89,3,0)*VLOOKUP('Données projet'!$B$16,Paramètres!$A$1:$I$89,5,0)</f>
        <v>52.835328000000004</v>
      </c>
      <c r="FG20" s="14">
        <f t="shared" si="47"/>
        <v>15.343628388186952</v>
      </c>
      <c r="FH20" s="22">
        <f t="shared" si="22"/>
        <v>118.74501570942562</v>
      </c>
      <c r="FI20" s="60">
        <f t="shared" si="23"/>
        <v>328.11114002529837</v>
      </c>
      <c r="FJ20" s="60">
        <f ca="1">AVERAGE(OFFSET($FI$3,0,0,'Données projet'!$E$16+1,1))-AVERAGE(OFFSET($H$3,0,0,'Données projet'!$E$16+1,1))</f>
        <v>363.28611056308665</v>
      </c>
      <c r="FK20" s="60">
        <f t="shared" si="48"/>
        <v>389.43647559455974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8.2051282051282044</v>
      </c>
      <c r="FZ20" s="13">
        <f>IF('Données projet'!$A$244&gt;35,FZ19+FY20-GH19,IF(A20&lt;'Données projet'!$A$244,$FW$205^A20,IF(A20='Données projet'!$A$244,'Données projet'!$B$244,FZ19+FY20-GH19)))</f>
        <v>66.410256410256409</v>
      </c>
      <c r="GA20" s="18">
        <f>FZ20*VLOOKUP('Données projet'!$B$17,Paramètres!$A$1:$I$89,3,0)*VLOOKUP('Données projet'!$B$17,Paramètres!$A$1:$I$89,5,0)</f>
        <v>44.548000000000002</v>
      </c>
      <c r="GB20" s="14">
        <f t="shared" si="49"/>
        <v>13.196436493358</v>
      </c>
      <c r="GC20" s="22">
        <f t="shared" si="25"/>
        <v>100.57156022593183</v>
      </c>
      <c r="GD20" s="60">
        <f t="shared" si="26"/>
        <v>309.93768454180457</v>
      </c>
      <c r="GE20" s="60">
        <f ca="1">AVERAGE(OFFSET($GD$3,0,0,'Données projet'!$E$17+1,1))-AVERAGE(OFFSET($H$3,0,0,'Données projet'!$E$17+1,1))</f>
        <v>344.62096650402731</v>
      </c>
      <c r="GF20" s="60">
        <f t="shared" si="50"/>
        <v>277.30931495079346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1.6</v>
      </c>
      <c r="N21" s="14">
        <f>IF('Données projet'!$A$36&gt;35,N20+M21-V20,IF(A21&lt;'Données projet'!$A$36,$K$205^A21,IF(A21='Données projet'!$A$36,'Données projet'!$B$36,N20+M21-V20)))</f>
        <v>22.627416997969497</v>
      </c>
      <c r="O21" s="14">
        <f>N21*VLOOKUP('Données projet'!$B$9,Paramètres!$A$1:$I$89,3,0)*VLOOKUP('Données projet'!$B$9,Paramètres!$A$1:$I$89,5,0)</f>
        <v>19.414323784257832</v>
      </c>
      <c r="P21" s="14">
        <f t="shared" si="33"/>
        <v>6.3348582456241713</v>
      </c>
      <c r="Q21" s="22">
        <f t="shared" si="2"/>
        <v>44.846492035377821</v>
      </c>
      <c r="R21" s="60">
        <f t="shared" si="0"/>
        <v>256.61584522738093</v>
      </c>
      <c r="S21" s="60">
        <f ca="1">AVERAGE(OFFSET($R$3,0,0,'Données projet'!$E$9+1,1))-AVERAGE(OFFSET($H$3,0,0,'Données projet'!$E$9+1,1))</f>
        <v>632.26350546340541</v>
      </c>
      <c r="T21" s="60">
        <f t="shared" si="34"/>
        <v>340.45335016367915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11.54</v>
      </c>
      <c r="AI21" s="14">
        <f>IF('Données projet'!$A$62&gt;35,AI20+AH21-AQ20,IF(A21&lt;'Données projet'!$A$62,$AF$205^A21,IF(A21='Données projet'!$A$62,'Données projet'!$B$62,AI20+AH21-AQ20)))</f>
        <v>72.02</v>
      </c>
      <c r="AJ21" s="14">
        <f>AI21*VLOOKUP('Données projet'!$B$10,Paramètres!$A$1:$I$89,3,0)*VLOOKUP('Données projet'!$B$10,Paramètres!$A$1:$I$89,5,0)</f>
        <v>57.299111999999994</v>
      </c>
      <c r="AK21" s="14">
        <f t="shared" si="35"/>
        <v>16.483580059789663</v>
      </c>
      <c r="AL21" s="22">
        <f t="shared" si="4"/>
        <v>128.50485533746698</v>
      </c>
      <c r="AM21" s="60">
        <f t="shared" si="5"/>
        <v>340.27420852947012</v>
      </c>
      <c r="AN21" s="60">
        <f ca="1">AVERAGE(OFFSET($AM$3,0,0,'Données projet'!$E$10+1,1))-AVERAGE(OFFSET($H$3,0,0,'Données projet'!$E$10+1,1))</f>
        <v>336.25341821407534</v>
      </c>
      <c r="AO21" s="60">
        <f t="shared" si="36"/>
        <v>360.3246221345039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57.299111999999994</v>
      </c>
      <c r="BF21" s="14">
        <f t="shared" si="37"/>
        <v>16.483580059789663</v>
      </c>
      <c r="BG21" s="22">
        <f t="shared" si="7"/>
        <v>128.50485533746698</v>
      </c>
      <c r="BH21" s="60">
        <f t="shared" si="8"/>
        <v>340.27420852947012</v>
      </c>
      <c r="BI21" s="60">
        <f ca="1">AVERAGE(OFFSET($BH$3,0,0,'Données projet'!$E$11+1,1))-AVERAGE(OFFSET($H$3,0,0,'Données projet'!$E$11+1,1))</f>
        <v>336.25341821407534</v>
      </c>
      <c r="BJ21" s="60">
        <f t="shared" si="38"/>
        <v>360.3246221345039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26.150316724543362</v>
      </c>
      <c r="CA21" s="14">
        <f t="shared" si="39"/>
        <v>8.2420396752158016</v>
      </c>
      <c r="CB21" s="22">
        <f t="shared" si="10"/>
        <v>59.900020729580547</v>
      </c>
      <c r="CC21" s="60">
        <f t="shared" si="11"/>
        <v>271.66937392158366</v>
      </c>
      <c r="CD21" s="60">
        <f ca="1">AVERAGE(OFFSET($CC$3,0,0,'Données projet'!$E$12+1,1))-AVERAGE(OFFSET($H$3,0,0,'Données projet'!$E$12+1,1))</f>
        <v>469.67944008675863</v>
      </c>
      <c r="CE21" s="60">
        <f t="shared" si="40"/>
        <v>266.11908070867173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68.8</v>
      </c>
      <c r="CU21" s="18">
        <f>CT21*VLOOKUP('Données projet'!$B$13,Paramètres!$A$1:$I$89,3,0)*VLOOKUP('Données projet'!$B$13,Paramètres!$A$1:$I$89,5,0)</f>
        <v>53.664000000000001</v>
      </c>
      <c r="CV21" s="14">
        <f t="shared" si="41"/>
        <v>15.556073979202782</v>
      </c>
      <c r="CW21" s="22">
        <f t="shared" si="13"/>
        <v>120.55829551377816</v>
      </c>
      <c r="CX21" s="60">
        <f t="shared" si="14"/>
        <v>332.32764870578126</v>
      </c>
      <c r="CY21" s="60">
        <f ca="1">AVERAGE(OFFSET($CX$3,0,0,'Données projet'!$E$13+1,1))-AVERAGE(OFFSET($H$3,0,0,'Données projet'!$E$13+1,1))</f>
        <v>312.59632808777332</v>
      </c>
      <c r="CZ21" s="60">
        <f t="shared" si="42"/>
        <v>302.59481222418219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6.2820512820512802</v>
      </c>
      <c r="DO21" s="13">
        <f>IF('Données projet'!$A$166&gt;35,DO20+DN21-DW20,IF(A21&lt;'Données projet'!$A$166,$DL$205^A21,IF(A21='Données projet'!$A$166,'Données projet'!$B$166,DO20+DN21-DW20)))</f>
        <v>55.384615384615373</v>
      </c>
      <c r="DP21" s="18">
        <f>DO21*VLOOKUP('Données projet'!$B$14,Paramètres!$A$1:$I$89,3,0)*VLOOKUP('Données projet'!$B$14,Paramètres!$A$1:$I$89,5,0)</f>
        <v>52.703999999999994</v>
      </c>
      <c r="DQ21" s="14">
        <f t="shared" si="43"/>
        <v>15.30992453291827</v>
      </c>
      <c r="DR21" s="22">
        <f t="shared" si="16"/>
        <v>118.45758522816597</v>
      </c>
      <c r="DS21" s="60">
        <f t="shared" si="17"/>
        <v>330.22693842016906</v>
      </c>
      <c r="DT21" s="60">
        <f ca="1">AVERAGE(OFFSET($DS$3,0,0,'Données projet'!$E$14+1,1))-AVERAGE(OFFSET($H$3,0,0,'Données projet'!$E$14+1,1))</f>
        <v>398.29746143975166</v>
      </c>
      <c r="DU21" s="60">
        <f t="shared" si="44"/>
        <v>300.63705521148802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27.953786843477392</v>
      </c>
      <c r="EL21" s="14">
        <f t="shared" si="45"/>
        <v>8.7423265089215931</v>
      </c>
      <c r="EM21" s="22">
        <f t="shared" si="19"/>
        <v>63.912397422094891</v>
      </c>
      <c r="EN21" s="60">
        <f t="shared" si="20"/>
        <v>275.68175061409801</v>
      </c>
      <c r="EO21" s="60">
        <f ca="1">AVERAGE(OFFSET($EN$3,0,0,'Données projet'!$E$15+1,1))-AVERAGE(OFFSET($H$3,0,0,'Données projet'!$E$15+1,1))</f>
        <v>496.33873798282525</v>
      </c>
      <c r="EP21" s="60">
        <f t="shared" si="46"/>
        <v>280.25465074992246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11.54</v>
      </c>
      <c r="FE21" s="13">
        <f>IF('Données projet'!$A$218&gt;35,FE20+FD21-FM20,IF(A21&lt;'Données projet'!$A$218,$FB$205^A21,IF(A21='Données projet'!$A$218,'Données projet'!$B$218,FE20+FD21-FM20)))</f>
        <v>72.02</v>
      </c>
      <c r="FF21" s="18">
        <f>FE21*VLOOKUP('Données projet'!$B$16,Paramètres!$A$1:$I$89,3,0)*VLOOKUP('Données projet'!$B$16,Paramètres!$A$1:$I$89,5,0)</f>
        <v>62.916672000000005</v>
      </c>
      <c r="FG21" s="14">
        <f t="shared" si="47"/>
        <v>17.90364569794426</v>
      </c>
      <c r="FH21" s="22">
        <f t="shared" si="22"/>
        <v>140.76205332391956</v>
      </c>
      <c r="FI21" s="60">
        <f t="shared" si="23"/>
        <v>352.53140651592264</v>
      </c>
      <c r="FJ21" s="60">
        <f ca="1">AVERAGE(OFFSET($FI$3,0,0,'Données projet'!$E$16+1,1))-AVERAGE(OFFSET($H$3,0,0,'Données projet'!$E$16+1,1))</f>
        <v>363.28611056308665</v>
      </c>
      <c r="FK21" s="60">
        <f t="shared" si="48"/>
        <v>389.43647559455974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8.2051282051282044</v>
      </c>
      <c r="FZ21" s="13">
        <f>IF('Données projet'!$A$244&gt;35,FZ20+FY21-GH20,IF(A21&lt;'Données projet'!$A$244,$FW$205^A21,IF(A21='Données projet'!$A$244,'Données projet'!$B$244,FZ20+FY21-GH20)))</f>
        <v>74.615384615384613</v>
      </c>
      <c r="GA21" s="18">
        <f>FZ21*VLOOKUP('Données projet'!$B$17,Paramètres!$A$1:$I$89,3,0)*VLOOKUP('Données projet'!$B$17,Paramètres!$A$1:$I$89,5,0)</f>
        <v>50.052</v>
      </c>
      <c r="GB21" s="14">
        <f t="shared" si="49"/>
        <v>14.62718807768414</v>
      </c>
      <c r="GC21" s="22">
        <f t="shared" si="25"/>
        <v>112.64958590196655</v>
      </c>
      <c r="GD21" s="60">
        <f t="shared" si="26"/>
        <v>324.41893909396964</v>
      </c>
      <c r="GE21" s="60">
        <f ca="1">AVERAGE(OFFSET($GD$3,0,0,'Données projet'!$E$17+1,1))-AVERAGE(OFFSET($H$3,0,0,'Données projet'!$E$17+1,1))</f>
        <v>344.62096650402731</v>
      </c>
      <c r="GF21" s="60">
        <f t="shared" si="50"/>
        <v>277.30931495079346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1.6</v>
      </c>
      <c r="N22" s="14">
        <f>IF('Données projet'!$A$36&gt;35,N21+M22-V21,IF(A22&lt;'Données projet'!$A$36,$K$205^A22,IF(A22='Données projet'!$A$36,'Données projet'!$B$36,N21+M22-V21)))</f>
        <v>26.908685288118836</v>
      </c>
      <c r="O22" s="14">
        <f>N22*VLOOKUP('Données projet'!$B$9,Paramètres!$A$1:$I$89,3,0)*VLOOKUP('Données projet'!$B$9,Paramètres!$A$1:$I$89,5,0)</f>
        <v>23.087651977205965</v>
      </c>
      <c r="P22" s="14">
        <f t="shared" si="33"/>
        <v>7.3830264994807839</v>
      </c>
      <c r="Q22" s="22">
        <f t="shared" si="2"/>
        <v>53.069765013562751</v>
      </c>
      <c r="R22" s="60">
        <f t="shared" si="0"/>
        <v>267.2218592565863</v>
      </c>
      <c r="S22" s="60">
        <f ca="1">AVERAGE(OFFSET($R$3,0,0,'Données projet'!$E$9+1,1))-AVERAGE(OFFSET($H$3,0,0,'Données projet'!$E$9+1,1))</f>
        <v>632.26350546340541</v>
      </c>
      <c r="T22" s="60">
        <f t="shared" si="34"/>
        <v>340.45335016367915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11.54</v>
      </c>
      <c r="AI22" s="14">
        <f>IF('Données projet'!$A$62&gt;35,AI21+AH22-AQ21,IF(A22&lt;'Données projet'!$A$62,$AF$205^A22,IF(A22='Données projet'!$A$62,'Données projet'!$B$62,AI21+AH22-AQ21)))</f>
        <v>83.56</v>
      </c>
      <c r="AJ22" s="14">
        <f>AI22*VLOOKUP('Données projet'!$B$10,Paramètres!$A$1:$I$89,3,0)*VLOOKUP('Données projet'!$B$10,Paramètres!$A$1:$I$89,5,0)</f>
        <v>66.480336000000008</v>
      </c>
      <c r="AK22" s="14">
        <f t="shared" si="35"/>
        <v>18.796793982740784</v>
      </c>
      <c r="AL22" s="22">
        <f t="shared" si="4"/>
        <v>148.52433471994019</v>
      </c>
      <c r="AM22" s="60">
        <f t="shared" si="5"/>
        <v>362.67642896296371</v>
      </c>
      <c r="AN22" s="60">
        <f ca="1">AVERAGE(OFFSET($AM$3,0,0,'Données projet'!$E$10+1,1))-AVERAGE(OFFSET($H$3,0,0,'Données projet'!$E$10+1,1))</f>
        <v>336.25341821407534</v>
      </c>
      <c r="AO22" s="60">
        <f t="shared" si="36"/>
        <v>360.3246221345039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66.480336000000008</v>
      </c>
      <c r="BF22" s="14">
        <f t="shared" si="37"/>
        <v>18.796793982740784</v>
      </c>
      <c r="BG22" s="22">
        <f t="shared" si="7"/>
        <v>148.52433471994019</v>
      </c>
      <c r="BH22" s="60">
        <f t="shared" si="8"/>
        <v>362.67642896296371</v>
      </c>
      <c r="BI22" s="60">
        <f ca="1">AVERAGE(OFFSET($BH$3,0,0,'Données projet'!$E$11+1,1))-AVERAGE(OFFSET($H$3,0,0,'Données projet'!$E$11+1,1))</f>
        <v>336.25341821407534</v>
      </c>
      <c r="BJ22" s="60">
        <f t="shared" si="38"/>
        <v>360.3246221345039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31.52386201022027</v>
      </c>
      <c r="CA22" s="14">
        <f t="shared" si="39"/>
        <v>9.7218710074397983</v>
      </c>
      <c r="CB22" s="22">
        <f t="shared" si="10"/>
        <v>71.836318339091292</v>
      </c>
      <c r="CC22" s="60">
        <f t="shared" si="11"/>
        <v>285.98841258211485</v>
      </c>
      <c r="CD22" s="60">
        <f ca="1">AVERAGE(OFFSET($CC$3,0,0,'Données projet'!$E$12+1,1))-AVERAGE(OFFSET($H$3,0,0,'Données projet'!$E$12+1,1))</f>
        <v>469.67944008675863</v>
      </c>
      <c r="CE22" s="60">
        <f t="shared" si="40"/>
        <v>266.11908070867173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78.399999999999991</v>
      </c>
      <c r="CU22" s="18">
        <f>CT22*VLOOKUP('Données projet'!$B$13,Paramètres!$A$1:$I$89,3,0)*VLOOKUP('Données projet'!$B$13,Paramètres!$A$1:$I$89,5,0)</f>
        <v>61.151999999999994</v>
      </c>
      <c r="CV22" s="14">
        <f t="shared" si="41"/>
        <v>17.459207591071255</v>
      </c>
      <c r="CW22" s="22">
        <f t="shared" si="13"/>
        <v>136.9145198877824</v>
      </c>
      <c r="CX22" s="60">
        <f t="shared" si="14"/>
        <v>351.06661413080593</v>
      </c>
      <c r="CY22" s="60">
        <f ca="1">AVERAGE(OFFSET($CX$3,0,0,'Données projet'!$E$13+1,1))-AVERAGE(OFFSET($H$3,0,0,'Données projet'!$E$13+1,1))</f>
        <v>312.59632808777332</v>
      </c>
      <c r="CZ22" s="60">
        <f t="shared" si="42"/>
        <v>302.59481222418219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6.2820512820512802</v>
      </c>
      <c r="DO22" s="13">
        <f>IF('Données projet'!$A$166&gt;35,DO21+DN22-DW21,IF(A22&lt;'Données projet'!$A$166,$DL$205^A22,IF(A22='Données projet'!$A$166,'Données projet'!$B$166,DO21+DN22-DW21)))</f>
        <v>61.66666666666665</v>
      </c>
      <c r="DP22" s="18">
        <f>DO22*VLOOKUP('Données projet'!$B$14,Paramètres!$A$1:$I$89,3,0)*VLOOKUP('Données projet'!$B$14,Paramètres!$A$1:$I$89,5,0)</f>
        <v>58.681999999999981</v>
      </c>
      <c r="DQ22" s="14">
        <f t="shared" si="43"/>
        <v>16.834607713213735</v>
      </c>
      <c r="DR22" s="22">
        <f t="shared" si="16"/>
        <v>131.52475843384721</v>
      </c>
      <c r="DS22" s="60">
        <f t="shared" si="17"/>
        <v>345.67685267687074</v>
      </c>
      <c r="DT22" s="60">
        <f ca="1">AVERAGE(OFFSET($DS$3,0,0,'Données projet'!$E$14+1,1))-AVERAGE(OFFSET($H$3,0,0,'Données projet'!$E$14+1,1))</f>
        <v>398.29746143975166</v>
      </c>
      <c r="DU22" s="60">
        <f t="shared" si="44"/>
        <v>300.63705521148802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33.697921459200977</v>
      </c>
      <c r="EL22" s="14">
        <f t="shared" si="45"/>
        <v>10.31198270984201</v>
      </c>
      <c r="EM22" s="22">
        <f t="shared" si="19"/>
        <v>76.650583094416518</v>
      </c>
      <c r="EN22" s="60">
        <f t="shared" si="20"/>
        <v>290.80267733744006</v>
      </c>
      <c r="EO22" s="60">
        <f ca="1">AVERAGE(OFFSET($EN$3,0,0,'Données projet'!$E$15+1,1))-AVERAGE(OFFSET($H$3,0,0,'Données projet'!$E$15+1,1))</f>
        <v>496.33873798282525</v>
      </c>
      <c r="EP22" s="60">
        <f t="shared" si="46"/>
        <v>280.25465074992246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11.54</v>
      </c>
      <c r="FE22" s="13">
        <f>IF('Données projet'!$A$218&gt;35,FE21+FD22-FM21,IF(A22&lt;'Données projet'!$A$218,$FB$205^A22,IF(A22='Données projet'!$A$218,'Données projet'!$B$218,FE21+FD22-FM21)))</f>
        <v>83.56</v>
      </c>
      <c r="FF22" s="18">
        <f>FE22*VLOOKUP('Données projet'!$B$16,Paramètres!$A$1:$I$89,3,0)*VLOOKUP('Données projet'!$B$16,Paramètres!$A$1:$I$89,5,0)</f>
        <v>72.998016000000007</v>
      </c>
      <c r="FG22" s="14">
        <f t="shared" si="47"/>
        <v>20.416143732342558</v>
      </c>
      <c r="FH22" s="22">
        <f t="shared" si="22"/>
        <v>162.69632820049665</v>
      </c>
      <c r="FI22" s="60">
        <f t="shared" si="23"/>
        <v>376.84842244352018</v>
      </c>
      <c r="FJ22" s="60">
        <f ca="1">AVERAGE(OFFSET($FI$3,0,0,'Données projet'!$E$16+1,1))-AVERAGE(OFFSET($H$3,0,0,'Données projet'!$E$16+1,1))</f>
        <v>363.28611056308665</v>
      </c>
      <c r="FK22" s="60">
        <f t="shared" si="48"/>
        <v>389.43647559455974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8.2051282051282044</v>
      </c>
      <c r="FZ22" s="13">
        <f>IF('Données projet'!$A$244&gt;35,FZ21+FY22-GH21,IF(A22&lt;'Données projet'!$A$244,$FW$205^A22,IF(A22='Données projet'!$A$244,'Données projet'!$B$244,FZ21+FY22-GH21)))</f>
        <v>82.820512820512818</v>
      </c>
      <c r="GA22" s="18">
        <f>FZ22*VLOOKUP('Données projet'!$B$17,Paramètres!$A$1:$I$89,3,0)*VLOOKUP('Données projet'!$B$17,Paramètres!$A$1:$I$89,5,0)</f>
        <v>55.556000000000004</v>
      </c>
      <c r="GB22" s="14">
        <f t="shared" si="49"/>
        <v>16.039703993592667</v>
      </c>
      <c r="GC22" s="22">
        <f t="shared" si="25"/>
        <v>124.69585112217392</v>
      </c>
      <c r="GD22" s="60">
        <f t="shared" si="26"/>
        <v>338.84794536519746</v>
      </c>
      <c r="GE22" s="60">
        <f ca="1">AVERAGE(OFFSET($GD$3,0,0,'Données projet'!$E$17+1,1))-AVERAGE(OFFSET($H$3,0,0,'Données projet'!$E$17+1,1))</f>
        <v>344.62096650402731</v>
      </c>
      <c r="GF22" s="60">
        <f t="shared" si="50"/>
        <v>277.30931495079346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32</v>
      </c>
      <c r="L23" s="13">
        <f>VLOOKUP(A23,'Données projet'!$A$35:$I$55,9,0)</f>
        <v>1.6</v>
      </c>
      <c r="M23" s="13">
        <f t="array" ref="M23">INDEX(L:L,MIN(IF(ISNUMBER(L23:L219),ROW(L23:L219),"")))</f>
        <v>1.6</v>
      </c>
      <c r="N23" s="14">
        <f>IF('Données projet'!$A$36&gt;35,N22+M23-V22,IF(A23&lt;'Données projet'!$A$36,$K$205^A23,IF(A23='Données projet'!$A$36,'Données projet'!$B$36,N22+M23-V22)))</f>
        <v>32</v>
      </c>
      <c r="O23" s="14">
        <f>N23*VLOOKUP('Données projet'!$B$9,Paramètres!$A$1:$I$89,3,0)*VLOOKUP('Données projet'!$B$9,Paramètres!$A$1:$I$89,5,0)</f>
        <v>27.456000000000003</v>
      </c>
      <c r="P23" s="14">
        <f t="shared" si="33"/>
        <v>8.604625104229898</v>
      </c>
      <c r="Q23" s="22">
        <f t="shared" si="2"/>
        <v>62.805588723200408</v>
      </c>
      <c r="R23" s="60">
        <f t="shared" si="0"/>
        <v>279.32029161009615</v>
      </c>
      <c r="S23" s="60">
        <f ca="1">AVERAGE(OFFSET($R$3,0,0,'Données projet'!$E$9+1,1))-AVERAGE(OFFSET($H$3,0,0,'Données projet'!$E$9+1,1))</f>
        <v>632.26350546340541</v>
      </c>
      <c r="T23" s="60">
        <f t="shared" si="34"/>
        <v>340.45335016367915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95.1</v>
      </c>
      <c r="AG23" s="13">
        <f>VLOOKUP(A23,'Données projet'!$A$61:$I$81,9,0)</f>
        <v>11.54</v>
      </c>
      <c r="AH23" s="13">
        <f t="array" ref="AH23">INDEX(AG:AG,MIN(IF(ISNUMBER(AG23:AG219),ROW(AG23:AG219),"")))</f>
        <v>11.54</v>
      </c>
      <c r="AI23" s="14">
        <f>IF('Données projet'!$A$62&gt;35,AI22+AH23-AQ22,IF(A23&lt;'Données projet'!$A$62,$AF$205^A23,IF(A23='Données projet'!$A$62,'Données projet'!$B$62,AI22+AH23-AQ22)))</f>
        <v>95.1</v>
      </c>
      <c r="AJ23" s="14">
        <f>AI23*VLOOKUP('Données projet'!$B$10,Paramètres!$A$1:$I$89,3,0)*VLOOKUP('Données projet'!$B$10,Paramètres!$A$1:$I$89,5,0)</f>
        <v>75.661559999999994</v>
      </c>
      <c r="AK23" s="14">
        <f t="shared" si="35"/>
        <v>21.072995399411479</v>
      </c>
      <c r="AL23" s="22">
        <f t="shared" si="4"/>
        <v>168.47935065397499</v>
      </c>
      <c r="AM23" s="60">
        <f t="shared" si="5"/>
        <v>384.99405354087071</v>
      </c>
      <c r="AN23" s="60">
        <f ca="1">AVERAGE(OFFSET($AM$3,0,0,'Données projet'!$E$10+1,1))-AVERAGE(OFFSET($H$3,0,0,'Données projet'!$E$10+1,1))</f>
        <v>336.25341821407534</v>
      </c>
      <c r="AO23" s="60">
        <f t="shared" si="36"/>
        <v>360.3246221345039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43.1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75.661559999999994</v>
      </c>
      <c r="BF23" s="14">
        <f t="shared" si="37"/>
        <v>21.072995399411479</v>
      </c>
      <c r="BG23" s="22">
        <f t="shared" si="7"/>
        <v>168.47935065397499</v>
      </c>
      <c r="BH23" s="60">
        <f t="shared" si="8"/>
        <v>384.99405354087071</v>
      </c>
      <c r="BI23" s="60">
        <f ca="1">AVERAGE(OFFSET($BH$3,0,0,'Données projet'!$E$11+1,1))-AVERAGE(OFFSET($H$3,0,0,'Données projet'!$E$11+1,1))</f>
        <v>336.25341821407534</v>
      </c>
      <c r="BJ23" s="60">
        <f t="shared" si="38"/>
        <v>360.3246221345039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43.1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38.001600000000003</v>
      </c>
      <c r="CA23" s="14">
        <f t="shared" si="39"/>
        <v>11.467401227090512</v>
      </c>
      <c r="CB23" s="22">
        <f t="shared" si="10"/>
        <v>86.158510470515978</v>
      </c>
      <c r="CC23" s="60">
        <f t="shared" si="11"/>
        <v>302.67321335741167</v>
      </c>
      <c r="CD23" s="60">
        <f ca="1">AVERAGE(OFFSET($CC$3,0,0,'Données projet'!$E$12+1,1))-AVERAGE(OFFSET($H$3,0,0,'Données projet'!$E$12+1,1))</f>
        <v>469.67944008675863</v>
      </c>
      <c r="CE23" s="60">
        <f t="shared" si="40"/>
        <v>266.11908070867173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88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87.999999999999986</v>
      </c>
      <c r="CU23" s="18">
        <f>CT23*VLOOKUP('Données projet'!$B$13,Paramètres!$A$1:$I$89,3,0)*VLOOKUP('Données projet'!$B$13,Paramètres!$A$1:$I$89,5,0)</f>
        <v>68.639999999999986</v>
      </c>
      <c r="CV23" s="14">
        <f t="shared" si="41"/>
        <v>19.335336956640202</v>
      </c>
      <c r="CW23" s="22">
        <f t="shared" si="13"/>
        <v>153.22371186614834</v>
      </c>
      <c r="CX23" s="60">
        <f t="shared" si="14"/>
        <v>369.73841475304403</v>
      </c>
      <c r="CY23" s="60">
        <f ca="1">AVERAGE(OFFSET($CX$3,0,0,'Données projet'!$E$13+1,1))-AVERAGE(OFFSET($H$3,0,0,'Données projet'!$E$13+1,1))</f>
        <v>312.59632808777332</v>
      </c>
      <c r="CZ23" s="60">
        <f t="shared" si="42"/>
        <v>302.59481222418219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67.948717948717942</v>
      </c>
      <c r="DM23" s="13">
        <f>VLOOKUP(A23,'Données projet'!$A$165:$I$185,9,0)</f>
        <v>6.2820512820512802</v>
      </c>
      <c r="DN23" s="13">
        <f t="array" ref="DN23">INDEX(DM:DM,MIN(IF(ISNUMBER(DM23:DM219),ROW(DM23:DM219),"")))</f>
        <v>6.2820512820512802</v>
      </c>
      <c r="DO23" s="13">
        <f>IF('Données projet'!$A$166&gt;35,DO22+DN23-DW22,IF(A23&lt;'Données projet'!$A$166,$DL$205^A23,IF(A23='Données projet'!$A$166,'Données projet'!$B$166,DO22+DN23-DW22)))</f>
        <v>67.948717948717928</v>
      </c>
      <c r="DP23" s="18">
        <f>DO23*VLOOKUP('Données projet'!$B$14,Paramètres!$A$1:$I$89,3,0)*VLOOKUP('Données projet'!$B$14,Paramètres!$A$1:$I$89,5,0)</f>
        <v>64.659999999999982</v>
      </c>
      <c r="DQ23" s="14">
        <f t="shared" si="43"/>
        <v>18.341285436472681</v>
      </c>
      <c r="DR23" s="22">
        <f t="shared" si="16"/>
        <v>144.56057213518989</v>
      </c>
      <c r="DS23" s="60">
        <f t="shared" si="17"/>
        <v>361.07527502208563</v>
      </c>
      <c r="DT23" s="60">
        <f ca="1">AVERAGE(OFFSET($DS$3,0,0,'Données projet'!$E$14+1,1))-AVERAGE(OFFSET($H$3,0,0,'Données projet'!$E$14+1,1))</f>
        <v>398.29746143975166</v>
      </c>
      <c r="DU23" s="60">
        <f t="shared" si="44"/>
        <v>300.63705521148802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16.666666666666668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40.622399999999999</v>
      </c>
      <c r="EL23" s="14">
        <f t="shared" si="45"/>
        <v>12.163465560290264</v>
      </c>
      <c r="EM23" s="22">
        <f t="shared" si="19"/>
        <v>91.935382517505545</v>
      </c>
      <c r="EN23" s="60">
        <f t="shared" si="20"/>
        <v>308.45008540440125</v>
      </c>
      <c r="EO23" s="60">
        <f ca="1">AVERAGE(OFFSET($EN$3,0,0,'Données projet'!$E$15+1,1))-AVERAGE(OFFSET($H$3,0,0,'Données projet'!$E$15+1,1))</f>
        <v>496.33873798282525</v>
      </c>
      <c r="EP23" s="60">
        <f t="shared" si="46"/>
        <v>280.25465074992246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95.1</v>
      </c>
      <c r="FC23" s="13">
        <f>VLOOKUP(A23,'Données projet'!$A$217:$I$237,9,0)</f>
        <v>11.54</v>
      </c>
      <c r="FD23" s="13">
        <f t="array" ref="FD23">INDEX(FC:FC,MIN(IF(ISNUMBER(FC23:FC219),ROW(FC23:FC219),"")))</f>
        <v>11.54</v>
      </c>
      <c r="FE23" s="13">
        <f>IF('Données projet'!$A$218&gt;35,FE22+FD23-FM22,IF(A23&lt;'Données projet'!$A$218,$FB$205^A23,IF(A23='Données projet'!$A$218,'Données projet'!$B$218,FE22+FD23-FM22)))</f>
        <v>95.1</v>
      </c>
      <c r="FF23" s="18">
        <f>FE23*VLOOKUP('Données projet'!$B$16,Paramètres!$A$1:$I$89,3,0)*VLOOKUP('Données projet'!$B$16,Paramètres!$A$1:$I$89,5,0)</f>
        <v>83.079360000000008</v>
      </c>
      <c r="FG23" s="14">
        <f t="shared" si="47"/>
        <v>22.888440621332276</v>
      </c>
      <c r="FH23" s="22">
        <f t="shared" si="22"/>
        <v>184.56058608215372</v>
      </c>
      <c r="FI23" s="60">
        <f t="shared" si="23"/>
        <v>401.07528896904944</v>
      </c>
      <c r="FJ23" s="60">
        <f ca="1">AVERAGE(OFFSET($FI$3,0,0,'Données projet'!$E$16+1,1))-AVERAGE(OFFSET($H$3,0,0,'Données projet'!$E$16+1,1))</f>
        <v>363.28611056308665</v>
      </c>
      <c r="FK23" s="60">
        <f t="shared" si="48"/>
        <v>389.43647559455974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43.1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91.025641025641022</v>
      </c>
      <c r="FX23" s="13">
        <f>VLOOKUP(A23,'Données projet'!$A$243:$I$263,9,0)</f>
        <v>8.2051282051282044</v>
      </c>
      <c r="FY23" s="13">
        <f t="array" ref="FY23">INDEX(FX:FX,MIN(IF(ISNUMBER(FX23:FX219),ROW(FX23:FX219),"")))</f>
        <v>8.2051282051282044</v>
      </c>
      <c r="FZ23" s="13">
        <f>IF('Données projet'!$A$244&gt;35,FZ22+FY23-GH22,IF(A23&lt;'Données projet'!$A$244,$FW$205^A23,IF(A23='Données projet'!$A$244,'Données projet'!$B$244,FZ22+FY23-GH22)))</f>
        <v>91.025641025641022</v>
      </c>
      <c r="GA23" s="18">
        <f>FZ23*VLOOKUP('Données projet'!$B$17,Paramètres!$A$1:$I$89,3,0)*VLOOKUP('Données projet'!$B$17,Paramètres!$A$1:$I$89,5,0)</f>
        <v>61.06</v>
      </c>
      <c r="GB23" s="14">
        <f t="shared" si="49"/>
        <v>17.43599650596687</v>
      </c>
      <c r="GC23" s="22">
        <f t="shared" si="25"/>
        <v>136.71386058122562</v>
      </c>
      <c r="GD23" s="60">
        <f t="shared" si="26"/>
        <v>353.22856346812137</v>
      </c>
      <c r="GE23" s="60">
        <f ca="1">AVERAGE(OFFSET($GD$3,0,0,'Données projet'!$E$17+1,1))-AVERAGE(OFFSET($H$3,0,0,'Données projet'!$E$17+1,1))</f>
        <v>344.62096650402731</v>
      </c>
      <c r="GF23" s="60">
        <f t="shared" si="50"/>
        <v>277.30931495079346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24.358974358974358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10.199999999999999</v>
      </c>
      <c r="N24" s="14">
        <f>IF('Données projet'!$A$36&gt;35,N23+M24-V23,IF(A24&lt;'Données projet'!$A$36,$K$205^A24,IF(A24='Données projet'!$A$36,'Données projet'!$B$36,N23+M24-V23)))</f>
        <v>42.2</v>
      </c>
      <c r="O24" s="14">
        <f>N24*VLOOKUP('Données projet'!$B$9,Paramètres!$A$1:$I$89,3,0)*VLOOKUP('Données projet'!$B$9,Paramètres!$A$1:$I$89,5,0)</f>
        <v>36.207600000000006</v>
      </c>
      <c r="P24" s="14">
        <f t="shared" si="33"/>
        <v>10.987718236994731</v>
      </c>
      <c r="Q24" s="22">
        <f t="shared" si="2"/>
        <v>82.19851259609915</v>
      </c>
      <c r="R24" s="60">
        <f t="shared" si="0"/>
        <v>301.05604097197352</v>
      </c>
      <c r="S24" s="60">
        <f ca="1">AVERAGE(OFFSET($R$3,0,0,'Données projet'!$E$9+1,1))-AVERAGE(OFFSET($H$3,0,0,'Données projet'!$E$9+1,1))</f>
        <v>632.26350546340541</v>
      </c>
      <c r="T24" s="60">
        <f t="shared" si="34"/>
        <v>340.45335016367915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12.500000000000002</v>
      </c>
      <c r="AI24" s="14">
        <f>IF('Données projet'!$A$62&gt;35,AI23+AH24-AQ23,IF(A24&lt;'Données projet'!$A$62,$AF$205^A24,IF(A24='Données projet'!$A$62,'Données projet'!$B$62,AI23+AH24-AQ23)))</f>
        <v>64.5</v>
      </c>
      <c r="AJ24" s="14">
        <f>AI24*VLOOKUP('Données projet'!$B$10,Paramètres!$A$1:$I$89,3,0)*VLOOKUP('Données projet'!$B$10,Paramètres!$A$1:$I$89,5,0)</f>
        <v>51.316200000000009</v>
      </c>
      <c r="AK24" s="14">
        <f t="shared" si="35"/>
        <v>14.953158316506878</v>
      </c>
      <c r="AL24" s="22">
        <f t="shared" si="4"/>
        <v>115.41913240124948</v>
      </c>
      <c r="AM24" s="60">
        <f t="shared" si="5"/>
        <v>334.27666077712388</v>
      </c>
      <c r="AN24" s="60">
        <f ca="1">AVERAGE(OFFSET($AM$3,0,0,'Données projet'!$E$10+1,1))-AVERAGE(OFFSET($H$3,0,0,'Données projet'!$E$10+1,1))</f>
        <v>336.25341821407534</v>
      </c>
      <c r="AO24" s="60">
        <f t="shared" si="36"/>
        <v>360.3246221345039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12.500000000000002</v>
      </c>
      <c r="BD24" s="13">
        <f>IF('Données projet'!$A$88&gt;35,BD23+BC24-BL23,IF(A24&lt;'Données projet'!$A$88,$BA$205^A24,IF(A24='Données projet'!$A$88,'Données projet'!$B$88,BD23+BC24-BL23)))</f>
        <v>64.5</v>
      </c>
      <c r="BE24" s="14">
        <f>BD24*VLOOKUP('Données projet'!$B$11,Paramètres!$A$1:$I$89,3,0)*VLOOKUP('Données projet'!$B$11,Paramètres!$A$1:$I$89,5,0)</f>
        <v>51.316200000000009</v>
      </c>
      <c r="BF24" s="14">
        <f t="shared" si="37"/>
        <v>14.953158316506878</v>
      </c>
      <c r="BG24" s="22">
        <f t="shared" si="7"/>
        <v>115.41913240124948</v>
      </c>
      <c r="BH24" s="60">
        <f t="shared" si="8"/>
        <v>334.27666077712388</v>
      </c>
      <c r="BI24" s="60">
        <f ca="1">AVERAGE(OFFSET($BH$3,0,0,'Données projet'!$E$11+1,1))-AVERAGE(OFFSET($H$3,0,0,'Données projet'!$E$11+1,1))</f>
        <v>336.25341821407534</v>
      </c>
      <c r="BJ24" s="60">
        <f t="shared" si="38"/>
        <v>360.3246221345039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43.068480000000001</v>
      </c>
      <c r="CA24" s="14">
        <f t="shared" si="39"/>
        <v>12.808416415102187</v>
      </c>
      <c r="CB24" s="22">
        <f t="shared" si="10"/>
        <v>97.318927922969635</v>
      </c>
      <c r="CC24" s="60">
        <f t="shared" si="11"/>
        <v>316.17645629884402</v>
      </c>
      <c r="CD24" s="60">
        <f ca="1">AVERAGE(OFFSET($CC$3,0,0,'Données projet'!$E$12+1,1))-AVERAGE(OFFSET($H$3,0,0,'Données projet'!$E$12+1,1))</f>
        <v>469.67944008675863</v>
      </c>
      <c r="CE24" s="60">
        <f t="shared" si="40"/>
        <v>266.11908070867173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98.59999999999998</v>
      </c>
      <c r="CU24" s="18">
        <f>CT24*VLOOKUP('Données projet'!$B$13,Paramètres!$A$1:$I$89,3,0)*VLOOKUP('Données projet'!$B$13,Paramètres!$A$1:$I$89,5,0)</f>
        <v>76.907999999999987</v>
      </c>
      <c r="CV24" s="14">
        <f t="shared" si="41"/>
        <v>21.379448490435635</v>
      </c>
      <c r="CW24" s="22">
        <f t="shared" si="13"/>
        <v>171.18397278750868</v>
      </c>
      <c r="CX24" s="60">
        <f t="shared" si="14"/>
        <v>390.04150116338303</v>
      </c>
      <c r="CY24" s="60">
        <f ca="1">AVERAGE(OFFSET($CX$3,0,0,'Données projet'!$E$13+1,1))-AVERAGE(OFFSET($H$3,0,0,'Données projet'!$E$13+1,1))</f>
        <v>312.59632808777332</v>
      </c>
      <c r="CZ24" s="60">
        <f t="shared" si="42"/>
        <v>302.59481222418219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6.5384615384615419</v>
      </c>
      <c r="DO24" s="13">
        <f>IF('Données projet'!$A$166&gt;35,DO23+DN24-DW23,IF(A24&lt;'Données projet'!$A$166,$DL$205^A24,IF(A24='Données projet'!$A$166,'Données projet'!$B$166,DO23+DN24-DW23)))</f>
        <v>57.820512820512803</v>
      </c>
      <c r="DP24" s="18">
        <f>DO24*VLOOKUP('Données projet'!$B$14,Paramètres!$A$1:$I$89,3,0)*VLOOKUP('Données projet'!$B$14,Paramètres!$A$1:$I$89,5,0)</f>
        <v>55.021999999999977</v>
      </c>
      <c r="DQ24" s="14">
        <f t="shared" si="43"/>
        <v>15.903400778596186</v>
      </c>
      <c r="DR24" s="22">
        <f t="shared" si="16"/>
        <v>123.52840635605497</v>
      </c>
      <c r="DS24" s="60">
        <f t="shared" si="17"/>
        <v>342.38593473192935</v>
      </c>
      <c r="DT24" s="60">
        <f ca="1">AVERAGE(OFFSET($DS$3,0,0,'Données projet'!$E$14+1,1))-AVERAGE(OFFSET($H$3,0,0,'Données projet'!$E$14+1,1))</f>
        <v>398.29746143975166</v>
      </c>
      <c r="DU24" s="60">
        <f t="shared" si="44"/>
        <v>300.63705521148802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46.038720000000005</v>
      </c>
      <c r="EL24" s="14">
        <f t="shared" si="45"/>
        <v>13.585879560828786</v>
      </c>
      <c r="EM24" s="22">
        <f t="shared" si="19"/>
        <v>103.84617756844348</v>
      </c>
      <c r="EN24" s="60">
        <f t="shared" si="20"/>
        <v>322.70370594431785</v>
      </c>
      <c r="EO24" s="60">
        <f ca="1">AVERAGE(OFFSET($EN$3,0,0,'Données projet'!$E$15+1,1))-AVERAGE(OFFSET($H$3,0,0,'Données projet'!$E$15+1,1))</f>
        <v>496.33873798282525</v>
      </c>
      <c r="EP24" s="60">
        <f t="shared" si="46"/>
        <v>280.25465074992246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12.500000000000002</v>
      </c>
      <c r="FE24" s="13">
        <f>IF('Données projet'!$A$218&gt;35,FE23+FD24-FM23,IF(A24&lt;'Données projet'!$A$218,$FB$205^A24,IF(A24='Données projet'!$A$218,'Données projet'!$B$218,FE23+FD24-FM23)))</f>
        <v>64.5</v>
      </c>
      <c r="FF24" s="18">
        <f>FE24*VLOOKUP('Données projet'!$B$16,Paramètres!$A$1:$I$89,3,0)*VLOOKUP('Données projet'!$B$16,Paramètres!$A$1:$I$89,5,0)</f>
        <v>56.347200000000008</v>
      </c>
      <c r="FG24" s="14">
        <f t="shared" si="47"/>
        <v>16.241377637196607</v>
      </c>
      <c r="FH24" s="22">
        <f t="shared" si="22"/>
        <v>126.42510605145075</v>
      </c>
      <c r="FI24" s="60">
        <f t="shared" si="23"/>
        <v>345.28263442732515</v>
      </c>
      <c r="FJ24" s="60">
        <f ca="1">AVERAGE(OFFSET($FI$3,0,0,'Données projet'!$E$16+1,1))-AVERAGE(OFFSET($H$3,0,0,'Données projet'!$E$16+1,1))</f>
        <v>363.28611056308665</v>
      </c>
      <c r="FK24" s="60">
        <f t="shared" si="48"/>
        <v>389.43647559455974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8.4615384615384617</v>
      </c>
      <c r="FZ24" s="13">
        <f>IF('Données projet'!$A$244&gt;35,FZ23+FY24-GH23,IF(A24&lt;'Données projet'!$A$244,$FW$205^A24,IF(A24='Données projet'!$A$244,'Données projet'!$B$244,FZ23+FY24-GH23)))</f>
        <v>75.128205128205138</v>
      </c>
      <c r="GA24" s="18">
        <f>FZ24*VLOOKUP('Données projet'!$B$17,Paramètres!$A$1:$I$89,3,0)*VLOOKUP('Données projet'!$B$17,Paramètres!$A$1:$I$89,5,0)</f>
        <v>50.396000000000001</v>
      </c>
      <c r="GB24" s="14">
        <f t="shared" si="49"/>
        <v>14.71598138852033</v>
      </c>
      <c r="GC24" s="22">
        <f t="shared" si="25"/>
        <v>113.40336758500625</v>
      </c>
      <c r="GD24" s="60">
        <f t="shared" si="26"/>
        <v>332.26089596088065</v>
      </c>
      <c r="GE24" s="60">
        <f ca="1">AVERAGE(OFFSET($GD$3,0,0,'Données projet'!$E$17+1,1))-AVERAGE(OFFSET($H$3,0,0,'Données projet'!$E$17+1,1))</f>
        <v>344.62096650402731</v>
      </c>
      <c r="GF24" s="60">
        <f t="shared" si="50"/>
        <v>277.30931495079346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10.199999999999999</v>
      </c>
      <c r="N25" s="14">
        <f>IF('Données projet'!$A$36&gt;35,N24+M25-V24,IF(A25&lt;'Données projet'!$A$36,$K$205^A25,IF(A25='Données projet'!$A$36,'Données projet'!$B$36,N24+M25-V24)))</f>
        <v>52.400000000000006</v>
      </c>
      <c r="O25" s="14">
        <f>N25*VLOOKUP('Données projet'!$B$9,Paramètres!$A$1:$I$89,3,0)*VLOOKUP('Données projet'!$B$9,Paramètres!$A$1:$I$89,5,0)</f>
        <v>44.95920000000001</v>
      </c>
      <c r="P25" s="14">
        <f t="shared" si="33"/>
        <v>13.304009845028235</v>
      </c>
      <c r="Q25" s="22">
        <f t="shared" si="2"/>
        <v>101.47509048009086</v>
      </c>
      <c r="R25" s="60">
        <f t="shared" si="0"/>
        <v>322.65600438355926</v>
      </c>
      <c r="S25" s="60">
        <f ca="1">AVERAGE(OFFSET($R$3,0,0,'Données projet'!$E$9+1,1))-AVERAGE(OFFSET($H$3,0,0,'Données projet'!$E$9+1,1))</f>
        <v>632.26350546340541</v>
      </c>
      <c r="T25" s="60">
        <f t="shared" si="34"/>
        <v>340.45335016367915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12.500000000000002</v>
      </c>
      <c r="AI25" s="14">
        <f>IF('Données projet'!$A$62&gt;35,AI24+AH25-AQ24,IF(A25&lt;'Données projet'!$A$62,$AF$205^A25,IF(A25='Données projet'!$A$62,'Données projet'!$B$62,AI24+AH25-AQ24)))</f>
        <v>77</v>
      </c>
      <c r="AJ25" s="14">
        <f>AI25*VLOOKUP('Données projet'!$B$10,Paramètres!$A$1:$I$89,3,0)*VLOOKUP('Données projet'!$B$10,Paramètres!$A$1:$I$89,5,0)</f>
        <v>61.261200000000009</v>
      </c>
      <c r="AK25" s="14">
        <f t="shared" si="35"/>
        <v>17.486752865339852</v>
      </c>
      <c r="AL25" s="22">
        <f t="shared" si="4"/>
        <v>137.15268457380026</v>
      </c>
      <c r="AM25" s="60">
        <f t="shared" si="5"/>
        <v>358.33359847726865</v>
      </c>
      <c r="AN25" s="60">
        <f ca="1">AVERAGE(OFFSET($AM$3,0,0,'Données projet'!$E$10+1,1))-AVERAGE(OFFSET($H$3,0,0,'Données projet'!$E$10+1,1))</f>
        <v>336.25341821407534</v>
      </c>
      <c r="AO25" s="60">
        <f t="shared" si="36"/>
        <v>360.3246221345039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12.500000000000002</v>
      </c>
      <c r="BD25" s="13">
        <f>IF('Données projet'!$A$88&gt;35,BD24+BC25-BL24,IF(A25&lt;'Données projet'!$A$88,$BA$205^A25,IF(A25='Données projet'!$A$88,'Données projet'!$B$88,BD24+BC25-BL24)))</f>
        <v>77</v>
      </c>
      <c r="BE25" s="14">
        <f>BD25*VLOOKUP('Données projet'!$B$11,Paramètres!$A$1:$I$89,3,0)*VLOOKUP('Données projet'!$B$11,Paramètres!$A$1:$I$89,5,0)</f>
        <v>61.261200000000009</v>
      </c>
      <c r="BF25" s="14">
        <f t="shared" si="37"/>
        <v>17.486752865339852</v>
      </c>
      <c r="BG25" s="22">
        <f t="shared" si="7"/>
        <v>137.15268457380026</v>
      </c>
      <c r="BH25" s="60">
        <f t="shared" si="8"/>
        <v>358.33359847726865</v>
      </c>
      <c r="BI25" s="60">
        <f ca="1">AVERAGE(OFFSET($BH$3,0,0,'Données projet'!$E$11+1,1))-AVERAGE(OFFSET($H$3,0,0,'Données projet'!$E$11+1,1))</f>
        <v>336.25341821407534</v>
      </c>
      <c r="BJ25" s="60">
        <f t="shared" si="38"/>
        <v>360.3246221345039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48.135359999999999</v>
      </c>
      <c r="CA25" s="14">
        <f t="shared" si="39"/>
        <v>14.131148275361113</v>
      </c>
      <c r="CB25" s="22">
        <f t="shared" si="10"/>
        <v>108.4475019129206</v>
      </c>
      <c r="CC25" s="60">
        <f t="shared" si="11"/>
        <v>329.62841581638901</v>
      </c>
      <c r="CD25" s="60">
        <f ca="1">AVERAGE(OFFSET($CC$3,0,0,'Données projet'!$E$12+1,1))-AVERAGE(OFFSET($H$3,0,0,'Données projet'!$E$12+1,1))</f>
        <v>469.67944008675863</v>
      </c>
      <c r="CE25" s="60">
        <f t="shared" si="40"/>
        <v>266.11908070867173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109.19999999999997</v>
      </c>
      <c r="CU25" s="18">
        <f>CT25*VLOOKUP('Données projet'!$B$13,Paramètres!$A$1:$I$89,3,0)*VLOOKUP('Données projet'!$B$13,Paramètres!$A$1:$I$89,5,0)</f>
        <v>85.175999999999988</v>
      </c>
      <c r="CV25" s="14">
        <f t="shared" si="41"/>
        <v>23.398088487656434</v>
      </c>
      <c r="CW25" s="22">
        <f t="shared" si="13"/>
        <v>189.09987078266826</v>
      </c>
      <c r="CX25" s="60">
        <f t="shared" si="14"/>
        <v>410.28078468613666</v>
      </c>
      <c r="CY25" s="60">
        <f ca="1">AVERAGE(OFFSET($CX$3,0,0,'Données projet'!$E$13+1,1))-AVERAGE(OFFSET($H$3,0,0,'Données projet'!$E$13+1,1))</f>
        <v>312.59632808777332</v>
      </c>
      <c r="CZ25" s="60">
        <f t="shared" si="42"/>
        <v>302.59481222418219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6.5384615384615419</v>
      </c>
      <c r="DO25" s="13">
        <f>IF('Données projet'!$A$166&gt;35,DO24+DN25-DW24,IF(A25&lt;'Données projet'!$A$166,$DL$205^A25,IF(A25='Données projet'!$A$166,'Données projet'!$B$166,DO24+DN25-DW24)))</f>
        <v>64.358974358974351</v>
      </c>
      <c r="DP25" s="18">
        <f>DO25*VLOOKUP('Données projet'!$B$14,Paramètres!$A$1:$I$89,3,0)*VLOOKUP('Données projet'!$B$14,Paramètres!$A$1:$I$89,5,0)</f>
        <v>61.244</v>
      </c>
      <c r="DQ25" s="14">
        <f t="shared" si="43"/>
        <v>17.482414611857141</v>
      </c>
      <c r="DR25" s="22">
        <f t="shared" si="16"/>
        <v>137.11517211565118</v>
      </c>
      <c r="DS25" s="60">
        <f t="shared" si="17"/>
        <v>358.29608601911957</v>
      </c>
      <c r="DT25" s="60">
        <f ca="1">AVERAGE(OFFSET($DS$3,0,0,'Données projet'!$E$14+1,1))-AVERAGE(OFFSET($H$3,0,0,'Données projet'!$E$14+1,1))</f>
        <v>398.29746143975166</v>
      </c>
      <c r="DU25" s="60">
        <f t="shared" si="44"/>
        <v>300.63705521148802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51.455040000000004</v>
      </c>
      <c r="EL25" s="14">
        <f t="shared" si="45"/>
        <v>14.988900446655085</v>
      </c>
      <c r="EM25" s="22">
        <f t="shared" si="19"/>
        <v>115.72319627792427</v>
      </c>
      <c r="EN25" s="60">
        <f t="shared" si="20"/>
        <v>336.90411018139264</v>
      </c>
      <c r="EO25" s="60">
        <f ca="1">AVERAGE(OFFSET($EN$3,0,0,'Données projet'!$E$15+1,1))-AVERAGE(OFFSET($H$3,0,0,'Données projet'!$E$15+1,1))</f>
        <v>496.33873798282525</v>
      </c>
      <c r="EP25" s="60">
        <f t="shared" si="46"/>
        <v>280.25465074992246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12.500000000000002</v>
      </c>
      <c r="FE25" s="13">
        <f>IF('Données projet'!$A$218&gt;35,FE24+FD25-FM24,IF(A25&lt;'Données projet'!$A$218,$FB$205^A25,IF(A25='Données projet'!$A$218,'Données projet'!$B$218,FE24+FD25-FM24)))</f>
        <v>77</v>
      </c>
      <c r="FF25" s="18">
        <f>FE25*VLOOKUP('Données projet'!$B$16,Paramètres!$A$1:$I$89,3,0)*VLOOKUP('Données projet'!$B$16,Paramètres!$A$1:$I$89,5,0)</f>
        <v>67.267200000000003</v>
      </c>
      <c r="FG25" s="14">
        <f t="shared" si="47"/>
        <v>18.993242158132926</v>
      </c>
      <c r="FH25" s="22">
        <f t="shared" si="22"/>
        <v>150.23693675874819</v>
      </c>
      <c r="FI25" s="60">
        <f t="shared" si="23"/>
        <v>371.41785066221655</v>
      </c>
      <c r="FJ25" s="60">
        <f ca="1">AVERAGE(OFFSET($FI$3,0,0,'Données projet'!$E$16+1,1))-AVERAGE(OFFSET($H$3,0,0,'Données projet'!$E$16+1,1))</f>
        <v>363.28611056308665</v>
      </c>
      <c r="FK25" s="60">
        <f t="shared" si="48"/>
        <v>389.43647559455974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8.4615384615384617</v>
      </c>
      <c r="FZ25" s="13">
        <f>IF('Données projet'!$A$244&gt;35,FZ24+FY25-GH24,IF(A25&lt;'Données projet'!$A$244,$FW$205^A25,IF(A25='Données projet'!$A$244,'Données projet'!$B$244,FZ24+FY25-GH24)))</f>
        <v>83.589743589743605</v>
      </c>
      <c r="GA25" s="18">
        <f>FZ25*VLOOKUP('Données projet'!$B$17,Paramètres!$A$1:$I$89,3,0)*VLOOKUP('Données projet'!$B$17,Paramètres!$A$1:$I$89,5,0)</f>
        <v>56.07200000000001</v>
      </c>
      <c r="GB25" s="14">
        <f t="shared" si="49"/>
        <v>16.17126790367621</v>
      </c>
      <c r="GC25" s="22">
        <f t="shared" si="25"/>
        <v>125.82369159890273</v>
      </c>
      <c r="GD25" s="60">
        <f t="shared" si="26"/>
        <v>347.00460550237113</v>
      </c>
      <c r="GE25" s="60">
        <f ca="1">AVERAGE(OFFSET($GD$3,0,0,'Données projet'!$E$17+1,1))-AVERAGE(OFFSET($H$3,0,0,'Données projet'!$E$17+1,1))</f>
        <v>344.62096650402731</v>
      </c>
      <c r="GF25" s="60">
        <f t="shared" si="50"/>
        <v>277.30931495079346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10.199999999999999</v>
      </c>
      <c r="N26" s="14">
        <f>IF('Données projet'!$A$36&gt;35,N25+M26-V25,IF(A26&lt;'Données projet'!$A$36,$K$205^A26,IF(A26='Données projet'!$A$36,'Données projet'!$B$36,N25+M26-V25)))</f>
        <v>62.600000000000009</v>
      </c>
      <c r="O26" s="14">
        <f>N26*VLOOKUP('Données projet'!$B$9,Paramètres!$A$1:$I$89,3,0)*VLOOKUP('Données projet'!$B$9,Paramètres!$A$1:$I$89,5,0)</f>
        <v>53.710800000000013</v>
      </c>
      <c r="P26" s="14">
        <f t="shared" si="33"/>
        <v>15.568060592172023</v>
      </c>
      <c r="Q26" s="22">
        <f t="shared" si="2"/>
        <v>120.66068219803297</v>
      </c>
      <c r="R26" s="60">
        <f t="shared" si="0"/>
        <v>344.14587890757946</v>
      </c>
      <c r="S26" s="60">
        <f ca="1">AVERAGE(OFFSET($R$3,0,0,'Données projet'!$E$9+1,1))-AVERAGE(OFFSET($H$3,0,0,'Données projet'!$E$9+1,1))</f>
        <v>632.26350546340541</v>
      </c>
      <c r="T26" s="60">
        <f t="shared" si="34"/>
        <v>340.45335016367915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12.500000000000002</v>
      </c>
      <c r="AI26" s="14">
        <f>IF('Données projet'!$A$62&gt;35,AI25+AH26-AQ25,IF(A26&lt;'Données projet'!$A$62,$AF$205^A26,IF(A26='Données projet'!$A$62,'Données projet'!$B$62,AI25+AH26-AQ25)))</f>
        <v>89.5</v>
      </c>
      <c r="AJ26" s="14">
        <f>AI26*VLOOKUP('Données projet'!$B$10,Paramètres!$A$1:$I$89,3,0)*VLOOKUP('Données projet'!$B$10,Paramètres!$A$1:$I$89,5,0)</f>
        <v>71.20620000000001</v>
      </c>
      <c r="AK26" s="14">
        <f t="shared" si="35"/>
        <v>19.972701050724211</v>
      </c>
      <c r="AL26" s="22">
        <f t="shared" si="4"/>
        <v>158.80325266334467</v>
      </c>
      <c r="AM26" s="60">
        <f t="shared" si="5"/>
        <v>382.28844937289114</v>
      </c>
      <c r="AN26" s="60">
        <f ca="1">AVERAGE(OFFSET($AM$3,0,0,'Données projet'!$E$10+1,1))-AVERAGE(OFFSET($H$3,0,0,'Données projet'!$E$10+1,1))</f>
        <v>336.25341821407534</v>
      </c>
      <c r="AO26" s="60">
        <f t="shared" si="36"/>
        <v>360.3246221345039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12.500000000000002</v>
      </c>
      <c r="BD26" s="13">
        <f>IF('Données projet'!$A$88&gt;35,BD25+BC26-BL25,IF(A26&lt;'Données projet'!$A$88,$BA$205^A26,IF(A26='Données projet'!$A$88,'Données projet'!$B$88,BD25+BC26-BL25)))</f>
        <v>89.5</v>
      </c>
      <c r="BE26" s="14">
        <f>BD26*VLOOKUP('Données projet'!$B$11,Paramètres!$A$1:$I$89,3,0)*VLOOKUP('Données projet'!$B$11,Paramètres!$A$1:$I$89,5,0)</f>
        <v>71.20620000000001</v>
      </c>
      <c r="BF26" s="14">
        <f t="shared" si="37"/>
        <v>19.972701050724211</v>
      </c>
      <c r="BG26" s="22">
        <f t="shared" si="7"/>
        <v>158.80325266334467</v>
      </c>
      <c r="BH26" s="60">
        <f t="shared" si="8"/>
        <v>382.28844937289114</v>
      </c>
      <c r="BI26" s="60">
        <f ca="1">AVERAGE(OFFSET($BH$3,0,0,'Données projet'!$E$11+1,1))-AVERAGE(OFFSET($H$3,0,0,'Données projet'!$E$11+1,1))</f>
        <v>336.25341821407534</v>
      </c>
      <c r="BJ26" s="60">
        <f t="shared" si="38"/>
        <v>360.3246221345039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53.202240000000003</v>
      </c>
      <c r="CA26" s="14">
        <f t="shared" si="39"/>
        <v>15.437740642425908</v>
      </c>
      <c r="CB26" s="22">
        <f t="shared" si="10"/>
        <v>119.54796628555846</v>
      </c>
      <c r="CC26" s="60">
        <f t="shared" si="11"/>
        <v>343.03316299510493</v>
      </c>
      <c r="CD26" s="60">
        <f ca="1">AVERAGE(OFFSET($CC$3,0,0,'Données projet'!$E$12+1,1))-AVERAGE(OFFSET($H$3,0,0,'Données projet'!$E$12+1,1))</f>
        <v>469.67944008675863</v>
      </c>
      <c r="CE26" s="60">
        <f t="shared" si="40"/>
        <v>266.11908070867173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119.79999999999997</v>
      </c>
      <c r="CU26" s="18">
        <f>CT26*VLOOKUP('Données projet'!$B$13,Paramètres!$A$1:$I$89,3,0)*VLOOKUP('Données projet'!$B$13,Paramètres!$A$1:$I$89,5,0)</f>
        <v>93.443999999999974</v>
      </c>
      <c r="CV26" s="14">
        <f t="shared" si="41"/>
        <v>25.394010816431489</v>
      </c>
      <c r="CW26" s="22">
        <f t="shared" si="13"/>
        <v>206.97620217195148</v>
      </c>
      <c r="CX26" s="60">
        <f t="shared" si="14"/>
        <v>430.46139888149798</v>
      </c>
      <c r="CY26" s="60">
        <f ca="1">AVERAGE(OFFSET($CX$3,0,0,'Données projet'!$E$13+1,1))-AVERAGE(OFFSET($H$3,0,0,'Données projet'!$E$13+1,1))</f>
        <v>312.59632808777332</v>
      </c>
      <c r="CZ26" s="60">
        <f t="shared" si="42"/>
        <v>302.59481222418219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6.5384615384615419</v>
      </c>
      <c r="DO26" s="13">
        <f>IF('Données projet'!$A$166&gt;35,DO25+DN26-DW25,IF(A26&lt;'Données projet'!$A$166,$DL$205^A26,IF(A26='Données projet'!$A$166,'Données projet'!$B$166,DO25+DN26-DW25)))</f>
        <v>70.897435897435898</v>
      </c>
      <c r="DP26" s="18">
        <f>DO26*VLOOKUP('Données projet'!$B$14,Paramètres!$A$1:$I$89,3,0)*VLOOKUP('Données projet'!$B$14,Paramètres!$A$1:$I$89,5,0)</f>
        <v>67.466000000000008</v>
      </c>
      <c r="DQ26" s="14">
        <f t="shared" si="43"/>
        <v>19.042832056451115</v>
      </c>
      <c r="DR26" s="22">
        <f t="shared" si="16"/>
        <v>150.66954916498568</v>
      </c>
      <c r="DS26" s="60">
        <f t="shared" si="17"/>
        <v>374.15474587453218</v>
      </c>
      <c r="DT26" s="60">
        <f ca="1">AVERAGE(OFFSET($DS$3,0,0,'Données projet'!$E$14+1,1))-AVERAGE(OFFSET($H$3,0,0,'Données projet'!$E$14+1,1))</f>
        <v>398.29746143975166</v>
      </c>
      <c r="DU26" s="60">
        <f t="shared" si="44"/>
        <v>300.63705521148802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56.87136000000001</v>
      </c>
      <c r="EL26" s="14">
        <f t="shared" si="45"/>
        <v>16.374802181791551</v>
      </c>
      <c r="EM26" s="22">
        <f t="shared" si="19"/>
        <v>127.57039913328697</v>
      </c>
      <c r="EN26" s="60">
        <f t="shared" si="20"/>
        <v>351.05559584283344</v>
      </c>
      <c r="EO26" s="60">
        <f ca="1">AVERAGE(OFFSET($EN$3,0,0,'Données projet'!$E$15+1,1))-AVERAGE(OFFSET($H$3,0,0,'Données projet'!$E$15+1,1))</f>
        <v>496.33873798282525</v>
      </c>
      <c r="EP26" s="60">
        <f t="shared" si="46"/>
        <v>280.25465074992246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12.500000000000002</v>
      </c>
      <c r="FE26" s="13">
        <f>IF('Données projet'!$A$218&gt;35,FE25+FD26-FM25,IF(A26&lt;'Données projet'!$A$218,$FB$205^A26,IF(A26='Données projet'!$A$218,'Données projet'!$B$218,FE25+FD26-FM25)))</f>
        <v>89.5</v>
      </c>
      <c r="FF26" s="18">
        <f>FE26*VLOOKUP('Données projet'!$B$16,Paramètres!$A$1:$I$89,3,0)*VLOOKUP('Données projet'!$B$16,Paramètres!$A$1:$I$89,5,0)</f>
        <v>78.187200000000004</v>
      </c>
      <c r="FG26" s="14">
        <f t="shared" si="47"/>
        <v>21.693355566332489</v>
      </c>
      <c r="FH26" s="22">
        <f t="shared" si="22"/>
        <v>173.95863427802908</v>
      </c>
      <c r="FI26" s="60">
        <f t="shared" si="23"/>
        <v>397.44383098757555</v>
      </c>
      <c r="FJ26" s="60">
        <f ca="1">AVERAGE(OFFSET($FI$3,0,0,'Données projet'!$E$16+1,1))-AVERAGE(OFFSET($H$3,0,0,'Données projet'!$E$16+1,1))</f>
        <v>363.28611056308665</v>
      </c>
      <c r="FK26" s="60">
        <f t="shared" si="48"/>
        <v>389.43647559455974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8.4615384615384617</v>
      </c>
      <c r="FZ26" s="13">
        <f>IF('Données projet'!$A$244&gt;35,FZ25+FY26-GH25,IF(A26&lt;'Données projet'!$A$244,$FW$205^A26,IF(A26='Données projet'!$A$244,'Données projet'!$B$244,FZ25+FY26-GH25)))</f>
        <v>92.051282051282072</v>
      </c>
      <c r="GA26" s="18">
        <f>FZ26*VLOOKUP('Données projet'!$B$17,Paramètres!$A$1:$I$89,3,0)*VLOOKUP('Données projet'!$B$17,Paramètres!$A$1:$I$89,5,0)</f>
        <v>61.748000000000012</v>
      </c>
      <c r="GB26" s="14">
        <f t="shared" si="49"/>
        <v>17.609476905605174</v>
      </c>
      <c r="GC26" s="22">
        <f t="shared" si="25"/>
        <v>138.21427227726235</v>
      </c>
      <c r="GD26" s="60">
        <f t="shared" si="26"/>
        <v>361.69946898680882</v>
      </c>
      <c r="GE26" s="60">
        <f ca="1">AVERAGE(OFFSET($GD$3,0,0,'Données projet'!$E$17+1,1))-AVERAGE(OFFSET($H$3,0,0,'Données projet'!$E$17+1,1))</f>
        <v>344.62096650402731</v>
      </c>
      <c r="GF26" s="60">
        <f t="shared" si="50"/>
        <v>277.30931495079346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10.199999999999999</v>
      </c>
      <c r="N27" s="14">
        <f>IF('Données projet'!$A$36&gt;35,N26+M27-V26,IF(A27&lt;'Données projet'!$A$36,$K$205^A27,IF(A27='Données projet'!$A$36,'Données projet'!$B$36,N26+M27-V26)))</f>
        <v>72.800000000000011</v>
      </c>
      <c r="O27" s="14">
        <f>N27*VLOOKUP('Données projet'!$B$9,Paramètres!$A$1:$I$89,3,0)*VLOOKUP('Données projet'!$B$9,Paramètres!$A$1:$I$89,5,0)</f>
        <v>62.462400000000009</v>
      </c>
      <c r="P27" s="14">
        <f t="shared" si="33"/>
        <v>17.789376189256878</v>
      </c>
      <c r="Q27" s="22">
        <f t="shared" si="2"/>
        <v>139.7718435296224</v>
      </c>
      <c r="R27" s="60">
        <f t="shared" si="0"/>
        <v>365.54255171324223</v>
      </c>
      <c r="S27" s="60">
        <f ca="1">AVERAGE(OFFSET($R$3,0,0,'Données projet'!$E$9+1,1))-AVERAGE(OFFSET($H$3,0,0,'Données projet'!$E$9+1,1))</f>
        <v>632.26350546340541</v>
      </c>
      <c r="T27" s="60">
        <f t="shared" si="34"/>
        <v>340.45335016367915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12.500000000000002</v>
      </c>
      <c r="AI27" s="14">
        <f>IF('Données projet'!$A$62&gt;35,AI26+AH27-AQ26,IF(A27&lt;'Données projet'!$A$62,$AF$205^A27,IF(A27='Données projet'!$A$62,'Données projet'!$B$62,AI26+AH27-AQ26)))</f>
        <v>102</v>
      </c>
      <c r="AJ27" s="14">
        <f>AI27*VLOOKUP('Données projet'!$B$10,Paramètres!$A$1:$I$89,3,0)*VLOOKUP('Données projet'!$B$10,Paramètres!$A$1:$I$89,5,0)</f>
        <v>81.151200000000003</v>
      </c>
      <c r="AK27" s="14">
        <f t="shared" si="35"/>
        <v>22.418424032002342</v>
      </c>
      <c r="AL27" s="22">
        <f t="shared" si="4"/>
        <v>180.38376185573739</v>
      </c>
      <c r="AM27" s="60">
        <f t="shared" si="5"/>
        <v>406.15447003935719</v>
      </c>
      <c r="AN27" s="60">
        <f ca="1">AVERAGE(OFFSET($AM$3,0,0,'Données projet'!$E$10+1,1))-AVERAGE(OFFSET($H$3,0,0,'Données projet'!$E$10+1,1))</f>
        <v>336.25341821407534</v>
      </c>
      <c r="AO27" s="60">
        <f t="shared" si="36"/>
        <v>360.3246221345039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12.500000000000002</v>
      </c>
      <c r="BD27" s="13">
        <f>IF('Données projet'!$A$88&gt;35,BD26+BC27-BL26,IF(A27&lt;'Données projet'!$A$88,$BA$205^A27,IF(A27='Données projet'!$A$88,'Données projet'!$B$88,BD26+BC27-BL26)))</f>
        <v>102</v>
      </c>
      <c r="BE27" s="14">
        <f>BD27*VLOOKUP('Données projet'!$B$11,Paramètres!$A$1:$I$89,3,0)*VLOOKUP('Données projet'!$B$11,Paramètres!$A$1:$I$89,5,0)</f>
        <v>81.151200000000003</v>
      </c>
      <c r="BF27" s="14">
        <f t="shared" si="37"/>
        <v>22.418424032002342</v>
      </c>
      <c r="BG27" s="22">
        <f t="shared" si="7"/>
        <v>180.38376185573739</v>
      </c>
      <c r="BH27" s="60">
        <f t="shared" si="8"/>
        <v>406.15447003935719</v>
      </c>
      <c r="BI27" s="60">
        <f ca="1">AVERAGE(OFFSET($BH$3,0,0,'Données projet'!$E$11+1,1))-AVERAGE(OFFSET($H$3,0,0,'Données projet'!$E$11+1,1))</f>
        <v>336.25341821407534</v>
      </c>
      <c r="BJ27" s="60">
        <f t="shared" si="38"/>
        <v>360.3246221345039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58.269120000000008</v>
      </c>
      <c r="CA27" s="14">
        <f t="shared" si="39"/>
        <v>16.729905486873804</v>
      </c>
      <c r="CB27" s="22">
        <f t="shared" si="10"/>
        <v>130.62330272297189</v>
      </c>
      <c r="CC27" s="60">
        <f t="shared" si="11"/>
        <v>356.39401090659169</v>
      </c>
      <c r="CD27" s="60">
        <f ca="1">AVERAGE(OFFSET($CC$3,0,0,'Données projet'!$E$12+1,1))-AVERAGE(OFFSET($H$3,0,0,'Données projet'!$E$12+1,1))</f>
        <v>469.67944008675863</v>
      </c>
      <c r="CE27" s="60">
        <f t="shared" si="40"/>
        <v>266.11908070867173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130.39999999999998</v>
      </c>
      <c r="CU27" s="18">
        <f>CT27*VLOOKUP('Données projet'!$B$13,Paramètres!$A$1:$I$89,3,0)*VLOOKUP('Données projet'!$B$13,Paramètres!$A$1:$I$89,5,0)</f>
        <v>101.71199999999999</v>
      </c>
      <c r="CV27" s="14">
        <f t="shared" si="41"/>
        <v>27.369454120725656</v>
      </c>
      <c r="CW27" s="22">
        <f t="shared" si="13"/>
        <v>224.81686592693052</v>
      </c>
      <c r="CX27" s="60">
        <f t="shared" si="14"/>
        <v>450.58757411055035</v>
      </c>
      <c r="CY27" s="60">
        <f ca="1">AVERAGE(OFFSET($CX$3,0,0,'Données projet'!$E$13+1,1))-AVERAGE(OFFSET($H$3,0,0,'Données projet'!$E$13+1,1))</f>
        <v>312.59632808777332</v>
      </c>
      <c r="CZ27" s="60">
        <f t="shared" si="42"/>
        <v>302.59481222418219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6.5384615384615419</v>
      </c>
      <c r="DO27" s="13">
        <f>IF('Données projet'!$A$166&gt;35,DO26+DN27-DW26,IF(A27&lt;'Données projet'!$A$166,$DL$205^A27,IF(A27='Données projet'!$A$166,'Données projet'!$B$166,DO26+DN27-DW26)))</f>
        <v>77.435897435897445</v>
      </c>
      <c r="DP27" s="18">
        <f>DO27*VLOOKUP('Données projet'!$B$14,Paramètres!$A$1:$I$89,3,0)*VLOOKUP('Données projet'!$B$14,Paramètres!$A$1:$I$89,5,0)</f>
        <v>73.688000000000017</v>
      </c>
      <c r="DQ27" s="14">
        <f t="shared" si="43"/>
        <v>20.586563216136717</v>
      </c>
      <c r="DR27" s="22">
        <f t="shared" si="16"/>
        <v>164.19486426810479</v>
      </c>
      <c r="DS27" s="60">
        <f t="shared" si="17"/>
        <v>389.9655724517246</v>
      </c>
      <c r="DT27" s="60">
        <f ca="1">AVERAGE(OFFSET($DS$3,0,0,'Données projet'!$E$14+1,1))-AVERAGE(OFFSET($H$3,0,0,'Données projet'!$E$14+1,1))</f>
        <v>398.29746143975166</v>
      </c>
      <c r="DU27" s="60">
        <f t="shared" si="44"/>
        <v>300.63705521148802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62.287680000000009</v>
      </c>
      <c r="EL27" s="14">
        <f t="shared" si="45"/>
        <v>17.745400652396182</v>
      </c>
      <c r="EM27" s="22">
        <f t="shared" si="19"/>
        <v>139.39094880292336</v>
      </c>
      <c r="EN27" s="60">
        <f t="shared" si="20"/>
        <v>365.16165698654316</v>
      </c>
      <c r="EO27" s="60">
        <f ca="1">AVERAGE(OFFSET($EN$3,0,0,'Données projet'!$E$15+1,1))-AVERAGE(OFFSET($H$3,0,0,'Données projet'!$E$15+1,1))</f>
        <v>496.33873798282525</v>
      </c>
      <c r="EP27" s="60">
        <f t="shared" si="46"/>
        <v>280.25465074992246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12.500000000000002</v>
      </c>
      <c r="FE27" s="13">
        <f>IF('Données projet'!$A$218&gt;35,FE26+FD27-FM26,IF(A27&lt;'Données projet'!$A$218,$FB$205^A27,IF(A27='Données projet'!$A$218,'Données projet'!$B$218,FE26+FD27-FM26)))</f>
        <v>102</v>
      </c>
      <c r="FF27" s="18">
        <f>FE27*VLOOKUP('Données projet'!$B$16,Paramètres!$A$1:$I$89,3,0)*VLOOKUP('Données projet'!$B$16,Paramètres!$A$1:$I$89,5,0)</f>
        <v>89.107200000000006</v>
      </c>
      <c r="FG27" s="14">
        <f t="shared" si="47"/>
        <v>24.349778356363352</v>
      </c>
      <c r="FH27" s="22">
        <f t="shared" si="22"/>
        <v>197.6042373039995</v>
      </c>
      <c r="FI27" s="60">
        <f t="shared" si="23"/>
        <v>423.3749454876193</v>
      </c>
      <c r="FJ27" s="60">
        <f ca="1">AVERAGE(OFFSET($FI$3,0,0,'Données projet'!$E$16+1,1))-AVERAGE(OFFSET($H$3,0,0,'Données projet'!$E$16+1,1))</f>
        <v>363.28611056308665</v>
      </c>
      <c r="FK27" s="60">
        <f t="shared" si="48"/>
        <v>389.43647559455974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8.4615384615384617</v>
      </c>
      <c r="FZ27" s="13">
        <f>IF('Données projet'!$A$244&gt;35,FZ26+FY27-GH26,IF(A27&lt;'Données projet'!$A$244,$FW$205^A27,IF(A27='Données projet'!$A$244,'Données projet'!$B$244,FZ26+FY27-GH26)))</f>
        <v>100.51282051282054</v>
      </c>
      <c r="GA27" s="18">
        <f>FZ27*VLOOKUP('Données projet'!$B$17,Paramètres!$A$1:$I$89,3,0)*VLOOKUP('Données projet'!$B$17,Paramètres!$A$1:$I$89,5,0)</f>
        <v>67.424000000000021</v>
      </c>
      <c r="GB27" s="14">
        <f t="shared" si="49"/>
        <v>19.032356736143235</v>
      </c>
      <c r="GC27" s="22">
        <f t="shared" si="25"/>
        <v>150.57815464878283</v>
      </c>
      <c r="GD27" s="60">
        <f t="shared" si="26"/>
        <v>376.34886283240263</v>
      </c>
      <c r="GE27" s="60">
        <f ca="1">AVERAGE(OFFSET($GD$3,0,0,'Données projet'!$E$17+1,1))-AVERAGE(OFFSET($H$3,0,0,'Données projet'!$E$17+1,1))</f>
        <v>344.62096650402731</v>
      </c>
      <c r="GF27" s="60">
        <f t="shared" si="50"/>
        <v>277.30931495079346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83</v>
      </c>
      <c r="L28" s="13">
        <f>VLOOKUP(A28,'Données projet'!$A$35:$I$55,9,0)</f>
        <v>10.199999999999999</v>
      </c>
      <c r="M28" s="13">
        <f t="array" ref="M28">INDEX(L:L,MIN(IF(ISNUMBER(L28:L224),ROW(L28:L224),"")))</f>
        <v>10.199999999999999</v>
      </c>
      <c r="N28" s="14">
        <f>IF('Données projet'!$A$36&gt;35,N27+M28-V27,IF(A28&lt;'Données projet'!$A$36,$K$205^A28,IF(A28='Données projet'!$A$36,'Données projet'!$B$36,N27+M28-V27)))</f>
        <v>83.000000000000014</v>
      </c>
      <c r="O28" s="14">
        <f>N28*VLOOKUP('Données projet'!$B$9,Paramètres!$A$1:$I$89,3,0)*VLOOKUP('Données projet'!$B$9,Paramètres!$A$1:$I$89,5,0)</f>
        <v>71.214000000000027</v>
      </c>
      <c r="P28" s="14">
        <f t="shared" si="33"/>
        <v>19.974634205083152</v>
      </c>
      <c r="Q28" s="22">
        <f t="shared" si="2"/>
        <v>158.8202045738532</v>
      </c>
      <c r="R28" s="60">
        <f t="shared" si="0"/>
        <v>386.85797854018529</v>
      </c>
      <c r="S28" s="60">
        <f ca="1">AVERAGE(OFFSET($R$3,0,0,'Données projet'!$E$9+1,1))-AVERAGE(OFFSET($H$3,0,0,'Données projet'!$E$9+1,1))</f>
        <v>632.26350546340541</v>
      </c>
      <c r="T28" s="60">
        <f t="shared" si="34"/>
        <v>340.45335016367915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114.5</v>
      </c>
      <c r="AG28" s="13">
        <f>VLOOKUP(A28,'Données projet'!$A$61:$I$81,9,0)</f>
        <v>12.500000000000002</v>
      </c>
      <c r="AH28" s="13">
        <f t="array" ref="AH28">INDEX(AG:AG,MIN(IF(ISNUMBER(AG28:AG224),ROW(AG28:AG224),"")))</f>
        <v>12.500000000000002</v>
      </c>
      <c r="AI28" s="14">
        <f>IF('Données projet'!$A$62&gt;35,AI27+AH28-AQ27,IF(A28&lt;'Données projet'!$A$62,$AF$205^A28,IF(A28='Données projet'!$A$62,'Données projet'!$B$62,AI27+AH28-AQ27)))</f>
        <v>114.5</v>
      </c>
      <c r="AJ28" s="14">
        <f>AI28*VLOOKUP('Données projet'!$B$10,Paramètres!$A$1:$I$89,3,0)*VLOOKUP('Données projet'!$B$10,Paramètres!$A$1:$I$89,5,0)</f>
        <v>91.09620000000001</v>
      </c>
      <c r="AK28" s="14">
        <f t="shared" si="35"/>
        <v>24.829415470949538</v>
      </c>
      <c r="AL28" s="22">
        <f t="shared" si="4"/>
        <v>201.90378027857048</v>
      </c>
      <c r="AM28" s="60">
        <f t="shared" si="5"/>
        <v>429.94155424490259</v>
      </c>
      <c r="AN28" s="60">
        <f ca="1">AVERAGE(OFFSET($AM$3,0,0,'Données projet'!$E$10+1,1))-AVERAGE(OFFSET($H$3,0,0,'Données projet'!$E$10+1,1))</f>
        <v>336.25341821407534</v>
      </c>
      <c r="AO28" s="60">
        <f t="shared" si="36"/>
        <v>360.3246221345039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114.5</v>
      </c>
      <c r="BB28" s="13">
        <f>VLOOKUP(A28,'Données projet'!$A$87:$I$107,9,0)</f>
        <v>12.500000000000002</v>
      </c>
      <c r="BC28" s="13">
        <f t="array" ref="BC28">INDEX(BB:BB,MIN(IF(ISNUMBER(BB28:BB224),ROW(BB28:BB224),"")))</f>
        <v>12.500000000000002</v>
      </c>
      <c r="BD28" s="13">
        <f>IF('Données projet'!$A$88&gt;35,BD27+BC28-BL27,IF(A28&lt;'Données projet'!$A$88,$BA$205^A28,IF(A28='Données projet'!$A$88,'Données projet'!$B$88,BD27+BC28-BL27)))</f>
        <v>114.5</v>
      </c>
      <c r="BE28" s="14">
        <f>BD28*VLOOKUP('Données projet'!$B$11,Paramètres!$A$1:$I$89,3,0)*VLOOKUP('Données projet'!$B$11,Paramètres!$A$1:$I$89,5,0)</f>
        <v>91.09620000000001</v>
      </c>
      <c r="BF28" s="14">
        <f t="shared" si="37"/>
        <v>24.829415470949538</v>
      </c>
      <c r="BG28" s="22">
        <f t="shared" si="7"/>
        <v>201.90378027857048</v>
      </c>
      <c r="BH28" s="60">
        <f t="shared" si="8"/>
        <v>429.94155424490259</v>
      </c>
      <c r="BI28" s="60">
        <f ca="1">AVERAGE(OFFSET($BH$3,0,0,'Données projet'!$E$11+1,1))-AVERAGE(OFFSET($H$3,0,0,'Données projet'!$E$11+1,1))</f>
        <v>336.25341821407534</v>
      </c>
      <c r="BJ28" s="60">
        <f t="shared" si="38"/>
        <v>360.3246221345039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63.335999999999991</v>
      </c>
      <c r="CA28" s="14">
        <f t="shared" si="39"/>
        <v>18.009040022946227</v>
      </c>
      <c r="CB28" s="22">
        <f t="shared" si="10"/>
        <v>141.67594470663133</v>
      </c>
      <c r="CC28" s="60">
        <f t="shared" si="11"/>
        <v>369.71371867296341</v>
      </c>
      <c r="CD28" s="60">
        <f ca="1">AVERAGE(OFFSET($CC$3,0,0,'Données projet'!$E$12+1,1))-AVERAGE(OFFSET($H$3,0,0,'Données projet'!$E$12+1,1))</f>
        <v>469.67944008675863</v>
      </c>
      <c r="CE28" s="60">
        <f t="shared" si="40"/>
        <v>266.11908070867173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141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140.99999999999997</v>
      </c>
      <c r="CU28" s="18">
        <f>CT28*VLOOKUP('Données projet'!$B$13,Paramètres!$A$1:$I$89,3,0)*VLOOKUP('Données projet'!$B$13,Paramètres!$A$1:$I$89,5,0)</f>
        <v>109.97999999999998</v>
      </c>
      <c r="CV28" s="14">
        <f t="shared" si="41"/>
        <v>29.326272366698234</v>
      </c>
      <c r="CW28" s="22">
        <f t="shared" si="13"/>
        <v>242.62509103866606</v>
      </c>
      <c r="CX28" s="60">
        <f t="shared" si="14"/>
        <v>470.66286500499814</v>
      </c>
      <c r="CY28" s="60">
        <f ca="1">AVERAGE(OFFSET($CX$3,0,0,'Données projet'!$E$13+1,1))-AVERAGE(OFFSET($H$3,0,0,'Données projet'!$E$13+1,1))</f>
        <v>312.59632808777332</v>
      </c>
      <c r="CZ28" s="60">
        <f t="shared" si="42"/>
        <v>302.59481222418219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55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83.974358974358978</v>
      </c>
      <c r="DM28" s="13">
        <f>VLOOKUP(A28,'Données projet'!$A$165:$I$185,9,0)</f>
        <v>6.5384615384615419</v>
      </c>
      <c r="DN28" s="13">
        <f t="array" ref="DN28">INDEX(DM:DM,MIN(IF(ISNUMBER(DM28:DM224),ROW(DM28:DM224),"")))</f>
        <v>6.5384615384615419</v>
      </c>
      <c r="DO28" s="13">
        <f>IF('Données projet'!$A$166&gt;35,DO27+DN28-DW27,IF(A28&lt;'Données projet'!$A$166,$DL$205^A28,IF(A28='Données projet'!$A$166,'Données projet'!$B$166,DO27+DN28-DW27)))</f>
        <v>83.974358974358992</v>
      </c>
      <c r="DP28" s="18">
        <f>DO28*VLOOKUP('Données projet'!$B$14,Paramètres!$A$1:$I$89,3,0)*VLOOKUP('Données projet'!$B$14,Paramètres!$A$1:$I$89,5,0)</f>
        <v>79.910000000000025</v>
      </c>
      <c r="DQ28" s="14">
        <f t="shared" si="43"/>
        <v>22.115177219366689</v>
      </c>
      <c r="DR28" s="22">
        <f t="shared" si="16"/>
        <v>177.69385032373035</v>
      </c>
      <c r="DS28" s="60">
        <f t="shared" si="17"/>
        <v>405.73162429006243</v>
      </c>
      <c r="DT28" s="60">
        <f ca="1">AVERAGE(OFFSET($DS$3,0,0,'Données projet'!$E$14+1,1))-AVERAGE(OFFSET($H$3,0,0,'Données projet'!$E$14+1,1))</f>
        <v>398.29746143975166</v>
      </c>
      <c r="DU28" s="60">
        <f t="shared" si="44"/>
        <v>300.63705521148802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67.703999999999994</v>
      </c>
      <c r="EL28" s="14">
        <f t="shared" si="45"/>
        <v>19.102177882771514</v>
      </c>
      <c r="EM28" s="22">
        <f t="shared" si="19"/>
        <v>151.18742647916039</v>
      </c>
      <c r="EN28" s="60">
        <f t="shared" si="20"/>
        <v>379.22520044549253</v>
      </c>
      <c r="EO28" s="60">
        <f ca="1">AVERAGE(OFFSET($EN$3,0,0,'Données projet'!$E$15+1,1))-AVERAGE(OFFSET($H$3,0,0,'Données projet'!$E$15+1,1))</f>
        <v>496.33873798282525</v>
      </c>
      <c r="EP28" s="60">
        <f t="shared" si="46"/>
        <v>280.25465074992246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114.5</v>
      </c>
      <c r="FC28" s="13">
        <f>VLOOKUP(A28,'Données projet'!$A$217:$I$237,9,0)</f>
        <v>12.500000000000002</v>
      </c>
      <c r="FD28" s="13">
        <f t="array" ref="FD28">INDEX(FC:FC,MIN(IF(ISNUMBER(FC28:FC224),ROW(FC28:FC224),"")))</f>
        <v>12.500000000000002</v>
      </c>
      <c r="FE28" s="13">
        <f>IF('Données projet'!$A$218&gt;35,FE27+FD28-FM27,IF(A28&lt;'Données projet'!$A$218,$FB$205^A28,IF(A28='Données projet'!$A$218,'Données projet'!$B$218,FE27+FD28-FM27)))</f>
        <v>114.5</v>
      </c>
      <c r="FF28" s="18">
        <f>FE28*VLOOKUP('Données projet'!$B$16,Paramètres!$A$1:$I$89,3,0)*VLOOKUP('Données projet'!$B$16,Paramètres!$A$1:$I$89,5,0)</f>
        <v>100.02720000000001</v>
      </c>
      <c r="FG28" s="14">
        <f t="shared" si="47"/>
        <v>26.968477470701153</v>
      </c>
      <c r="FH28" s="22">
        <f t="shared" si="22"/>
        <v>221.18413826147119</v>
      </c>
      <c r="FI28" s="60">
        <f t="shared" si="23"/>
        <v>449.22191222780327</v>
      </c>
      <c r="FJ28" s="60">
        <f ca="1">AVERAGE(OFFSET($FI$3,0,0,'Données projet'!$E$16+1,1))-AVERAGE(OFFSET($H$3,0,0,'Données projet'!$E$16+1,1))</f>
        <v>363.28611056308665</v>
      </c>
      <c r="FK28" s="60">
        <f t="shared" si="48"/>
        <v>389.43647559455974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108.97435897435896</v>
      </c>
      <c r="FX28" s="13">
        <f>VLOOKUP(A28,'Données projet'!$A$243:$I$263,9,0)</f>
        <v>8.4615384615384617</v>
      </c>
      <c r="FY28" s="13">
        <f t="array" ref="FY28">INDEX(FX:FX,MIN(IF(ISNUMBER(FX28:FX224),ROW(FX28:FX224),"")))</f>
        <v>8.4615384615384617</v>
      </c>
      <c r="FZ28" s="13">
        <f>IF('Données projet'!$A$244&gt;35,FZ27+FY28-GH27,IF(A28&lt;'Données projet'!$A$244,$FW$205^A28,IF(A28='Données projet'!$A$244,'Données projet'!$B$244,FZ27+FY28-GH27)))</f>
        <v>108.97435897435901</v>
      </c>
      <c r="GA28" s="18">
        <f>FZ28*VLOOKUP('Données projet'!$B$17,Paramètres!$A$1:$I$89,3,0)*VLOOKUP('Données projet'!$B$17,Paramètres!$A$1:$I$89,5,0)</f>
        <v>73.100000000000023</v>
      </c>
      <c r="GB28" s="14">
        <f t="shared" si="49"/>
        <v>20.44134457781275</v>
      </c>
      <c r="GC28" s="22">
        <f t="shared" si="25"/>
        <v>162.91784180635725</v>
      </c>
      <c r="GD28" s="60">
        <f t="shared" si="26"/>
        <v>390.95561577268938</v>
      </c>
      <c r="GE28" s="60">
        <f ca="1">AVERAGE(OFFSET($GD$3,0,0,'Données projet'!$E$17+1,1))-AVERAGE(OFFSET($H$3,0,0,'Données projet'!$E$17+1,1))</f>
        <v>344.62096650402731</v>
      </c>
      <c r="GF28" s="60">
        <f t="shared" si="50"/>
        <v>277.30931495079346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13.6</v>
      </c>
      <c r="N29" s="14">
        <f>IF('Données projet'!$A$36&gt;35,N28+M29-V28,IF(A29&lt;'Données projet'!$A$36,$K$205^A29,IF(A29='Données projet'!$A$36,'Données projet'!$B$36,N28+M29-V28)))</f>
        <v>96.600000000000009</v>
      </c>
      <c r="O29" s="14">
        <f>N29*VLOOKUP('Données projet'!$B$9,Paramètres!$A$1:$I$89,3,0)*VLOOKUP('Données projet'!$B$9,Paramètres!$A$1:$I$89,5,0)</f>
        <v>82.882800000000017</v>
      </c>
      <c r="P29" s="14">
        <f t="shared" si="33"/>
        <v>22.840584911380059</v>
      </c>
      <c r="Q29" s="22">
        <f t="shared" si="2"/>
        <v>184.13489538732028</v>
      </c>
      <c r="R29" s="60">
        <f t="shared" si="0"/>
        <v>414.42160943651049</v>
      </c>
      <c r="S29" s="60">
        <f ca="1">AVERAGE(OFFSET($R$3,0,0,'Données projet'!$E$9+1,1))-AVERAGE(OFFSET($H$3,0,0,'Données projet'!$E$9+1,1))</f>
        <v>632.26350546340541</v>
      </c>
      <c r="T29" s="60">
        <f t="shared" si="34"/>
        <v>340.45335016367915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</v>
      </c>
      <c r="AI29" s="14">
        <f>IF('Données projet'!$A$62&gt;35,AI28+AH29-AQ28,IF(A29&lt;'Données projet'!$A$62,$AF$205^A29,IF(A29='Données projet'!$A$62,'Données projet'!$B$62,AI28+AH29-AQ28)))</f>
        <v>126.5</v>
      </c>
      <c r="AJ29" s="14">
        <f>AI29*VLOOKUP('Données projet'!$B$10,Paramètres!$A$1:$I$89,3,0)*VLOOKUP('Données projet'!$B$10,Paramètres!$A$1:$I$89,5,0)</f>
        <v>100.6434</v>
      </c>
      <c r="AK29" s="14">
        <f t="shared" si="35"/>
        <v>27.115221465557241</v>
      </c>
      <c r="AL29" s="22">
        <f t="shared" si="4"/>
        <v>222.51293238584552</v>
      </c>
      <c r="AM29" s="60">
        <f t="shared" si="5"/>
        <v>452.7996464350357</v>
      </c>
      <c r="AN29" s="60">
        <f ca="1">AVERAGE(OFFSET($AM$3,0,0,'Données projet'!$E$10+1,1))-AVERAGE(OFFSET($H$3,0,0,'Données projet'!$E$10+1,1))</f>
        <v>336.25341821407534</v>
      </c>
      <c r="AO29" s="60">
        <f t="shared" si="36"/>
        <v>360.3246221345039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126.5</v>
      </c>
      <c r="BE29" s="14">
        <f>BD29*VLOOKUP('Données projet'!$B$11,Paramètres!$A$1:$I$89,3,0)*VLOOKUP('Données projet'!$B$11,Paramètres!$A$1:$I$89,5,0)</f>
        <v>100.6434</v>
      </c>
      <c r="BF29" s="14">
        <f t="shared" si="37"/>
        <v>27.115221465557241</v>
      </c>
      <c r="BG29" s="22">
        <f t="shared" si="7"/>
        <v>222.51293238584552</v>
      </c>
      <c r="BH29" s="60">
        <f t="shared" si="8"/>
        <v>452.7996464350357</v>
      </c>
      <c r="BI29" s="60">
        <f ca="1">AVERAGE(OFFSET($BH$3,0,0,'Données projet'!$E$11+1,1))-AVERAGE(OFFSET($H$3,0,0,'Données projet'!$E$11+1,1))</f>
        <v>336.25341821407534</v>
      </c>
      <c r="BJ29" s="60">
        <f t="shared" si="38"/>
        <v>360.3246221345039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69.669600000000003</v>
      </c>
      <c r="CA29" s="14">
        <f t="shared" si="39"/>
        <v>19.591385027476957</v>
      </c>
      <c r="CB29" s="22">
        <f t="shared" si="10"/>
        <v>155.46288225618903</v>
      </c>
      <c r="CC29" s="60">
        <f t="shared" si="11"/>
        <v>385.74959630537921</v>
      </c>
      <c r="CD29" s="60">
        <f ca="1">AVERAGE(OFFSET($CC$3,0,0,'Données projet'!$E$12+1,1))-AVERAGE(OFFSET($H$3,0,0,'Données projet'!$E$12+1,1))</f>
        <v>469.67944008675863</v>
      </c>
      <c r="CE29" s="60">
        <f t="shared" si="40"/>
        <v>266.11908070867173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97.499999999999972</v>
      </c>
      <c r="CU29" s="18">
        <f>CT29*VLOOKUP('Données projet'!$B$13,Paramètres!$A$1:$I$89,3,0)*VLOOKUP('Données projet'!$B$13,Paramètres!$A$1:$I$89,5,0)</f>
        <v>76.049999999999983</v>
      </c>
      <c r="CV29" s="14">
        <f t="shared" si="41"/>
        <v>21.168560890749262</v>
      </c>
      <c r="CW29" s="22">
        <f t="shared" si="13"/>
        <v>169.32232688472158</v>
      </c>
      <c r="CX29" s="60">
        <f t="shared" si="14"/>
        <v>399.60904093391173</v>
      </c>
      <c r="CY29" s="60">
        <f ca="1">AVERAGE(OFFSET($CX$3,0,0,'Données projet'!$E$13+1,1))-AVERAGE(OFFSET($H$3,0,0,'Données projet'!$E$13+1,1))</f>
        <v>312.59632808777332</v>
      </c>
      <c r="CZ29" s="60">
        <f t="shared" si="42"/>
        <v>302.59481222418219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6.5384615384615357</v>
      </c>
      <c r="DO29" s="13">
        <f>IF('Données projet'!$A$166&gt;35,DO28+DN29-DW28,IF(A29&lt;'Données projet'!$A$166,$DL$205^A29,IF(A29='Données projet'!$A$166,'Données projet'!$B$166,DO28+DN29-DW28)))</f>
        <v>90.512820512820525</v>
      </c>
      <c r="DP29" s="18">
        <f>DO29*VLOOKUP('Données projet'!$B$14,Paramètres!$A$1:$I$89,3,0)*VLOOKUP('Données projet'!$B$14,Paramètres!$A$1:$I$89,5,0)</f>
        <v>86.132000000000019</v>
      </c>
      <c r="DQ29" s="14">
        <f t="shared" si="43"/>
        <v>23.629984954025307</v>
      </c>
      <c r="DR29" s="22">
        <f t="shared" si="16"/>
        <v>191.16879046159409</v>
      </c>
      <c r="DS29" s="60">
        <f t="shared" si="17"/>
        <v>421.45550451078429</v>
      </c>
      <c r="DT29" s="60">
        <f ca="1">AVERAGE(OFFSET($DS$3,0,0,'Données projet'!$E$14+1,1))-AVERAGE(OFFSET($H$3,0,0,'Données projet'!$E$14+1,1))</f>
        <v>398.29746143975166</v>
      </c>
      <c r="DU29" s="60">
        <f t="shared" si="44"/>
        <v>300.63705521148802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77</v>
      </c>
      <c r="EK29" s="18">
        <f>EJ29*VLOOKUP('Données projet'!$B$15,Paramètres!$A$1:$I$89,3,0)*VLOOKUP('Données projet'!$B$15,Paramètres!$A$1:$I$89,5,0)</f>
        <v>74.474400000000003</v>
      </c>
      <c r="EL29" s="14">
        <f t="shared" si="45"/>
        <v>20.780570274034375</v>
      </c>
      <c r="EM29" s="22">
        <f t="shared" si="19"/>
        <v>165.90240656060988</v>
      </c>
      <c r="EN29" s="60">
        <f t="shared" si="20"/>
        <v>396.18912060980006</v>
      </c>
      <c r="EO29" s="60">
        <f ca="1">AVERAGE(OFFSET($EN$3,0,0,'Données projet'!$E$15+1,1))-AVERAGE(OFFSET($H$3,0,0,'Données projet'!$E$15+1,1))</f>
        <v>496.33873798282525</v>
      </c>
      <c r="EP29" s="60">
        <f t="shared" si="46"/>
        <v>280.25465074992246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12</v>
      </c>
      <c r="FE29" s="13">
        <f>IF('Données projet'!$A$218&gt;35,FE28+FD29-FM28,IF(A29&lt;'Données projet'!$A$218,$FB$205^A29,IF(A29='Données projet'!$A$218,'Données projet'!$B$218,FE28+FD29-FM28)))</f>
        <v>126.5</v>
      </c>
      <c r="FF29" s="18">
        <f>FE29*VLOOKUP('Données projet'!$B$16,Paramètres!$A$1:$I$89,3,0)*VLOOKUP('Données projet'!$B$16,Paramètres!$A$1:$I$89,5,0)</f>
        <v>110.5104</v>
      </c>
      <c r="FG29" s="14">
        <f t="shared" si="47"/>
        <v>29.451206375056387</v>
      </c>
      <c r="FH29" s="22">
        <f t="shared" si="22"/>
        <v>243.76646443655656</v>
      </c>
      <c r="FI29" s="60">
        <f t="shared" si="23"/>
        <v>474.05317848574674</v>
      </c>
      <c r="FJ29" s="60">
        <f ca="1">AVERAGE(OFFSET($FI$3,0,0,'Données projet'!$E$16+1,1))-AVERAGE(OFFSET($H$3,0,0,'Données projet'!$E$16+1,1))</f>
        <v>363.28611056308665</v>
      </c>
      <c r="FK29" s="60">
        <f t="shared" si="48"/>
        <v>389.43647559455974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8.0769230769230802</v>
      </c>
      <c r="FZ29" s="13">
        <f>IF('Données projet'!$A$244&gt;35,FZ28+FY29-GH28,IF(A29&lt;'Données projet'!$A$244,$FW$205^A29,IF(A29='Données projet'!$A$244,'Données projet'!$B$244,FZ28+FY29-GH28)))</f>
        <v>117.05128205128209</v>
      </c>
      <c r="GA29" s="18">
        <f>FZ29*VLOOKUP('Données projet'!$B$17,Paramètres!$A$1:$I$89,3,0)*VLOOKUP('Données projet'!$B$17,Paramètres!$A$1:$I$89,5,0)</f>
        <v>78.518000000000029</v>
      </c>
      <c r="GB29" s="14">
        <f t="shared" si="49"/>
        <v>21.774434027551713</v>
      </c>
      <c r="GC29" s="22">
        <f t="shared" si="25"/>
        <v>174.6759892646526</v>
      </c>
      <c r="GD29" s="60">
        <f t="shared" si="26"/>
        <v>404.96270331384278</v>
      </c>
      <c r="GE29" s="60">
        <f ca="1">AVERAGE(OFFSET($GD$3,0,0,'Données projet'!$E$17+1,1))-AVERAGE(OFFSET($H$3,0,0,'Données projet'!$E$17+1,1))</f>
        <v>344.62096650402731</v>
      </c>
      <c r="GF29" s="60">
        <f t="shared" si="50"/>
        <v>277.30931495079346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13.6</v>
      </c>
      <c r="N30" s="14">
        <f>IF('Données projet'!$A$36&gt;35,N29+M30-V29,IF(A30&lt;'Données projet'!$A$36,$K$205^A30,IF(A30='Données projet'!$A$36,'Données projet'!$B$36,N29+M30-V29)))</f>
        <v>110.2</v>
      </c>
      <c r="O30" s="14">
        <f>N30*VLOOKUP('Données projet'!$B$9,Paramètres!$A$1:$I$89,3,0)*VLOOKUP('Données projet'!$B$9,Paramètres!$A$1:$I$89,5,0)</f>
        <v>94.551600000000008</v>
      </c>
      <c r="P30" s="14">
        <f t="shared" si="33"/>
        <v>25.659789500392876</v>
      </c>
      <c r="Q30" s="22">
        <f t="shared" si="2"/>
        <v>209.36817004651758</v>
      </c>
      <c r="R30" s="60">
        <f t="shared" si="0"/>
        <v>441.88601291908105</v>
      </c>
      <c r="S30" s="60">
        <f ca="1">AVERAGE(OFFSET($R$3,0,0,'Données projet'!$E$9+1,1))-AVERAGE(OFFSET($H$3,0,0,'Données projet'!$E$9+1,1))</f>
        <v>632.26350546340541</v>
      </c>
      <c r="T30" s="60">
        <f t="shared" si="34"/>
        <v>340.45335016367915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</v>
      </c>
      <c r="AI30" s="14">
        <f>IF('Données projet'!$A$62&gt;35,AI29+AH30-AQ29,IF(A30&lt;'Données projet'!$A$62,$AF$205^A30,IF(A30='Données projet'!$A$62,'Données projet'!$B$62,AI29+AH30-AQ29)))</f>
        <v>138.5</v>
      </c>
      <c r="AJ30" s="14">
        <f>AI30*VLOOKUP('Données projet'!$B$10,Paramètres!$A$1:$I$89,3,0)*VLOOKUP('Données projet'!$B$10,Paramètres!$A$1:$I$89,5,0)</f>
        <v>110.19060000000002</v>
      </c>
      <c r="AK30" s="14">
        <f t="shared" si="35"/>
        <v>29.375886893482836</v>
      </c>
      <c r="AL30" s="22">
        <f t="shared" si="4"/>
        <v>243.07829800614925</v>
      </c>
      <c r="AM30" s="60">
        <f t="shared" si="5"/>
        <v>475.59614087871273</v>
      </c>
      <c r="AN30" s="60">
        <f ca="1">AVERAGE(OFFSET($AM$3,0,0,'Données projet'!$E$10+1,1))-AVERAGE(OFFSET($H$3,0,0,'Données projet'!$E$10+1,1))</f>
        <v>336.25341821407534</v>
      </c>
      <c r="AO30" s="60">
        <f t="shared" si="36"/>
        <v>360.3246221345039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138.5</v>
      </c>
      <c r="BE30" s="14">
        <f>BD30*VLOOKUP('Données projet'!$B$11,Paramètres!$A$1:$I$89,3,0)*VLOOKUP('Données projet'!$B$11,Paramètres!$A$1:$I$89,5,0)</f>
        <v>110.19060000000002</v>
      </c>
      <c r="BF30" s="14">
        <f t="shared" si="37"/>
        <v>29.375886893482836</v>
      </c>
      <c r="BG30" s="22">
        <f t="shared" si="7"/>
        <v>243.07829800614925</v>
      </c>
      <c r="BH30" s="60">
        <f t="shared" si="8"/>
        <v>475.59614087871273</v>
      </c>
      <c r="BI30" s="60">
        <f ca="1">AVERAGE(OFFSET($BH$3,0,0,'Données projet'!$E$11+1,1))-AVERAGE(OFFSET($H$3,0,0,'Données projet'!$E$11+1,1))</f>
        <v>336.25341821407534</v>
      </c>
      <c r="BJ30" s="60">
        <f t="shared" si="38"/>
        <v>360.3246221345039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76.003200000000007</v>
      </c>
      <c r="CA30" s="14">
        <f t="shared" si="39"/>
        <v>21.157049992000456</v>
      </c>
      <c r="CB30" s="22">
        <f t="shared" si="10"/>
        <v>169.22076873606747</v>
      </c>
      <c r="CC30" s="60">
        <f t="shared" si="11"/>
        <v>401.738611608631</v>
      </c>
      <c r="CD30" s="60">
        <f ca="1">AVERAGE(OFFSET($CC$3,0,0,'Données projet'!$E$12+1,1))-AVERAGE(OFFSET($H$3,0,0,'Données projet'!$E$12+1,1))</f>
        <v>469.67944008675863</v>
      </c>
      <c r="CE30" s="60">
        <f t="shared" si="40"/>
        <v>266.11908070867173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108.99999999999997</v>
      </c>
      <c r="CU30" s="18">
        <f>CT30*VLOOKUP('Données projet'!$B$13,Paramètres!$A$1:$I$89,3,0)*VLOOKUP('Données projet'!$B$13,Paramètres!$A$1:$I$89,5,0)</f>
        <v>85.019999999999982</v>
      </c>
      <c r="CV30" s="14">
        <f t="shared" si="41"/>
        <v>23.360218970693108</v>
      </c>
      <c r="CW30" s="22">
        <f t="shared" si="13"/>
        <v>188.76221470729047</v>
      </c>
      <c r="CX30" s="60">
        <f t="shared" si="14"/>
        <v>421.28005757985397</v>
      </c>
      <c r="CY30" s="60">
        <f ca="1">AVERAGE(OFFSET($CX$3,0,0,'Données projet'!$E$13+1,1))-AVERAGE(OFFSET($H$3,0,0,'Données projet'!$E$13+1,1))</f>
        <v>312.59632808777332</v>
      </c>
      <c r="CZ30" s="60">
        <f t="shared" si="42"/>
        <v>302.59481222418219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6.5384615384615357</v>
      </c>
      <c r="DO30" s="13">
        <f>IF('Données projet'!$A$166&gt;35,DO29+DN30-DW29,IF(A30&lt;'Données projet'!$A$166,$DL$205^A30,IF(A30='Données projet'!$A$166,'Données projet'!$B$166,DO29+DN30-DW29)))</f>
        <v>97.051282051282058</v>
      </c>
      <c r="DP30" s="18">
        <f>DO30*VLOOKUP('Données projet'!$B$14,Paramètres!$A$1:$I$89,3,0)*VLOOKUP('Données projet'!$B$14,Paramètres!$A$1:$I$89,5,0)</f>
        <v>92.354000000000013</v>
      </c>
      <c r="DQ30" s="14">
        <f t="shared" si="43"/>
        <v>25.132097180965346</v>
      </c>
      <c r="DR30" s="22">
        <f t="shared" si="16"/>
        <v>204.62161925684799</v>
      </c>
      <c r="DS30" s="60">
        <f t="shared" si="17"/>
        <v>437.13946212941153</v>
      </c>
      <c r="DT30" s="60">
        <f ca="1">AVERAGE(OFFSET($DS$3,0,0,'Données projet'!$E$14+1,1))-AVERAGE(OFFSET($H$3,0,0,'Données projet'!$E$14+1,1))</f>
        <v>398.29746143975166</v>
      </c>
      <c r="DU30" s="60">
        <f t="shared" si="44"/>
        <v>300.63705521148802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84</v>
      </c>
      <c r="EK30" s="18">
        <f>EJ30*VLOOKUP('Données projet'!$B$15,Paramètres!$A$1:$I$89,3,0)*VLOOKUP('Données projet'!$B$15,Paramètres!$A$1:$I$89,5,0)</f>
        <v>81.244799999999998</v>
      </c>
      <c r="EL30" s="14">
        <f t="shared" si="45"/>
        <v>22.441270156928962</v>
      </c>
      <c r="EM30" s="22">
        <f t="shared" si="19"/>
        <v>180.58657218998462</v>
      </c>
      <c r="EN30" s="60">
        <f t="shared" si="20"/>
        <v>413.10441506254813</v>
      </c>
      <c r="EO30" s="60">
        <f ca="1">AVERAGE(OFFSET($EN$3,0,0,'Données projet'!$E$15+1,1))-AVERAGE(OFFSET($H$3,0,0,'Données projet'!$E$15+1,1))</f>
        <v>496.33873798282525</v>
      </c>
      <c r="EP30" s="60">
        <f t="shared" si="46"/>
        <v>280.25465074992246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12</v>
      </c>
      <c r="FE30" s="13">
        <f>IF('Données projet'!$A$218&gt;35,FE29+FD30-FM29,IF(A30&lt;'Données projet'!$A$218,$FB$205^A30,IF(A30='Données projet'!$A$218,'Données projet'!$B$218,FE29+FD30-FM29)))</f>
        <v>138.5</v>
      </c>
      <c r="FF30" s="18">
        <f>FE30*VLOOKUP('Données projet'!$B$16,Paramètres!$A$1:$I$89,3,0)*VLOOKUP('Données projet'!$B$16,Paramètres!$A$1:$I$89,5,0)</f>
        <v>120.9936</v>
      </c>
      <c r="FG30" s="14">
        <f t="shared" si="47"/>
        <v>31.906628844954461</v>
      </c>
      <c r="FH30" s="22">
        <f t="shared" si="22"/>
        <v>266.30123190496232</v>
      </c>
      <c r="FI30" s="60">
        <f t="shared" si="23"/>
        <v>498.81907477752583</v>
      </c>
      <c r="FJ30" s="60">
        <f ca="1">AVERAGE(OFFSET($FI$3,0,0,'Données projet'!$E$16+1,1))-AVERAGE(OFFSET($H$3,0,0,'Données projet'!$E$16+1,1))</f>
        <v>363.28611056308665</v>
      </c>
      <c r="FK30" s="60">
        <f t="shared" si="48"/>
        <v>389.43647559455974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8.0769230769230802</v>
      </c>
      <c r="FZ30" s="13">
        <f>IF('Données projet'!$A$244&gt;35,FZ29+FY30-GH29,IF(A30&lt;'Données projet'!$A$244,$FW$205^A30,IF(A30='Données projet'!$A$244,'Données projet'!$B$244,FZ29+FY30-GH29)))</f>
        <v>125.12820512820517</v>
      </c>
      <c r="GA30" s="18">
        <f>FZ30*VLOOKUP('Données projet'!$B$17,Paramètres!$A$1:$I$89,3,0)*VLOOKUP('Données projet'!$B$17,Paramètres!$A$1:$I$89,5,0)</f>
        <v>83.936000000000021</v>
      </c>
      <c r="GB30" s="14">
        <f t="shared" si="49"/>
        <v>23.096850074431298</v>
      </c>
      <c r="GC30" s="22">
        <f t="shared" si="25"/>
        <v>186.41554721296791</v>
      </c>
      <c r="GD30" s="60">
        <f t="shared" si="26"/>
        <v>418.93339008553141</v>
      </c>
      <c r="GE30" s="60">
        <f ca="1">AVERAGE(OFFSET($GD$3,0,0,'Données projet'!$E$17+1,1))-AVERAGE(OFFSET($H$3,0,0,'Données projet'!$E$17+1,1))</f>
        <v>344.62096650402731</v>
      </c>
      <c r="GF30" s="60">
        <f t="shared" si="50"/>
        <v>277.30931495079346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13.6</v>
      </c>
      <c r="N31" s="14">
        <f>IF('Données projet'!$A$36&gt;35,N30+M31-V30,IF(A31&lt;'Données projet'!$A$36,$K$205^A31,IF(A31='Données projet'!$A$36,'Données projet'!$B$36,N30+M31-V30)))</f>
        <v>123.8</v>
      </c>
      <c r="O31" s="14">
        <f>N31*VLOOKUP('Données projet'!$B$9,Paramètres!$A$1:$I$89,3,0)*VLOOKUP('Données projet'!$B$9,Paramètres!$A$1:$I$89,5,0)</f>
        <v>106.22040000000001</v>
      </c>
      <c r="P31" s="14">
        <f t="shared" si="33"/>
        <v>28.438677354079406</v>
      </c>
      <c r="Q31" s="22">
        <f t="shared" si="2"/>
        <v>234.53122639168828</v>
      </c>
      <c r="R31" s="60">
        <f t="shared" si="0"/>
        <v>469.26269581367239</v>
      </c>
      <c r="S31" s="60">
        <f ca="1">AVERAGE(OFFSET($R$3,0,0,'Données projet'!$E$9+1,1))-AVERAGE(OFFSET($H$3,0,0,'Données projet'!$E$9+1,1))</f>
        <v>632.26350546340541</v>
      </c>
      <c r="T31" s="60">
        <f t="shared" si="34"/>
        <v>340.45335016367915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</v>
      </c>
      <c r="AI31" s="14">
        <f>IF('Données projet'!$A$62&gt;35,AI30+AH31-AQ30,IF(A31&lt;'Données projet'!$A$62,$AF$205^A31,IF(A31='Données projet'!$A$62,'Données projet'!$B$62,AI30+AH31-AQ30)))</f>
        <v>150.5</v>
      </c>
      <c r="AJ31" s="14">
        <f>AI31*VLOOKUP('Données projet'!$B$10,Paramètres!$A$1:$I$89,3,0)*VLOOKUP('Données projet'!$B$10,Paramètres!$A$1:$I$89,5,0)</f>
        <v>119.73779999999999</v>
      </c>
      <c r="AK31" s="14">
        <f t="shared" si="35"/>
        <v>31.61383766685427</v>
      </c>
      <c r="AL31" s="22">
        <f t="shared" si="4"/>
        <v>263.6041022697712</v>
      </c>
      <c r="AM31" s="60">
        <f t="shared" si="5"/>
        <v>498.33557169175526</v>
      </c>
      <c r="AN31" s="60">
        <f ca="1">AVERAGE(OFFSET($AM$3,0,0,'Données projet'!$E$10+1,1))-AVERAGE(OFFSET($H$3,0,0,'Données projet'!$E$10+1,1))</f>
        <v>336.25341821407534</v>
      </c>
      <c r="AO31" s="60">
        <f t="shared" si="36"/>
        <v>360.3246221345039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150.5</v>
      </c>
      <c r="BE31" s="14">
        <f>BD31*VLOOKUP('Données projet'!$B$11,Paramètres!$A$1:$I$89,3,0)*VLOOKUP('Données projet'!$B$11,Paramètres!$A$1:$I$89,5,0)</f>
        <v>119.73779999999999</v>
      </c>
      <c r="BF31" s="14">
        <f t="shared" si="37"/>
        <v>31.61383766685427</v>
      </c>
      <c r="BG31" s="22">
        <f t="shared" si="7"/>
        <v>263.6041022697712</v>
      </c>
      <c r="BH31" s="60">
        <f t="shared" si="8"/>
        <v>498.33557169175526</v>
      </c>
      <c r="BI31" s="60">
        <f ca="1">AVERAGE(OFFSET($BH$3,0,0,'Données projet'!$E$11+1,1))-AVERAGE(OFFSET($H$3,0,0,'Données projet'!$E$11+1,1))</f>
        <v>336.25341821407534</v>
      </c>
      <c r="BJ31" s="60">
        <f t="shared" si="38"/>
        <v>360.3246221345039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82.336799999999997</v>
      </c>
      <c r="CA31" s="14">
        <f t="shared" si="39"/>
        <v>22.707582950885364</v>
      </c>
      <c r="CB31" s="22">
        <f t="shared" si="10"/>
        <v>182.95230030612535</v>
      </c>
      <c r="CC31" s="60">
        <f t="shared" si="11"/>
        <v>417.68376972810944</v>
      </c>
      <c r="CD31" s="60">
        <f ca="1">AVERAGE(OFFSET($CC$3,0,0,'Données projet'!$E$12+1,1))-AVERAGE(OFFSET($H$3,0,0,'Données projet'!$E$12+1,1))</f>
        <v>469.67944008675863</v>
      </c>
      <c r="CE31" s="60">
        <f t="shared" si="40"/>
        <v>266.11908070867173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120.49999999999997</v>
      </c>
      <c r="CU31" s="18">
        <f>CT31*VLOOKUP('Données projet'!$B$13,Paramètres!$A$1:$I$89,3,0)*VLOOKUP('Données projet'!$B$13,Paramètres!$A$1:$I$89,5,0)</f>
        <v>93.989999999999981</v>
      </c>
      <c r="CV31" s="14">
        <f t="shared" si="41"/>
        <v>25.525074036970079</v>
      </c>
      <c r="CW31" s="22">
        <f t="shared" si="13"/>
        <v>208.15542061438953</v>
      </c>
      <c r="CX31" s="60">
        <f t="shared" si="14"/>
        <v>442.88689003637364</v>
      </c>
      <c r="CY31" s="60">
        <f ca="1">AVERAGE(OFFSET($CX$3,0,0,'Données projet'!$E$13+1,1))-AVERAGE(OFFSET($H$3,0,0,'Données projet'!$E$13+1,1))</f>
        <v>312.59632808777332</v>
      </c>
      <c r="CZ31" s="60">
        <f t="shared" si="42"/>
        <v>302.59481222418219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6.5384615384615357</v>
      </c>
      <c r="DO31" s="13">
        <f>IF('Données projet'!$A$166&gt;35,DO30+DN31-DW30,IF(A31&lt;'Données projet'!$A$166,$DL$205^A31,IF(A31='Données projet'!$A$166,'Données projet'!$B$166,DO30+DN31-DW30)))</f>
        <v>103.58974358974359</v>
      </c>
      <c r="DP31" s="18">
        <f>DO31*VLOOKUP('Données projet'!$B$14,Paramètres!$A$1:$I$89,3,0)*VLOOKUP('Données projet'!$B$14,Paramètres!$A$1:$I$89,5,0)</f>
        <v>98.576000000000008</v>
      </c>
      <c r="DQ31" s="14">
        <f t="shared" si="43"/>
        <v>26.622466525409418</v>
      </c>
      <c r="DR31" s="22">
        <f t="shared" si="16"/>
        <v>218.05399586508807</v>
      </c>
      <c r="DS31" s="60">
        <f t="shared" si="17"/>
        <v>452.78546528707216</v>
      </c>
      <c r="DT31" s="60">
        <f ca="1">AVERAGE(OFFSET($DS$3,0,0,'Données projet'!$E$14+1,1))-AVERAGE(OFFSET($H$3,0,0,'Données projet'!$E$14+1,1))</f>
        <v>398.29746143975166</v>
      </c>
      <c r="DU31" s="60">
        <f t="shared" si="44"/>
        <v>300.63705521148802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91</v>
      </c>
      <c r="EK31" s="18">
        <f>EJ31*VLOOKUP('Données projet'!$B$15,Paramètres!$A$1:$I$89,3,0)*VLOOKUP('Données projet'!$B$15,Paramètres!$A$1:$I$89,5,0)</f>
        <v>88.015200000000007</v>
      </c>
      <c r="EL31" s="14">
        <f t="shared" si="45"/>
        <v>24.085919530575829</v>
      </c>
      <c r="EM31" s="22">
        <f t="shared" si="19"/>
        <v>195.24278318241954</v>
      </c>
      <c r="EN31" s="60">
        <f t="shared" si="20"/>
        <v>429.97425260440366</v>
      </c>
      <c r="EO31" s="60">
        <f ca="1">AVERAGE(OFFSET($EN$3,0,0,'Données projet'!$E$15+1,1))-AVERAGE(OFFSET($H$3,0,0,'Données projet'!$E$15+1,1))</f>
        <v>496.33873798282525</v>
      </c>
      <c r="EP31" s="60">
        <f t="shared" si="46"/>
        <v>280.25465074992246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12</v>
      </c>
      <c r="FE31" s="13">
        <f>IF('Données projet'!$A$218&gt;35,FE30+FD31-FM30,IF(A31&lt;'Données projet'!$A$218,$FB$205^A31,IF(A31='Données projet'!$A$218,'Données projet'!$B$218,FE30+FD31-FM30)))</f>
        <v>150.5</v>
      </c>
      <c r="FF31" s="18">
        <f>FE31*VLOOKUP('Données projet'!$B$16,Paramètres!$A$1:$I$89,3,0)*VLOOKUP('Données projet'!$B$16,Paramètres!$A$1:$I$89,5,0)</f>
        <v>131.4768</v>
      </c>
      <c r="FG31" s="14">
        <f t="shared" si="47"/>
        <v>34.337379785620797</v>
      </c>
      <c r="FH31" s="22">
        <f t="shared" si="22"/>
        <v>288.79302979328958</v>
      </c>
      <c r="FI31" s="60">
        <f t="shared" si="23"/>
        <v>523.52449921527364</v>
      </c>
      <c r="FJ31" s="60">
        <f ca="1">AVERAGE(OFFSET($FI$3,0,0,'Données projet'!$E$16+1,1))-AVERAGE(OFFSET($H$3,0,0,'Données projet'!$E$16+1,1))</f>
        <v>363.28611056308665</v>
      </c>
      <c r="FK31" s="60">
        <f t="shared" si="48"/>
        <v>389.43647559455974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8.0769230769230802</v>
      </c>
      <c r="FZ31" s="13">
        <f>IF('Données projet'!$A$244&gt;35,FZ30+FY31-GH30,IF(A31&lt;'Données projet'!$A$244,$FW$205^A31,IF(A31='Données projet'!$A$244,'Données projet'!$B$244,FZ30+FY31-GH30)))</f>
        <v>133.20512820512823</v>
      </c>
      <c r="GA31" s="18">
        <f>FZ31*VLOOKUP('Données projet'!$B$17,Paramètres!$A$1:$I$89,3,0)*VLOOKUP('Données projet'!$B$17,Paramètres!$A$1:$I$89,5,0)</f>
        <v>89.354000000000013</v>
      </c>
      <c r="GB31" s="14">
        <f t="shared" si="49"/>
        <v>24.40936009026365</v>
      </c>
      <c r="GC31" s="22">
        <f t="shared" si="25"/>
        <v>198.13785215720918</v>
      </c>
      <c r="GD31" s="60">
        <f t="shared" si="26"/>
        <v>432.8693215791933</v>
      </c>
      <c r="GE31" s="60">
        <f ca="1">AVERAGE(OFFSET($GD$3,0,0,'Données projet'!$E$17+1,1))-AVERAGE(OFFSET($H$3,0,0,'Données projet'!$E$17+1,1))</f>
        <v>344.62096650402731</v>
      </c>
      <c r="GF31" s="60">
        <f t="shared" si="50"/>
        <v>277.30931495079346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13.6</v>
      </c>
      <c r="N32" s="14">
        <f>IF('Données projet'!$A$36&gt;35,N31+M32-V31,IF(A32&lt;'Données projet'!$A$36,$K$205^A32,IF(A32='Données projet'!$A$36,'Données projet'!$B$36,N31+M32-V31)))</f>
        <v>137.4</v>
      </c>
      <c r="O32" s="14">
        <f>N32*VLOOKUP('Données projet'!$B$9,Paramètres!$A$1:$I$89,3,0)*VLOOKUP('Données projet'!$B$9,Paramètres!$A$1:$I$89,5,0)</f>
        <v>117.88920000000002</v>
      </c>
      <c r="P32" s="14">
        <f t="shared" si="33"/>
        <v>31.182182531402287</v>
      </c>
      <c r="Q32" s="22">
        <f t="shared" si="2"/>
        <v>259.63265790885896</v>
      </c>
      <c r="R32" s="60">
        <f t="shared" si="0"/>
        <v>496.56055523163479</v>
      </c>
      <c r="S32" s="60">
        <f ca="1">AVERAGE(OFFSET($R$3,0,0,'Données projet'!$E$9+1,1))-AVERAGE(OFFSET($H$3,0,0,'Données projet'!$E$9+1,1))</f>
        <v>632.26350546340541</v>
      </c>
      <c r="T32" s="60">
        <f t="shared" si="34"/>
        <v>340.45335016367915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</v>
      </c>
      <c r="AI32" s="14">
        <f>IF('Données projet'!$A$62&gt;35,AI31+AH32-AQ31,IF(A32&lt;'Données projet'!$A$62,$AF$205^A32,IF(A32='Données projet'!$A$62,'Données projet'!$B$62,AI31+AH32-AQ31)))</f>
        <v>162.5</v>
      </c>
      <c r="AJ32" s="14">
        <f>AI32*VLOOKUP('Données projet'!$B$10,Paramètres!$A$1:$I$89,3,0)*VLOOKUP('Données projet'!$B$10,Paramètres!$A$1:$I$89,5,0)</f>
        <v>129.285</v>
      </c>
      <c r="AK32" s="14">
        <f t="shared" si="35"/>
        <v>33.831090831224039</v>
      </c>
      <c r="AL32" s="22">
        <f t="shared" si="4"/>
        <v>284.09385819771518</v>
      </c>
      <c r="AM32" s="60">
        <f t="shared" si="5"/>
        <v>521.02175552049107</v>
      </c>
      <c r="AN32" s="60">
        <f ca="1">AVERAGE(OFFSET($AM$3,0,0,'Données projet'!$E$10+1,1))-AVERAGE(OFFSET($H$3,0,0,'Données projet'!$E$10+1,1))</f>
        <v>336.25341821407534</v>
      </c>
      <c r="AO32" s="60">
        <f t="shared" si="36"/>
        <v>360.3246221345039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162.5</v>
      </c>
      <c r="BE32" s="14">
        <f>BD32*VLOOKUP('Données projet'!$B$11,Paramètres!$A$1:$I$89,3,0)*VLOOKUP('Données projet'!$B$11,Paramètres!$A$1:$I$89,5,0)</f>
        <v>129.285</v>
      </c>
      <c r="BF32" s="14">
        <f t="shared" si="37"/>
        <v>33.831090831224039</v>
      </c>
      <c r="BG32" s="22">
        <f t="shared" si="7"/>
        <v>284.09385819771518</v>
      </c>
      <c r="BH32" s="60">
        <f t="shared" si="8"/>
        <v>521.02175552049107</v>
      </c>
      <c r="BI32" s="60">
        <f ca="1">AVERAGE(OFFSET($BH$3,0,0,'Données projet'!$E$11+1,1))-AVERAGE(OFFSET($H$3,0,0,'Données projet'!$E$11+1,1))</f>
        <v>336.25341821407534</v>
      </c>
      <c r="BJ32" s="60">
        <f t="shared" si="38"/>
        <v>360.3246221345039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88.670400000000001</v>
      </c>
      <c r="CA32" s="14">
        <f t="shared" si="39"/>
        <v>24.244280250395512</v>
      </c>
      <c r="CB32" s="22">
        <f t="shared" si="10"/>
        <v>196.65973476943884</v>
      </c>
      <c r="CC32" s="60">
        <f t="shared" si="11"/>
        <v>433.58763209221468</v>
      </c>
      <c r="CD32" s="60">
        <f ca="1">AVERAGE(OFFSET($CC$3,0,0,'Données projet'!$E$12+1,1))-AVERAGE(OFFSET($H$3,0,0,'Données projet'!$E$12+1,1))</f>
        <v>469.67944008675863</v>
      </c>
      <c r="CE32" s="60">
        <f t="shared" si="40"/>
        <v>266.11908070867173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131.99999999999997</v>
      </c>
      <c r="CU32" s="18">
        <f>CT32*VLOOKUP('Données projet'!$B$13,Paramètres!$A$1:$I$89,3,0)*VLOOKUP('Données projet'!$B$13,Paramètres!$A$1:$I$89,5,0)</f>
        <v>102.95999999999998</v>
      </c>
      <c r="CV32" s="14">
        <f t="shared" si="41"/>
        <v>27.665975080374633</v>
      </c>
      <c r="CW32" s="22">
        <f t="shared" si="13"/>
        <v>227.50690659831912</v>
      </c>
      <c r="CX32" s="60">
        <f t="shared" si="14"/>
        <v>464.43480392109495</v>
      </c>
      <c r="CY32" s="60">
        <f ca="1">AVERAGE(OFFSET($CX$3,0,0,'Données projet'!$E$13+1,1))-AVERAGE(OFFSET($H$3,0,0,'Données projet'!$E$13+1,1))</f>
        <v>312.59632808777332</v>
      </c>
      <c r="CZ32" s="60">
        <f t="shared" si="42"/>
        <v>302.59481222418219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6.5384615384615357</v>
      </c>
      <c r="DO32" s="13">
        <f>IF('Données projet'!$A$166&gt;35,DO31+DN32-DW31,IF(A32&lt;'Données projet'!$A$166,$DL$205^A32,IF(A32='Données projet'!$A$166,'Données projet'!$B$166,DO31+DN32-DW31)))</f>
        <v>110.12820512820512</v>
      </c>
      <c r="DP32" s="18">
        <f>DO32*VLOOKUP('Données projet'!$B$14,Paramètres!$A$1:$I$89,3,0)*VLOOKUP('Données projet'!$B$14,Paramètres!$A$1:$I$89,5,0)</f>
        <v>104.79799999999999</v>
      </c>
      <c r="DQ32" s="14">
        <f t="shared" si="43"/>
        <v>28.101918557678896</v>
      </c>
      <c r="DR32" s="22">
        <f t="shared" si="16"/>
        <v>231.46735815462407</v>
      </c>
      <c r="DS32" s="60">
        <f t="shared" si="17"/>
        <v>468.39525547739993</v>
      </c>
      <c r="DT32" s="60">
        <f ca="1">AVERAGE(OFFSET($DS$3,0,0,'Données projet'!$E$14+1,1))-AVERAGE(OFFSET($H$3,0,0,'Données projet'!$E$14+1,1))</f>
        <v>398.29746143975166</v>
      </c>
      <c r="DU32" s="60">
        <f t="shared" si="44"/>
        <v>300.63705521148802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98</v>
      </c>
      <c r="EK32" s="18">
        <f>EJ32*VLOOKUP('Données projet'!$B$15,Paramètres!$A$1:$I$89,3,0)*VLOOKUP('Données projet'!$B$15,Paramètres!$A$1:$I$89,5,0)</f>
        <v>94.785600000000002</v>
      </c>
      <c r="EL32" s="14">
        <f t="shared" si="45"/>
        <v>25.715893428674526</v>
      </c>
      <c r="EM32" s="22">
        <f t="shared" si="19"/>
        <v>209.87343438827483</v>
      </c>
      <c r="EN32" s="60">
        <f t="shared" si="20"/>
        <v>446.80133171105069</v>
      </c>
      <c r="EO32" s="60">
        <f ca="1">AVERAGE(OFFSET($EN$3,0,0,'Données projet'!$E$15+1,1))-AVERAGE(OFFSET($H$3,0,0,'Données projet'!$E$15+1,1))</f>
        <v>496.33873798282525</v>
      </c>
      <c r="EP32" s="60">
        <f t="shared" si="46"/>
        <v>280.25465074992246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12</v>
      </c>
      <c r="FE32" s="13">
        <f>IF('Données projet'!$A$218&gt;35,FE31+FD32-FM31,IF(A32&lt;'Données projet'!$A$218,$FB$205^A32,IF(A32='Données projet'!$A$218,'Données projet'!$B$218,FE31+FD32-FM31)))</f>
        <v>162.5</v>
      </c>
      <c r="FF32" s="18">
        <f>FE32*VLOOKUP('Données projet'!$B$16,Paramètres!$A$1:$I$89,3,0)*VLOOKUP('Données projet'!$B$16,Paramètres!$A$1:$I$89,5,0)</f>
        <v>141.96000000000004</v>
      </c>
      <c r="FG32" s="14">
        <f t="shared" si="47"/>
        <v>36.745650011720485</v>
      </c>
      <c r="FH32" s="22">
        <f t="shared" si="22"/>
        <v>311.24567377041325</v>
      </c>
      <c r="FI32" s="60">
        <f t="shared" si="23"/>
        <v>548.17357109318914</v>
      </c>
      <c r="FJ32" s="60">
        <f ca="1">AVERAGE(OFFSET($FI$3,0,0,'Données projet'!$E$16+1,1))-AVERAGE(OFFSET($H$3,0,0,'Données projet'!$E$16+1,1))</f>
        <v>363.28611056308665</v>
      </c>
      <c r="FK32" s="60">
        <f t="shared" si="48"/>
        <v>389.43647559455974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8.0769230769230802</v>
      </c>
      <c r="FZ32" s="13">
        <f>IF('Données projet'!$A$244&gt;35,FZ31+FY32-GH31,IF(A32&lt;'Données projet'!$A$244,$FW$205^A32,IF(A32='Données projet'!$A$244,'Données projet'!$B$244,FZ31+FY32-GH31)))</f>
        <v>141.28205128205133</v>
      </c>
      <c r="GA32" s="18">
        <f>FZ32*VLOOKUP('Données projet'!$B$17,Paramètres!$A$1:$I$89,3,0)*VLOOKUP('Données projet'!$B$17,Paramètres!$A$1:$I$89,5,0)</f>
        <v>94.772000000000034</v>
      </c>
      <c r="GB32" s="14">
        <f t="shared" si="49"/>
        <v>25.712633129183839</v>
      </c>
      <c r="GC32" s="22">
        <f t="shared" si="25"/>
        <v>209.8440693666619</v>
      </c>
      <c r="GD32" s="60">
        <f t="shared" si="26"/>
        <v>446.7719666894377</v>
      </c>
      <c r="GE32" s="60">
        <f ca="1">AVERAGE(OFFSET($GD$3,0,0,'Données projet'!$E$17+1,1))-AVERAGE(OFFSET($H$3,0,0,'Données projet'!$E$17+1,1))</f>
        <v>344.62096650402731</v>
      </c>
      <c r="GF32" s="60">
        <f t="shared" si="50"/>
        <v>277.30931495079346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151</v>
      </c>
      <c r="L33" s="13">
        <f>VLOOKUP(A33,'Données projet'!$A$35:$I$55,9,0)</f>
        <v>13.6</v>
      </c>
      <c r="M33" s="13">
        <f t="array" ref="M33">INDEX(L:L,MIN(IF(ISNUMBER(L33:L229),ROW(L33:L229),"")))</f>
        <v>13.6</v>
      </c>
      <c r="N33" s="14">
        <f>IF('Données projet'!$A$36&gt;35,N32+M33-V32,IF(A33&lt;'Données projet'!$A$36,$K$205^A33,IF(A33='Données projet'!$A$36,'Données projet'!$B$36,N32+M33-V32)))</f>
        <v>151</v>
      </c>
      <c r="O33" s="14">
        <f>N33*VLOOKUP('Données projet'!$B$9,Paramètres!$A$1:$I$89,3,0)*VLOOKUP('Données projet'!$B$9,Paramètres!$A$1:$I$89,5,0)</f>
        <v>129.55800000000002</v>
      </c>
      <c r="P33" s="14">
        <f t="shared" si="33"/>
        <v>33.894205874050066</v>
      </c>
      <c r="Q33" s="22">
        <f t="shared" si="2"/>
        <v>284.67925856397056</v>
      </c>
      <c r="R33" s="60">
        <f t="shared" si="0"/>
        <v>523.78668349701252</v>
      </c>
      <c r="S33" s="60">
        <f ca="1">AVERAGE(OFFSET($R$3,0,0,'Données projet'!$E$9+1,1))-AVERAGE(OFFSET($H$3,0,0,'Données projet'!$E$9+1,1))</f>
        <v>632.26350546340541</v>
      </c>
      <c r="T33" s="60">
        <f t="shared" si="34"/>
        <v>340.45335016367915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35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174.5</v>
      </c>
      <c r="AG33" s="13">
        <f>VLOOKUP(A33,'Données projet'!$A$61:$I$81,9,0)</f>
        <v>12</v>
      </c>
      <c r="AH33" s="13">
        <f t="array" ref="AH33">INDEX(AG:AG,MIN(IF(ISNUMBER(AG33:AG229),ROW(AG33:AG229),"")))</f>
        <v>12</v>
      </c>
      <c r="AI33" s="14">
        <f>IF('Données projet'!$A$62&gt;35,AI32+AH33-AQ32,IF(A33&lt;'Données projet'!$A$62,$AF$205^A33,IF(A33='Données projet'!$A$62,'Données projet'!$B$62,AI32+AH33-AQ32)))</f>
        <v>174.5</v>
      </c>
      <c r="AJ33" s="14">
        <f>AI33*VLOOKUP('Données projet'!$B$10,Paramètres!$A$1:$I$89,3,0)*VLOOKUP('Données projet'!$B$10,Paramètres!$A$1:$I$89,5,0)</f>
        <v>138.8322</v>
      </c>
      <c r="AK33" s="14">
        <f t="shared" si="35"/>
        <v>36.029348632418326</v>
      </c>
      <c r="AL33" s="22">
        <f t="shared" si="4"/>
        <v>304.55053053479526</v>
      </c>
      <c r="AM33" s="60">
        <f t="shared" si="5"/>
        <v>543.65795546783727</v>
      </c>
      <c r="AN33" s="60">
        <f ca="1">AVERAGE(OFFSET($AM$3,0,0,'Données projet'!$E$10+1,1))-AVERAGE(OFFSET($H$3,0,0,'Données projet'!$E$10+1,1))</f>
        <v>336.25341821407534</v>
      </c>
      <c r="AO33" s="60">
        <f t="shared" si="36"/>
        <v>360.3246221345039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56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174.5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174.5</v>
      </c>
      <c r="BE33" s="14">
        <f>BD33*VLOOKUP('Données projet'!$B$11,Paramètres!$A$1:$I$89,3,0)*VLOOKUP('Données projet'!$B$11,Paramètres!$A$1:$I$89,5,0)</f>
        <v>138.8322</v>
      </c>
      <c r="BF33" s="14">
        <f t="shared" si="37"/>
        <v>36.029348632418326</v>
      </c>
      <c r="BG33" s="22">
        <f t="shared" si="7"/>
        <v>304.55053053479526</v>
      </c>
      <c r="BH33" s="60">
        <f t="shared" si="8"/>
        <v>543.65795546783727</v>
      </c>
      <c r="BI33" s="60">
        <f ca="1">AVERAGE(OFFSET($BH$3,0,0,'Données projet'!$E$11+1,1))-AVERAGE(OFFSET($H$3,0,0,'Données projet'!$E$11+1,1))</f>
        <v>336.25341821407534</v>
      </c>
      <c r="BJ33" s="60">
        <f t="shared" si="38"/>
        <v>360.3246221345039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95.004000000000005</v>
      </c>
      <c r="CA33" s="14">
        <f t="shared" si="39"/>
        <v>25.768242550600785</v>
      </c>
      <c r="CB33" s="22">
        <f t="shared" si="10"/>
        <v>210.34498910896306</v>
      </c>
      <c r="CC33" s="60">
        <f t="shared" si="11"/>
        <v>449.45241404200505</v>
      </c>
      <c r="CD33" s="60">
        <f ca="1">AVERAGE(OFFSET($CC$3,0,0,'Données projet'!$E$12+1,1))-AVERAGE(OFFSET($H$3,0,0,'Données projet'!$E$12+1,1))</f>
        <v>469.67944008675863</v>
      </c>
      <c r="CE33" s="60">
        <f t="shared" si="40"/>
        <v>266.11908070867173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143.49999999999997</v>
      </c>
      <c r="CU33" s="18">
        <f>CT33*VLOOKUP('Données projet'!$B$13,Paramètres!$A$1:$I$89,3,0)*VLOOKUP('Données projet'!$B$13,Paramètres!$A$1:$I$89,5,0)</f>
        <v>111.92999999999998</v>
      </c>
      <c r="CV33" s="14">
        <f t="shared" si="41"/>
        <v>29.785246291563833</v>
      </c>
      <c r="CW33" s="22">
        <f t="shared" si="13"/>
        <v>246.82072062447358</v>
      </c>
      <c r="CX33" s="60">
        <f t="shared" si="14"/>
        <v>485.92814555751556</v>
      </c>
      <c r="CY33" s="60">
        <f ca="1">AVERAGE(OFFSET($CX$3,0,0,'Données projet'!$E$13+1,1))-AVERAGE(OFFSET($H$3,0,0,'Données projet'!$E$13+1,1))</f>
        <v>312.59632808777332</v>
      </c>
      <c r="CZ33" s="60">
        <f t="shared" si="42"/>
        <v>302.59481222418219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116.66666666666666</v>
      </c>
      <c r="DM33" s="13">
        <f>VLOOKUP(A33,'Données projet'!$A$165:$I$185,9,0)</f>
        <v>6.5384615384615357</v>
      </c>
      <c r="DN33" s="13">
        <f t="array" ref="DN33">INDEX(DM:DM,MIN(IF(ISNUMBER(DM33:DM229),ROW(DM33:DM229),"")))</f>
        <v>6.5384615384615357</v>
      </c>
      <c r="DO33" s="13">
        <f>IF('Données projet'!$A$166&gt;35,DO32+DN33-DW32,IF(A33&lt;'Données projet'!$A$166,$DL$205^A33,IF(A33='Données projet'!$A$166,'Données projet'!$B$166,DO32+DN33-DW32)))</f>
        <v>116.66666666666666</v>
      </c>
      <c r="DP33" s="18">
        <f>DO33*VLOOKUP('Données projet'!$B$14,Paramètres!$A$1:$I$89,3,0)*VLOOKUP('Données projet'!$B$14,Paramètres!$A$1:$I$89,5,0)</f>
        <v>111.02</v>
      </c>
      <c r="DQ33" s="14">
        <f t="shared" si="43"/>
        <v>29.571175279490561</v>
      </c>
      <c r="DR33" s="22">
        <f t="shared" si="16"/>
        <v>244.86296361177938</v>
      </c>
      <c r="DS33" s="60">
        <f t="shared" si="17"/>
        <v>483.97038854482139</v>
      </c>
      <c r="DT33" s="60">
        <f ca="1">AVERAGE(OFFSET($DS$3,0,0,'Données projet'!$E$14+1,1))-AVERAGE(OFFSET($H$3,0,0,'Données projet'!$E$14+1,1))</f>
        <v>398.29746143975166</v>
      </c>
      <c r="DU33" s="60">
        <f t="shared" si="44"/>
        <v>300.63705521148802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25.641025641025639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105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105</v>
      </c>
      <c r="EK33" s="18">
        <f>EJ33*VLOOKUP('Données projet'!$B$15,Paramètres!$A$1:$I$89,3,0)*VLOOKUP('Données projet'!$B$15,Paramètres!$A$1:$I$89,5,0)</f>
        <v>101.556</v>
      </c>
      <c r="EL33" s="14">
        <f t="shared" si="45"/>
        <v>27.332359320696909</v>
      </c>
      <c r="EM33" s="22">
        <f t="shared" si="19"/>
        <v>224.48055915021379</v>
      </c>
      <c r="EN33" s="60">
        <f t="shared" si="20"/>
        <v>463.58798408325578</v>
      </c>
      <c r="EO33" s="60">
        <f ca="1">AVERAGE(OFFSET($EN$3,0,0,'Données projet'!$E$15+1,1))-AVERAGE(OFFSET($H$3,0,0,'Données projet'!$E$15+1,1))</f>
        <v>496.33873798282525</v>
      </c>
      <c r="EP33" s="60">
        <f t="shared" si="46"/>
        <v>280.25465074992246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29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174.5</v>
      </c>
      <c r="FC33" s="13">
        <f>VLOOKUP(A33,'Données projet'!$A$217:$I$237,9,0)</f>
        <v>12</v>
      </c>
      <c r="FD33" s="13">
        <f t="array" ref="FD33">INDEX(FC:FC,MIN(IF(ISNUMBER(FC33:FC229),ROW(FC33:FC229),"")))</f>
        <v>12</v>
      </c>
      <c r="FE33" s="13">
        <f>IF('Données projet'!$A$218&gt;35,FE32+FD33-FM32,IF(A33&lt;'Données projet'!$A$218,$FB$205^A33,IF(A33='Données projet'!$A$218,'Données projet'!$B$218,FE32+FD33-FM32)))</f>
        <v>174.5</v>
      </c>
      <c r="FF33" s="18">
        <f>FE33*VLOOKUP('Données projet'!$B$16,Paramètres!$A$1:$I$89,3,0)*VLOOKUP('Données projet'!$B$16,Paramètres!$A$1:$I$89,5,0)</f>
        <v>152.44320000000002</v>
      </c>
      <c r="FG33" s="14">
        <f t="shared" si="47"/>
        <v>39.133288418096313</v>
      </c>
      <c r="FH33" s="22">
        <f t="shared" si="22"/>
        <v>333.66238399485115</v>
      </c>
      <c r="FI33" s="60">
        <f t="shared" si="23"/>
        <v>572.76980892789311</v>
      </c>
      <c r="FJ33" s="60">
        <f ca="1">AVERAGE(OFFSET($FI$3,0,0,'Données projet'!$E$16+1,1))-AVERAGE(OFFSET($H$3,0,0,'Données projet'!$E$16+1,1))</f>
        <v>363.28611056308665</v>
      </c>
      <c r="FK33" s="60">
        <f t="shared" si="48"/>
        <v>389.43647559455974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56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149.35897435897436</v>
      </c>
      <c r="FX33" s="13">
        <f>VLOOKUP(A33,'Données projet'!$A$243:$I$263,9,0)</f>
        <v>8.0769230769230802</v>
      </c>
      <c r="FY33" s="13">
        <f t="array" ref="FY33">INDEX(FX:FX,MIN(IF(ISNUMBER(FX33:FX229),ROW(FX33:FX229),"")))</f>
        <v>8.0769230769230802</v>
      </c>
      <c r="FZ33" s="13">
        <f>IF('Données projet'!$A$244&gt;35,FZ32+FY33-GH32,IF(A33&lt;'Données projet'!$A$244,$FW$205^A33,IF(A33='Données projet'!$A$244,'Données projet'!$B$244,FZ32+FY33-GH32)))</f>
        <v>149.35897435897442</v>
      </c>
      <c r="GA33" s="18">
        <f>FZ33*VLOOKUP('Données projet'!$B$17,Paramètres!$A$1:$I$89,3,0)*VLOOKUP('Données projet'!$B$17,Paramètres!$A$1:$I$89,5,0)</f>
        <v>100.19000000000005</v>
      </c>
      <c r="GB33" s="14">
        <f t="shared" si="49"/>
        <v>27.007257426460161</v>
      </c>
      <c r="GC33" s="22">
        <f t="shared" si="25"/>
        <v>221.53522335108485</v>
      </c>
      <c r="GD33" s="60">
        <f t="shared" si="26"/>
        <v>460.64264828412684</v>
      </c>
      <c r="GE33" s="60">
        <f ca="1">AVERAGE(OFFSET($GD$3,0,0,'Données projet'!$E$17+1,1))-AVERAGE(OFFSET($H$3,0,0,'Données projet'!$E$17+1,1))</f>
        <v>344.62096650402731</v>
      </c>
      <c r="GF33" s="60">
        <f t="shared" si="50"/>
        <v>277.30931495079346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32.692307692307693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10.199999999999999</v>
      </c>
      <c r="N34" s="14">
        <f>IF('Données projet'!$A$36&gt;35,N33+M34-V33,IF(A34&lt;'Données projet'!$A$36,$K$205^A34,IF(A34='Données projet'!$A$36,'Données projet'!$B$36,N33+M34-V33)))</f>
        <v>126.19999999999999</v>
      </c>
      <c r="O34" s="14">
        <f>N34*VLOOKUP('Données projet'!$B$9,Paramètres!$A$1:$I$89,3,0)*VLOOKUP('Données projet'!$B$9,Paramètres!$A$1:$I$89,5,0)</f>
        <v>108.2796</v>
      </c>
      <c r="P34" s="14">
        <f t="shared" si="33"/>
        <v>28.925273788969925</v>
      </c>
      <c r="Q34" s="22">
        <f t="shared" si="2"/>
        <v>238.96515518245596</v>
      </c>
      <c r="R34" s="60">
        <f t="shared" si="0"/>
        <v>479.01327839527352</v>
      </c>
      <c r="S34" s="60">
        <f ca="1">AVERAGE(OFFSET($R$3,0,0,'Données projet'!$E$9+1,1))-AVERAGE(OFFSET($H$3,0,0,'Données projet'!$E$9+1,1))</f>
        <v>632.26350546340541</v>
      </c>
      <c r="T34" s="60">
        <f t="shared" si="34"/>
        <v>340.45335016367915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10.780000000000001</v>
      </c>
      <c r="AI34" s="14">
        <f>IF('Données projet'!$A$62&gt;35,AI33+AH34-AQ33,IF(A34&lt;'Données projet'!$A$62,$AF$205^A34,IF(A34='Données projet'!$A$62,'Données projet'!$B$62,AI33+AH34-AQ33)))</f>
        <v>129.28</v>
      </c>
      <c r="AJ34" s="14">
        <f>AI34*VLOOKUP('Données projet'!$B$10,Paramètres!$A$1:$I$89,3,0)*VLOOKUP('Données projet'!$B$10,Paramètres!$A$1:$I$89,5,0)</f>
        <v>102.85516800000001</v>
      </c>
      <c r="AK34" s="14">
        <f t="shared" si="35"/>
        <v>27.641083482825984</v>
      </c>
      <c r="AL34" s="22">
        <f t="shared" si="4"/>
        <v>227.28097133258856</v>
      </c>
      <c r="AM34" s="60">
        <f t="shared" si="5"/>
        <v>467.32909454540612</v>
      </c>
      <c r="AN34" s="60">
        <f ca="1">AVERAGE(OFFSET($AM$3,0,0,'Données projet'!$E$10+1,1))-AVERAGE(OFFSET($H$3,0,0,'Données projet'!$E$10+1,1))</f>
        <v>336.25341821407534</v>
      </c>
      <c r="AO34" s="60">
        <f t="shared" si="36"/>
        <v>360.3246221345039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129.28</v>
      </c>
      <c r="BE34" s="14">
        <f>BD34*VLOOKUP('Données projet'!$B$11,Paramètres!$A$1:$I$89,3,0)*VLOOKUP('Données projet'!$B$11,Paramètres!$A$1:$I$89,5,0)</f>
        <v>102.85516800000001</v>
      </c>
      <c r="BF34" s="14">
        <f t="shared" si="37"/>
        <v>27.641083482825984</v>
      </c>
      <c r="BG34" s="22">
        <f t="shared" si="7"/>
        <v>227.28097133258856</v>
      </c>
      <c r="BH34" s="60">
        <f t="shared" si="8"/>
        <v>467.32909454540612</v>
      </c>
      <c r="BI34" s="60">
        <f ca="1">AVERAGE(OFFSET($BH$3,0,0,'Données projet'!$E$11+1,1))-AVERAGE(OFFSET($H$3,0,0,'Données projet'!$E$11+1,1))</f>
        <v>336.25341821407534</v>
      </c>
      <c r="BJ34" s="60">
        <f t="shared" si="38"/>
        <v>360.3246221345039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76.003200000000007</v>
      </c>
      <c r="CA34" s="14">
        <f t="shared" si="39"/>
        <v>21.157049992000456</v>
      </c>
      <c r="CB34" s="22">
        <f t="shared" si="10"/>
        <v>169.22076873606747</v>
      </c>
      <c r="CC34" s="60">
        <f t="shared" si="11"/>
        <v>409.26889194888503</v>
      </c>
      <c r="CD34" s="60">
        <f ca="1">AVERAGE(OFFSET($CC$3,0,0,'Données projet'!$E$12+1,1))-AVERAGE(OFFSET($H$3,0,0,'Données projet'!$E$12+1,1))</f>
        <v>469.67944008675863</v>
      </c>
      <c r="CE34" s="60">
        <f t="shared" si="40"/>
        <v>266.11908070867173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154.99999999999997</v>
      </c>
      <c r="CU34" s="18">
        <f>CT34*VLOOKUP('Données projet'!$B$13,Paramètres!$A$1:$I$89,3,0)*VLOOKUP('Données projet'!$B$13,Paramètres!$A$1:$I$89,5,0)</f>
        <v>120.89999999999998</v>
      </c>
      <c r="CV34" s="14">
        <f t="shared" si="41"/>
        <v>31.884818143351602</v>
      </c>
      <c r="CW34" s="22">
        <f t="shared" si="13"/>
        <v>266.10022493300397</v>
      </c>
      <c r="CX34" s="60">
        <f t="shared" si="14"/>
        <v>506.1483481458215</v>
      </c>
      <c r="CY34" s="60">
        <f ca="1">AVERAGE(OFFSET($CX$3,0,0,'Données projet'!$E$13+1,1))-AVERAGE(OFFSET($H$3,0,0,'Données projet'!$E$13+1,1))</f>
        <v>312.59632808777332</v>
      </c>
      <c r="CZ34" s="60">
        <f t="shared" si="42"/>
        <v>302.59481222418219</v>
      </c>
      <c r="DA34" s="16">
        <f>IF(ISNA(VLOOKUP(A34,'Données projet'!$A$139:$I$159,3,0)),0,VLOOKUP(A34,'Données projet'!$A$139:$I$159,3,0))</f>
        <v>2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6.4102564102564088</v>
      </c>
      <c r="DO34" s="13">
        <f>IF('Données projet'!$A$166&gt;35,DO33+DN34-DW33,IF(A34&lt;'Données projet'!$A$166,$DL$205^A34,IF(A34='Données projet'!$A$166,'Données projet'!$B$166,DO33+DN34-DW33)))</f>
        <v>97.435897435897431</v>
      </c>
      <c r="DP34" s="18">
        <f>DO34*VLOOKUP('Données projet'!$B$14,Paramètres!$A$1:$I$89,3,0)*VLOOKUP('Données projet'!$B$14,Paramètres!$A$1:$I$89,5,0)</f>
        <v>92.72</v>
      </c>
      <c r="DQ34" s="14">
        <f t="shared" si="43"/>
        <v>25.22008241222111</v>
      </c>
      <c r="DR34" s="22">
        <f t="shared" si="16"/>
        <v>205.41231020128509</v>
      </c>
      <c r="DS34" s="60">
        <f t="shared" si="17"/>
        <v>445.46043341410268</v>
      </c>
      <c r="DT34" s="60">
        <f ca="1">AVERAGE(OFFSET($DS$3,0,0,'Données projet'!$E$14+1,1))-AVERAGE(OFFSET($H$3,0,0,'Données projet'!$E$14+1,1))</f>
        <v>398.29746143975166</v>
      </c>
      <c r="DU34" s="60">
        <f t="shared" si="44"/>
        <v>300.63705521148802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</v>
      </c>
      <c r="EJ34" s="13">
        <f>IF('Données projet'!$A$192&gt;35,EJ33+EI34-ER33,IF(A34&lt;'Données projet'!$A$192,$EG$205^A34,IF(A34='Données projet'!$A$192,'Données projet'!$B$192,EJ33+EI34-ER33)))</f>
        <v>84</v>
      </c>
      <c r="EK34" s="18">
        <f>EJ34*VLOOKUP('Données projet'!$B$15,Paramètres!$A$1:$I$89,3,0)*VLOOKUP('Données projet'!$B$15,Paramètres!$A$1:$I$89,5,0)</f>
        <v>81.244799999999998</v>
      </c>
      <c r="EL34" s="14">
        <f t="shared" si="45"/>
        <v>22.441270156928962</v>
      </c>
      <c r="EM34" s="22">
        <f t="shared" si="19"/>
        <v>180.58657218998462</v>
      </c>
      <c r="EN34" s="60">
        <f t="shared" si="20"/>
        <v>420.63469540280221</v>
      </c>
      <c r="EO34" s="60">
        <f ca="1">AVERAGE(OFFSET($EN$3,0,0,'Données projet'!$E$15+1,1))-AVERAGE(OFFSET($H$3,0,0,'Données projet'!$E$15+1,1))</f>
        <v>496.33873798282525</v>
      </c>
      <c r="EP34" s="60">
        <f t="shared" si="46"/>
        <v>280.25465074992246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10.780000000000001</v>
      </c>
      <c r="FE34" s="13">
        <f>IF('Données projet'!$A$218&gt;35,FE33+FD34-FM33,IF(A34&lt;'Données projet'!$A$218,$FB$205^A34,IF(A34='Données projet'!$A$218,'Données projet'!$B$218,FE33+FD34-FM33)))</f>
        <v>129.28</v>
      </c>
      <c r="FF34" s="18">
        <f>FE34*VLOOKUP('Données projet'!$B$16,Paramètres!$A$1:$I$89,3,0)*VLOOKUP('Données projet'!$B$16,Paramètres!$A$1:$I$89,5,0)</f>
        <v>112.93900800000003</v>
      </c>
      <c r="FG34" s="14">
        <f t="shared" si="47"/>
        <v>30.022371571514686</v>
      </c>
      <c r="FH34" s="22">
        <f t="shared" si="22"/>
        <v>248.99106942038816</v>
      </c>
      <c r="FI34" s="60">
        <f t="shared" si="23"/>
        <v>489.03919263320574</v>
      </c>
      <c r="FJ34" s="60">
        <f ca="1">AVERAGE(OFFSET($FI$3,0,0,'Données projet'!$E$16+1,1))-AVERAGE(OFFSET($H$3,0,0,'Données projet'!$E$16+1,1))</f>
        <v>363.28611056308665</v>
      </c>
      <c r="FK34" s="60">
        <f t="shared" si="48"/>
        <v>389.43647559455974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7.6923076923076881</v>
      </c>
      <c r="FZ34" s="13">
        <f>IF('Données projet'!$A$244&gt;35,FZ33+FY34-GH33,IF(A34&lt;'Données projet'!$A$244,$FW$205^A34,IF(A34='Données projet'!$A$244,'Données projet'!$B$244,FZ33+FY34-GH33)))</f>
        <v>124.35897435897441</v>
      </c>
      <c r="GA34" s="18">
        <f>FZ34*VLOOKUP('Données projet'!$B$17,Paramètres!$A$1:$I$89,3,0)*VLOOKUP('Données projet'!$B$17,Paramètres!$A$1:$I$89,5,0)</f>
        <v>83.42000000000003</v>
      </c>
      <c r="GB34" s="14">
        <f t="shared" si="49"/>
        <v>22.971343750654679</v>
      </c>
      <c r="GC34" s="22">
        <f t="shared" si="25"/>
        <v>185.2982570323903</v>
      </c>
      <c r="GD34" s="60">
        <f t="shared" si="26"/>
        <v>425.34638024520785</v>
      </c>
      <c r="GE34" s="60">
        <f ca="1">AVERAGE(OFFSET($GD$3,0,0,'Données projet'!$E$17+1,1))-AVERAGE(OFFSET($H$3,0,0,'Données projet'!$E$17+1,1))</f>
        <v>344.62096650402731</v>
      </c>
      <c r="GF34" s="60">
        <f t="shared" si="50"/>
        <v>277.30931495079346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10.199999999999999</v>
      </c>
      <c r="N35" s="14">
        <f>IF('Données projet'!$A$36&gt;35,N34+M35-V34,IF(A35&lt;'Données projet'!$A$36,$K$205^A35,IF(A35='Données projet'!$A$36,'Données projet'!$B$36,N34+M35-V34)))</f>
        <v>136.39999999999998</v>
      </c>
      <c r="O35" s="14">
        <f>N35*VLOOKUP('Données projet'!$B$9,Paramètres!$A$1:$I$89,3,0)*VLOOKUP('Données projet'!$B$9,Paramètres!$A$1:$I$89,5,0)</f>
        <v>117.0312</v>
      </c>
      <c r="P35" s="14">
        <f t="shared" si="33"/>
        <v>30.981569147428527</v>
      </c>
      <c r="Q35" s="22">
        <f t="shared" ref="Q35:Q66" si="53">(O35+P35)*0.475*44/12</f>
        <v>257.78890626510469</v>
      </c>
      <c r="R35" s="60">
        <f t="shared" si="0"/>
        <v>498.76140874562998</v>
      </c>
      <c r="S35" s="60">
        <f ca="1">AVERAGE(OFFSET($R$3,0,0,'Données projet'!$E$9+1,1))-AVERAGE(OFFSET($H$3,0,0,'Données projet'!$E$9+1,1))</f>
        <v>632.26350546340541</v>
      </c>
      <c r="T35" s="60">
        <f t="shared" si="34"/>
        <v>340.45335016367915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10.780000000000001</v>
      </c>
      <c r="AI35" s="14">
        <f>IF('Données projet'!$A$62&gt;35,AI34+AH35-AQ34,IF(A35&lt;'Données projet'!$A$62,$AF$205^A35,IF(A35='Données projet'!$A$62,'Données projet'!$B$62,AI34+AH35-AQ34)))</f>
        <v>140.06</v>
      </c>
      <c r="AJ35" s="14">
        <f>AI35*VLOOKUP('Données projet'!$B$10,Paramètres!$A$1:$I$89,3,0)*VLOOKUP('Données projet'!$B$10,Paramètres!$A$1:$I$89,5,0)</f>
        <v>111.431736</v>
      </c>
      <c r="AK35" s="14">
        <f t="shared" si="35"/>
        <v>29.668058438201339</v>
      </c>
      <c r="AL35" s="22">
        <f t="shared" si="4"/>
        <v>245.74880864653403</v>
      </c>
      <c r="AM35" s="60">
        <f t="shared" si="5"/>
        <v>486.72131112705938</v>
      </c>
      <c r="AN35" s="60">
        <f ca="1">AVERAGE(OFFSET($AM$3,0,0,'Données projet'!$E$10+1,1))-AVERAGE(OFFSET($H$3,0,0,'Données projet'!$E$10+1,1))</f>
        <v>336.25341821407534</v>
      </c>
      <c r="AO35" s="60">
        <f t="shared" si="36"/>
        <v>360.3246221345039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140.06</v>
      </c>
      <c r="BE35" s="14">
        <f>BD35*VLOOKUP('Données projet'!$B$11,Paramètres!$A$1:$I$89,3,0)*VLOOKUP('Données projet'!$B$11,Paramètres!$A$1:$I$89,5,0)</f>
        <v>111.431736</v>
      </c>
      <c r="BF35" s="14">
        <f t="shared" si="37"/>
        <v>29.668058438201339</v>
      </c>
      <c r="BG35" s="22">
        <f t="shared" si="7"/>
        <v>245.74880864653403</v>
      </c>
      <c r="BH35" s="60">
        <f t="shared" si="8"/>
        <v>486.72131112705938</v>
      </c>
      <c r="BI35" s="60">
        <f ca="1">AVERAGE(OFFSET($BH$3,0,0,'Données projet'!$E$11+1,1))-AVERAGE(OFFSET($H$3,0,0,'Données projet'!$E$11+1,1))</f>
        <v>336.25341821407534</v>
      </c>
      <c r="BJ35" s="60">
        <f t="shared" si="38"/>
        <v>360.3246221345039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83.241600000000005</v>
      </c>
      <c r="CA35" s="14">
        <f t="shared" si="39"/>
        <v>22.927930643846508</v>
      </c>
      <c r="CB35" s="22">
        <f t="shared" si="10"/>
        <v>184.91193253803269</v>
      </c>
      <c r="CC35" s="60">
        <f t="shared" si="11"/>
        <v>425.88443501855801</v>
      </c>
      <c r="CD35" s="60">
        <f ca="1">AVERAGE(OFFSET($CC$3,0,0,'Données projet'!$E$12+1,1))-AVERAGE(OFFSET($H$3,0,0,'Données projet'!$E$12+1,1))</f>
        <v>469.67944008675863</v>
      </c>
      <c r="CE35" s="60">
        <f t="shared" si="40"/>
        <v>266.11908070867173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130.49999999999997</v>
      </c>
      <c r="CU35" s="18">
        <f>CT35*VLOOKUP('Données projet'!$B$13,Paramètres!$A$1:$I$89,3,0)*VLOOKUP('Données projet'!$B$13,Paramètres!$A$1:$I$89,5,0)</f>
        <v>101.78999999999998</v>
      </c>
      <c r="CV35" s="14">
        <f t="shared" si="41"/>
        <v>27.38799903683508</v>
      </c>
      <c r="CW35" s="22">
        <f t="shared" si="13"/>
        <v>224.98501498915437</v>
      </c>
      <c r="CX35" s="60">
        <f t="shared" si="14"/>
        <v>465.95751746967971</v>
      </c>
      <c r="CY35" s="60">
        <f ca="1">AVERAGE(OFFSET($CX$3,0,0,'Données projet'!$E$13+1,1))-AVERAGE(OFFSET($H$3,0,0,'Données projet'!$E$13+1,1))</f>
        <v>312.59632808777332</v>
      </c>
      <c r="CZ35" s="60">
        <f t="shared" si="42"/>
        <v>302.59481222418219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6.4102564102564088</v>
      </c>
      <c r="DO35" s="13">
        <f>IF('Données projet'!$A$166&gt;35,DO34+DN35-DW34,IF(A35&lt;'Données projet'!$A$166,$DL$205^A35,IF(A35='Données projet'!$A$166,'Données projet'!$B$166,DO34+DN35-DW34)))</f>
        <v>103.84615384615384</v>
      </c>
      <c r="DP35" s="18">
        <f>DO35*VLOOKUP('Données projet'!$B$14,Paramètres!$A$1:$I$89,3,0)*VLOOKUP('Données projet'!$B$14,Paramètres!$A$1:$I$89,5,0)</f>
        <v>98.82</v>
      </c>
      <c r="DQ35" s="14">
        <f t="shared" si="43"/>
        <v>26.680684905958366</v>
      </c>
      <c r="DR35" s="22">
        <f t="shared" si="16"/>
        <v>218.58035954454417</v>
      </c>
      <c r="DS35" s="60">
        <f t="shared" si="17"/>
        <v>459.55286202506949</v>
      </c>
      <c r="DT35" s="60">
        <f ca="1">AVERAGE(OFFSET($DS$3,0,0,'Données projet'!$E$14+1,1))-AVERAGE(OFFSET($H$3,0,0,'Données projet'!$E$14+1,1))</f>
        <v>398.29746143975166</v>
      </c>
      <c r="DU35" s="60">
        <f t="shared" si="44"/>
        <v>300.63705521148802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</v>
      </c>
      <c r="EJ35" s="13">
        <f>IF('Données projet'!$A$192&gt;35,EJ34+EI35-ER34,IF(A35&lt;'Données projet'!$A$192,$EG$205^A35,IF(A35='Données projet'!$A$192,'Données projet'!$B$192,EJ34+EI35-ER34)))</f>
        <v>92</v>
      </c>
      <c r="EK35" s="18">
        <f>EJ35*VLOOKUP('Données projet'!$B$15,Paramètres!$A$1:$I$89,3,0)*VLOOKUP('Données projet'!$B$15,Paramètres!$A$1:$I$89,5,0)</f>
        <v>88.982399999999998</v>
      </c>
      <c r="EL35" s="14">
        <f t="shared" si="45"/>
        <v>24.31964219550628</v>
      </c>
      <c r="EM35" s="22">
        <f t="shared" si="19"/>
        <v>197.3343901571734</v>
      </c>
      <c r="EN35" s="60">
        <f t="shared" si="20"/>
        <v>438.30689263769875</v>
      </c>
      <c r="EO35" s="60">
        <f ca="1">AVERAGE(OFFSET($EN$3,0,0,'Données projet'!$E$15+1,1))-AVERAGE(OFFSET($H$3,0,0,'Données projet'!$E$15+1,1))</f>
        <v>496.33873798282525</v>
      </c>
      <c r="EP35" s="60">
        <f t="shared" si="46"/>
        <v>280.25465074992246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10.780000000000001</v>
      </c>
      <c r="FE35" s="13">
        <f>IF('Données projet'!$A$218&gt;35,FE34+FD35-FM34,IF(A35&lt;'Données projet'!$A$218,$FB$205^A35,IF(A35='Données projet'!$A$218,'Données projet'!$B$218,FE34+FD35-FM34)))</f>
        <v>140.06</v>
      </c>
      <c r="FF35" s="18">
        <f>FE35*VLOOKUP('Données projet'!$B$16,Paramètres!$A$1:$I$89,3,0)*VLOOKUP('Données projet'!$B$16,Paramètres!$A$1:$I$89,5,0)</f>
        <v>122.35641600000002</v>
      </c>
      <c r="FG35" s="14">
        <f t="shared" si="47"/>
        <v>32.223971060704159</v>
      </c>
      <c r="FH35" s="22">
        <f t="shared" si="22"/>
        <v>269.22750746405978</v>
      </c>
      <c r="FI35" s="60">
        <f t="shared" si="23"/>
        <v>510.20000994458508</v>
      </c>
      <c r="FJ35" s="60">
        <f ca="1">AVERAGE(OFFSET($FI$3,0,0,'Données projet'!$E$16+1,1))-AVERAGE(OFFSET($H$3,0,0,'Données projet'!$E$16+1,1))</f>
        <v>363.28611056308665</v>
      </c>
      <c r="FK35" s="60">
        <f t="shared" si="48"/>
        <v>389.43647559455974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7.6923076923076881</v>
      </c>
      <c r="FZ35" s="13">
        <f>IF('Données projet'!$A$244&gt;35,FZ34+FY35-GH34,IF(A35&lt;'Données projet'!$A$244,$FW$205^A35,IF(A35='Données projet'!$A$244,'Données projet'!$B$244,FZ34+FY35-GH34)))</f>
        <v>132.0512820512821</v>
      </c>
      <c r="GA35" s="18">
        <f>FZ35*VLOOKUP('Données projet'!$B$17,Paramètres!$A$1:$I$89,3,0)*VLOOKUP('Données projet'!$B$17,Paramètres!$A$1:$I$89,5,0)</f>
        <v>88.580000000000041</v>
      </c>
      <c r="GB35" s="14">
        <f t="shared" si="49"/>
        <v>24.222438846820232</v>
      </c>
      <c r="GC35" s="22">
        <f t="shared" si="25"/>
        <v>196.46424765821197</v>
      </c>
      <c r="GD35" s="60">
        <f t="shared" si="26"/>
        <v>437.4367501387373</v>
      </c>
      <c r="GE35" s="60">
        <f ca="1">AVERAGE(OFFSET($GD$3,0,0,'Données projet'!$E$17+1,1))-AVERAGE(OFFSET($H$3,0,0,'Données projet'!$E$17+1,1))</f>
        <v>344.62096650402731</v>
      </c>
      <c r="GF35" s="60">
        <f t="shared" si="50"/>
        <v>277.30931495079346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10.199999999999999</v>
      </c>
      <c r="N36" s="14">
        <f>IF('Données projet'!$A$36&gt;35,N35+M36-V35,IF(A36&lt;'Données projet'!$A$36,$K$205^A36,IF(A36='Données projet'!$A$36,'Données projet'!$B$36,N35+M36-V35)))</f>
        <v>146.59999999999997</v>
      </c>
      <c r="O36" s="14">
        <f>N36*VLOOKUP('Données projet'!$B$9,Paramètres!$A$1:$I$89,3,0)*VLOOKUP('Données projet'!$B$9,Paramètres!$A$1:$I$89,5,0)</f>
        <v>125.78279999999998</v>
      </c>
      <c r="P36" s="14">
        <f t="shared" si="33"/>
        <v>33.020025823870341</v>
      </c>
      <c r="Q36" s="22">
        <f t="shared" si="53"/>
        <v>276.58158830990743</v>
      </c>
      <c r="R36" s="60">
        <f t="shared" si="0"/>
        <v>518.46243414444814</v>
      </c>
      <c r="S36" s="60">
        <f ca="1">AVERAGE(OFFSET($R$3,0,0,'Données projet'!$E$9+1,1))-AVERAGE(OFFSET($H$3,0,0,'Données projet'!$E$9+1,1))</f>
        <v>632.26350546340541</v>
      </c>
      <c r="T36" s="60">
        <f t="shared" si="34"/>
        <v>340.45335016367915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10.780000000000001</v>
      </c>
      <c r="AI36" s="14">
        <f>IF('Données projet'!$A$62&gt;35,AI35+AH36-AQ35,IF(A36&lt;'Données projet'!$A$62,$AF$205^A36,IF(A36='Données projet'!$A$62,'Données projet'!$B$62,AI35+AH36-AQ35)))</f>
        <v>150.84</v>
      </c>
      <c r="AJ36" s="14">
        <f>AI36*VLOOKUP('Données projet'!$B$10,Paramètres!$A$1:$I$89,3,0)*VLOOKUP('Données projet'!$B$10,Paramètres!$A$1:$I$89,5,0)</f>
        <v>120.008304</v>
      </c>
      <c r="AK36" s="14">
        <f t="shared" si="35"/>
        <v>31.676936057955846</v>
      </c>
      <c r="AL36" s="22">
        <f t="shared" si="4"/>
        <v>264.18512643427306</v>
      </c>
      <c r="AM36" s="60">
        <f t="shared" si="5"/>
        <v>506.06597226881377</v>
      </c>
      <c r="AN36" s="60">
        <f ca="1">AVERAGE(OFFSET($AM$3,0,0,'Données projet'!$E$10+1,1))-AVERAGE(OFFSET($H$3,0,0,'Données projet'!$E$10+1,1))</f>
        <v>336.25341821407534</v>
      </c>
      <c r="AO36" s="60">
        <f t="shared" si="36"/>
        <v>360.3246221345039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150.84</v>
      </c>
      <c r="BE36" s="14">
        <f>BD36*VLOOKUP('Données projet'!$B$11,Paramètres!$A$1:$I$89,3,0)*VLOOKUP('Données projet'!$B$11,Paramètres!$A$1:$I$89,5,0)</f>
        <v>120.008304</v>
      </c>
      <c r="BF36" s="14">
        <f t="shared" si="37"/>
        <v>31.676936057955846</v>
      </c>
      <c r="BG36" s="22">
        <f t="shared" si="7"/>
        <v>264.18512643427306</v>
      </c>
      <c r="BH36" s="60">
        <f t="shared" si="8"/>
        <v>506.06597226881377</v>
      </c>
      <c r="BI36" s="60">
        <f ca="1">AVERAGE(OFFSET($BH$3,0,0,'Données projet'!$E$11+1,1))-AVERAGE(OFFSET($H$3,0,0,'Données projet'!$E$11+1,1))</f>
        <v>336.25341821407534</v>
      </c>
      <c r="BJ36" s="60">
        <f t="shared" si="38"/>
        <v>360.3246221345039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90.47999999999999</v>
      </c>
      <c r="CA36" s="14">
        <f t="shared" si="39"/>
        <v>24.680953573367994</v>
      </c>
      <c r="CB36" s="22">
        <f t="shared" si="10"/>
        <v>200.57199414028256</v>
      </c>
      <c r="CC36" s="60">
        <f t="shared" si="11"/>
        <v>442.45283997482329</v>
      </c>
      <c r="CD36" s="60">
        <f ca="1">AVERAGE(OFFSET($CC$3,0,0,'Données projet'!$E$12+1,1))-AVERAGE(OFFSET($H$3,0,0,'Données projet'!$E$12+1,1))</f>
        <v>469.67944008675863</v>
      </c>
      <c r="CE36" s="60">
        <f t="shared" si="40"/>
        <v>266.11908070867173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141.99999999999997</v>
      </c>
      <c r="CU36" s="18">
        <f>CT36*VLOOKUP('Données projet'!$B$13,Paramètres!$A$1:$I$89,3,0)*VLOOKUP('Données projet'!$B$13,Paramètres!$A$1:$I$89,5,0)</f>
        <v>110.75999999999998</v>
      </c>
      <c r="CV36" s="14">
        <f t="shared" si="41"/>
        <v>29.509974682362923</v>
      </c>
      <c r="CW36" s="22">
        <f t="shared" si="13"/>
        <v>244.30353923844871</v>
      </c>
      <c r="CX36" s="60">
        <f t="shared" si="14"/>
        <v>486.18438507298947</v>
      </c>
      <c r="CY36" s="60">
        <f ca="1">AVERAGE(OFFSET($CX$3,0,0,'Données projet'!$E$13+1,1))-AVERAGE(OFFSET($H$3,0,0,'Données projet'!$E$13+1,1))</f>
        <v>312.59632808777332</v>
      </c>
      <c r="CZ36" s="60">
        <f t="shared" si="42"/>
        <v>302.59481222418219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6.4102564102564088</v>
      </c>
      <c r="DO36" s="13">
        <f>IF('Données projet'!$A$166&gt;35,DO35+DN36-DW35,IF(A36&lt;'Données projet'!$A$166,$DL$205^A36,IF(A36='Données projet'!$A$166,'Données projet'!$B$166,DO35+DN36-DW35)))</f>
        <v>110.25641025641025</v>
      </c>
      <c r="DP36" s="18">
        <f>DO36*VLOOKUP('Données projet'!$B$14,Paramètres!$A$1:$I$89,3,0)*VLOOKUP('Données projet'!$B$14,Paramètres!$A$1:$I$89,5,0)</f>
        <v>104.91999999999999</v>
      </c>
      <c r="DQ36" s="14">
        <f t="shared" si="43"/>
        <v>28.130823299932707</v>
      </c>
      <c r="DR36" s="22">
        <f t="shared" si="16"/>
        <v>231.73018391404943</v>
      </c>
      <c r="DS36" s="60">
        <f t="shared" si="17"/>
        <v>473.61102974859017</v>
      </c>
      <c r="DT36" s="60">
        <f ca="1">AVERAGE(OFFSET($DS$3,0,0,'Données projet'!$E$14+1,1))-AVERAGE(OFFSET($H$3,0,0,'Données projet'!$E$14+1,1))</f>
        <v>398.29746143975166</v>
      </c>
      <c r="DU36" s="60">
        <f t="shared" si="44"/>
        <v>300.63705521148802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</v>
      </c>
      <c r="EJ36" s="13">
        <f>IF('Données projet'!$A$192&gt;35,EJ35+EI36-ER35,IF(A36&lt;'Données projet'!$A$192,$EG$205^A36,IF(A36='Données projet'!$A$192,'Données projet'!$B$192,EJ35+EI36-ER35)))</f>
        <v>100</v>
      </c>
      <c r="EK36" s="18">
        <f>EJ36*VLOOKUP('Données projet'!$B$15,Paramètres!$A$1:$I$89,3,0)*VLOOKUP('Données projet'!$B$15,Paramètres!$A$1:$I$89,5,0)</f>
        <v>96.72</v>
      </c>
      <c r="EL36" s="14">
        <f t="shared" si="45"/>
        <v>26.179072558792139</v>
      </c>
      <c r="EM36" s="22">
        <f t="shared" si="19"/>
        <v>214.04921803989632</v>
      </c>
      <c r="EN36" s="60">
        <f t="shared" si="20"/>
        <v>455.93006387443705</v>
      </c>
      <c r="EO36" s="60">
        <f ca="1">AVERAGE(OFFSET($EN$3,0,0,'Données projet'!$E$15+1,1))-AVERAGE(OFFSET($H$3,0,0,'Données projet'!$E$15+1,1))</f>
        <v>496.33873798282525</v>
      </c>
      <c r="EP36" s="60">
        <f t="shared" si="46"/>
        <v>280.25465074992246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10.780000000000001</v>
      </c>
      <c r="FE36" s="13">
        <f>IF('Données projet'!$A$218&gt;35,FE35+FD36-FM35,IF(A36&lt;'Données projet'!$A$218,$FB$205^A36,IF(A36='Données projet'!$A$218,'Données projet'!$B$218,FE35+FD36-FM35)))</f>
        <v>150.84</v>
      </c>
      <c r="FF36" s="18">
        <f>FE36*VLOOKUP('Données projet'!$B$16,Paramètres!$A$1:$I$89,3,0)*VLOOKUP('Données projet'!$B$16,Paramètres!$A$1:$I$89,5,0)</f>
        <v>131.77382400000002</v>
      </c>
      <c r="FG36" s="14">
        <f t="shared" si="47"/>
        <v>34.405914123082425</v>
      </c>
      <c r="FH36" s="22">
        <f t="shared" si="22"/>
        <v>289.42971056436858</v>
      </c>
      <c r="FI36" s="60">
        <f t="shared" si="23"/>
        <v>531.31055639890928</v>
      </c>
      <c r="FJ36" s="60">
        <f ca="1">AVERAGE(OFFSET($FI$3,0,0,'Données projet'!$E$16+1,1))-AVERAGE(OFFSET($H$3,0,0,'Données projet'!$E$16+1,1))</f>
        <v>363.28611056308665</v>
      </c>
      <c r="FK36" s="60">
        <f t="shared" si="48"/>
        <v>389.43647559455974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7.6923076923076881</v>
      </c>
      <c r="FZ36" s="13">
        <f>IF('Données projet'!$A$244&gt;35,FZ35+FY36-GH35,IF(A36&lt;'Données projet'!$A$244,$FW$205^A36,IF(A36='Données projet'!$A$244,'Données projet'!$B$244,FZ35+FY36-GH35)))</f>
        <v>139.74358974358978</v>
      </c>
      <c r="GA36" s="18">
        <f>FZ36*VLOOKUP('Données projet'!$B$17,Paramètres!$A$1:$I$89,3,0)*VLOOKUP('Données projet'!$B$17,Paramètres!$A$1:$I$89,5,0)</f>
        <v>93.740000000000023</v>
      </c>
      <c r="GB36" s="14">
        <f t="shared" si="49"/>
        <v>25.465074435109123</v>
      </c>
      <c r="GC36" s="22">
        <f t="shared" si="25"/>
        <v>207.61550464114839</v>
      </c>
      <c r="GD36" s="60">
        <f t="shared" si="26"/>
        <v>449.49635047568916</v>
      </c>
      <c r="GE36" s="60">
        <f ca="1">AVERAGE(OFFSET($GD$3,0,0,'Données projet'!$E$17+1,1))-AVERAGE(OFFSET($H$3,0,0,'Données projet'!$E$17+1,1))</f>
        <v>344.62096650402731</v>
      </c>
      <c r="GF36" s="60">
        <f t="shared" si="50"/>
        <v>277.30931495079346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10.199999999999999</v>
      </c>
      <c r="N37" s="14">
        <f>IF('Données projet'!$A$36&gt;35,N36+M37-V36,IF(A37&lt;'Données projet'!$A$36,$K$205^A37,IF(A37='Données projet'!$A$36,'Données projet'!$B$36,N36+M37-V36)))</f>
        <v>156.79999999999995</v>
      </c>
      <c r="O37" s="14">
        <f>N37*VLOOKUP('Données projet'!$B$9,Paramètres!$A$1:$I$89,3,0)*VLOOKUP('Données projet'!$B$9,Paramètres!$A$1:$I$89,5,0)</f>
        <v>134.53439999999998</v>
      </c>
      <c r="P37" s="14">
        <f t="shared" si="33"/>
        <v>35.042026165482234</v>
      </c>
      <c r="Q37" s="22">
        <f t="shared" si="53"/>
        <v>295.34560890488154</v>
      </c>
      <c r="R37" s="60">
        <f t="shared" si="0"/>
        <v>538.11904036699707</v>
      </c>
      <c r="S37" s="60">
        <f ca="1">AVERAGE(OFFSET($R$3,0,0,'Données projet'!$E$9+1,1))-AVERAGE(OFFSET($H$3,0,0,'Données projet'!$E$9+1,1))</f>
        <v>632.26350546340541</v>
      </c>
      <c r="T37" s="60">
        <f t="shared" si="34"/>
        <v>340.45335016367915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10.780000000000001</v>
      </c>
      <c r="AI37" s="14">
        <f>IF('Données projet'!$A$62&gt;35,AI36+AH37-AQ36,IF(A37&lt;'Données projet'!$A$62,$AF$205^A37,IF(A37='Données projet'!$A$62,'Données projet'!$B$62,AI36+AH37-AQ36)))</f>
        <v>161.62</v>
      </c>
      <c r="AJ37" s="14">
        <f>AI37*VLOOKUP('Données projet'!$B$10,Paramètres!$A$1:$I$89,3,0)*VLOOKUP('Données projet'!$B$10,Paramètres!$A$1:$I$89,5,0)</f>
        <v>128.58487200000002</v>
      </c>
      <c r="AK37" s="14">
        <f t="shared" si="35"/>
        <v>33.669156791917978</v>
      </c>
      <c r="AL37" s="22">
        <f t="shared" si="4"/>
        <v>282.59243347925718</v>
      </c>
      <c r="AM37" s="60">
        <f t="shared" si="5"/>
        <v>525.36586494137282</v>
      </c>
      <c r="AN37" s="60">
        <f ca="1">AVERAGE(OFFSET($AM$3,0,0,'Données projet'!$E$10+1,1))-AVERAGE(OFFSET($H$3,0,0,'Données projet'!$E$10+1,1))</f>
        <v>336.25341821407534</v>
      </c>
      <c r="AO37" s="60">
        <f t="shared" si="36"/>
        <v>360.3246221345039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161.62</v>
      </c>
      <c r="BE37" s="14">
        <f>BD37*VLOOKUP('Données projet'!$B$11,Paramètres!$A$1:$I$89,3,0)*VLOOKUP('Données projet'!$B$11,Paramètres!$A$1:$I$89,5,0)</f>
        <v>128.58487200000002</v>
      </c>
      <c r="BF37" s="14">
        <f t="shared" si="37"/>
        <v>33.669156791917978</v>
      </c>
      <c r="BG37" s="22">
        <f t="shared" si="7"/>
        <v>282.59243347925718</v>
      </c>
      <c r="BH37" s="60">
        <f t="shared" si="8"/>
        <v>525.36586494137282</v>
      </c>
      <c r="BI37" s="60">
        <f ca="1">AVERAGE(OFFSET($BH$3,0,0,'Données projet'!$E$11+1,1))-AVERAGE(OFFSET($H$3,0,0,'Données projet'!$E$11+1,1))</f>
        <v>336.25341821407534</v>
      </c>
      <c r="BJ37" s="60">
        <f t="shared" si="38"/>
        <v>360.3246221345039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97.718399999999988</v>
      </c>
      <c r="CA37" s="14">
        <f t="shared" si="39"/>
        <v>26.417709819192194</v>
      </c>
      <c r="CB37" s="22">
        <f t="shared" si="10"/>
        <v>216.20372460175972</v>
      </c>
      <c r="CC37" s="60">
        <f t="shared" si="11"/>
        <v>458.97715606387533</v>
      </c>
      <c r="CD37" s="60">
        <f ca="1">AVERAGE(OFFSET($CC$3,0,0,'Données projet'!$E$12+1,1))-AVERAGE(OFFSET($H$3,0,0,'Données projet'!$E$12+1,1))</f>
        <v>469.67944008675863</v>
      </c>
      <c r="CE37" s="60">
        <f t="shared" si="40"/>
        <v>266.11908070867173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153.49999999999997</v>
      </c>
      <c r="CU37" s="18">
        <f>CT37*VLOOKUP('Données projet'!$B$13,Paramètres!$A$1:$I$89,3,0)*VLOOKUP('Données projet'!$B$13,Paramètres!$A$1:$I$89,5,0)</f>
        <v>119.72999999999998</v>
      </c>
      <c r="CV37" s="14">
        <f t="shared" si="41"/>
        <v>31.612017974790529</v>
      </c>
      <c r="CW37" s="22">
        <f t="shared" si="13"/>
        <v>263.58734797276014</v>
      </c>
      <c r="CX37" s="60">
        <f t="shared" si="14"/>
        <v>506.36077943487572</v>
      </c>
      <c r="CY37" s="60">
        <f ca="1">AVERAGE(OFFSET($CX$3,0,0,'Données projet'!$E$13+1,1))-AVERAGE(OFFSET($H$3,0,0,'Données projet'!$E$13+1,1))</f>
        <v>312.59632808777332</v>
      </c>
      <c r="CZ37" s="60">
        <f t="shared" si="42"/>
        <v>302.59481222418219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6.4102564102564088</v>
      </c>
      <c r="DO37" s="13">
        <f>IF('Données projet'!$A$166&gt;35,DO36+DN37-DW36,IF(A37&lt;'Données projet'!$A$166,$DL$205^A37,IF(A37='Données projet'!$A$166,'Données projet'!$B$166,DO36+DN37-DW36)))</f>
        <v>116.66666666666666</v>
      </c>
      <c r="DP37" s="18">
        <f>DO37*VLOOKUP('Données projet'!$B$14,Paramètres!$A$1:$I$89,3,0)*VLOOKUP('Données projet'!$B$14,Paramètres!$A$1:$I$89,5,0)</f>
        <v>111.02</v>
      </c>
      <c r="DQ37" s="14">
        <f t="shared" si="43"/>
        <v>29.571175279490561</v>
      </c>
      <c r="DR37" s="22">
        <f t="shared" si="16"/>
        <v>244.86296361177938</v>
      </c>
      <c r="DS37" s="60">
        <f t="shared" si="17"/>
        <v>487.63639507389496</v>
      </c>
      <c r="DT37" s="60">
        <f ca="1">AVERAGE(OFFSET($DS$3,0,0,'Données projet'!$E$14+1,1))-AVERAGE(OFFSET($H$3,0,0,'Données projet'!$E$14+1,1))</f>
        <v>398.29746143975166</v>
      </c>
      <c r="DU37" s="60">
        <f t="shared" si="44"/>
        <v>300.63705521148802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</v>
      </c>
      <c r="EJ37" s="13">
        <f>IF('Données projet'!$A$192&gt;35,EJ36+EI37-ER36,IF(A37&lt;'Données projet'!$A$192,$EG$205^A37,IF(A37='Données projet'!$A$192,'Données projet'!$B$192,EJ36+EI37-ER36)))</f>
        <v>108</v>
      </c>
      <c r="EK37" s="18">
        <f>EJ37*VLOOKUP('Données projet'!$B$15,Paramètres!$A$1:$I$89,3,0)*VLOOKUP('Données projet'!$B$15,Paramètres!$A$1:$I$89,5,0)</f>
        <v>104.4576</v>
      </c>
      <c r="EL37" s="14">
        <f t="shared" si="45"/>
        <v>28.021248860498272</v>
      </c>
      <c r="EM37" s="22">
        <f t="shared" si="19"/>
        <v>230.73399509870114</v>
      </c>
      <c r="EN37" s="60">
        <f t="shared" si="20"/>
        <v>473.50742656081673</v>
      </c>
      <c r="EO37" s="60">
        <f ca="1">AVERAGE(OFFSET($EN$3,0,0,'Données projet'!$E$15+1,1))-AVERAGE(OFFSET($H$3,0,0,'Données projet'!$E$15+1,1))</f>
        <v>496.33873798282525</v>
      </c>
      <c r="EP37" s="60">
        <f t="shared" si="46"/>
        <v>280.25465074992246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10.780000000000001</v>
      </c>
      <c r="FE37" s="13">
        <f>IF('Données projet'!$A$218&gt;35,FE36+FD37-FM36,IF(A37&lt;'Données projet'!$A$218,$FB$205^A37,IF(A37='Données projet'!$A$218,'Données projet'!$B$218,FE36+FD37-FM36)))</f>
        <v>161.62</v>
      </c>
      <c r="FF37" s="18">
        <f>FE37*VLOOKUP('Données projet'!$B$16,Paramètres!$A$1:$I$89,3,0)*VLOOKUP('Données projet'!$B$16,Paramètres!$A$1:$I$89,5,0)</f>
        <v>141.19123200000001</v>
      </c>
      <c r="FG37" s="14">
        <f t="shared" si="47"/>
        <v>36.569765303686403</v>
      </c>
      <c r="FH37" s="22">
        <f t="shared" si="22"/>
        <v>309.60040363725381</v>
      </c>
      <c r="FI37" s="60">
        <f t="shared" si="23"/>
        <v>552.37383509936944</v>
      </c>
      <c r="FJ37" s="60">
        <f ca="1">AVERAGE(OFFSET($FI$3,0,0,'Données projet'!$E$16+1,1))-AVERAGE(OFFSET($H$3,0,0,'Données projet'!$E$16+1,1))</f>
        <v>363.28611056308665</v>
      </c>
      <c r="FK37" s="60">
        <f t="shared" si="48"/>
        <v>389.43647559455974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7.6923076923076881</v>
      </c>
      <c r="FZ37" s="13">
        <f>IF('Données projet'!$A$244&gt;35,FZ36+FY37-GH36,IF(A37&lt;'Données projet'!$A$244,$FW$205^A37,IF(A37='Données projet'!$A$244,'Données projet'!$B$244,FZ36+FY37-GH36)))</f>
        <v>147.43589743589746</v>
      </c>
      <c r="GA37" s="18">
        <f>FZ37*VLOOKUP('Données projet'!$B$17,Paramètres!$A$1:$I$89,3,0)*VLOOKUP('Données projet'!$B$17,Paramètres!$A$1:$I$89,5,0)</f>
        <v>98.90000000000002</v>
      </c>
      <c r="GB37" s="14">
        <f t="shared" si="49"/>
        <v>26.699769255487553</v>
      </c>
      <c r="GC37" s="22">
        <f t="shared" si="25"/>
        <v>218.7529314533075</v>
      </c>
      <c r="GD37" s="60">
        <f t="shared" si="26"/>
        <v>461.52636291542308</v>
      </c>
      <c r="GE37" s="60">
        <f ca="1">AVERAGE(OFFSET($GD$3,0,0,'Données projet'!$E$17+1,1))-AVERAGE(OFFSET($H$3,0,0,'Données projet'!$E$17+1,1))</f>
        <v>344.62096650402731</v>
      </c>
      <c r="GF37" s="60">
        <f t="shared" si="50"/>
        <v>277.30931495079346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167</v>
      </c>
      <c r="L38" s="13">
        <f>VLOOKUP(A38,'Données projet'!$A$35:$I$55,9,0)</f>
        <v>10.199999999999999</v>
      </c>
      <c r="M38" s="13">
        <f t="array" ref="M38">INDEX(L:L,MIN(IF(ISNUMBER(L38:L234),ROW(L38:L234),"")))</f>
        <v>10.199999999999999</v>
      </c>
      <c r="N38" s="14">
        <f>IF('Données projet'!$A$36&gt;35,N37+M38-V37,IF(A38&lt;'Données projet'!$A$36,$K$205^A38,IF(A38='Données projet'!$A$36,'Données projet'!$B$36,N37+M38-V37)))</f>
        <v>166.99999999999994</v>
      </c>
      <c r="O38" s="14">
        <f>N38*VLOOKUP('Données projet'!$B$9,Paramètres!$A$1:$I$89,3,0)*VLOOKUP('Données projet'!$B$9,Paramètres!$A$1:$I$89,5,0)</f>
        <v>143.28599999999997</v>
      </c>
      <c r="P38" s="14">
        <f t="shared" si="33"/>
        <v>37.048762502809495</v>
      </c>
      <c r="Q38" s="22">
        <f t="shared" si="53"/>
        <v>314.08304469239312</v>
      </c>
      <c r="R38" s="60">
        <f t="shared" si="0"/>
        <v>557.73357741696759</v>
      </c>
      <c r="S38" s="60">
        <f ca="1">AVERAGE(OFFSET($R$3,0,0,'Données projet'!$E$9+1,1))-AVERAGE(OFFSET($H$3,0,0,'Données projet'!$E$9+1,1))</f>
        <v>632.26350546340541</v>
      </c>
      <c r="T38" s="60">
        <f t="shared" si="34"/>
        <v>340.45335016367915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172.4</v>
      </c>
      <c r="AG38" s="13">
        <f>VLOOKUP(A38,'Données projet'!$A$61:$I$81,9,0)</f>
        <v>10.780000000000001</v>
      </c>
      <c r="AH38" s="13">
        <f t="array" ref="AH38">INDEX(AG:AG,MIN(IF(ISNUMBER(AG38:AG234),ROW(AG38:AG234),"")))</f>
        <v>10.780000000000001</v>
      </c>
      <c r="AI38" s="14">
        <f>IF('Données projet'!$A$62&gt;35,AI37+AH38-AQ37,IF(A38&lt;'Données projet'!$A$62,$AF$205^A38,IF(A38='Données projet'!$A$62,'Données projet'!$B$62,AI37+AH38-AQ37)))</f>
        <v>172.4</v>
      </c>
      <c r="AJ38" s="14">
        <f>AI38*VLOOKUP('Données projet'!$B$10,Paramètres!$A$1:$I$89,3,0)*VLOOKUP('Données projet'!$B$10,Paramètres!$A$1:$I$89,5,0)</f>
        <v>137.16144000000003</v>
      </c>
      <c r="AK38" s="14">
        <f t="shared" si="35"/>
        <v>35.64595806367339</v>
      </c>
      <c r="AL38" s="22">
        <f t="shared" si="4"/>
        <v>300.97288496089783</v>
      </c>
      <c r="AM38" s="60">
        <f t="shared" si="5"/>
        <v>544.6234176854723</v>
      </c>
      <c r="AN38" s="60">
        <f ca="1">AVERAGE(OFFSET($AM$3,0,0,'Données projet'!$E$10+1,1))-AVERAGE(OFFSET($H$3,0,0,'Données projet'!$E$10+1,1))</f>
        <v>336.25341821407534</v>
      </c>
      <c r="AO38" s="60">
        <f t="shared" si="36"/>
        <v>360.3246221345039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172.4</v>
      </c>
      <c r="BE38" s="14">
        <f>BD38*VLOOKUP('Données projet'!$B$11,Paramètres!$A$1:$I$89,3,0)*VLOOKUP('Données projet'!$B$11,Paramètres!$A$1:$I$89,5,0)</f>
        <v>137.16144000000003</v>
      </c>
      <c r="BF38" s="14">
        <f t="shared" si="37"/>
        <v>35.64595806367339</v>
      </c>
      <c r="BG38" s="22">
        <f t="shared" si="7"/>
        <v>300.97288496089783</v>
      </c>
      <c r="BH38" s="60">
        <f t="shared" si="8"/>
        <v>544.6234176854723</v>
      </c>
      <c r="BI38" s="60">
        <f ca="1">AVERAGE(OFFSET($BH$3,0,0,'Données projet'!$E$11+1,1))-AVERAGE(OFFSET($H$3,0,0,'Données projet'!$E$11+1,1))</f>
        <v>336.25341821407534</v>
      </c>
      <c r="BJ38" s="60">
        <f t="shared" si="38"/>
        <v>360.3246221345039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104.9568</v>
      </c>
      <c r="CA38" s="14">
        <f t="shared" si="39"/>
        <v>28.139541339232373</v>
      </c>
      <c r="CB38" s="22">
        <f t="shared" si="10"/>
        <v>231.8094611658297</v>
      </c>
      <c r="CC38" s="60">
        <f t="shared" si="11"/>
        <v>475.45999389040423</v>
      </c>
      <c r="CD38" s="60">
        <f ca="1">AVERAGE(OFFSET($CC$3,0,0,'Données projet'!$E$12+1,1))-AVERAGE(OFFSET($H$3,0,0,'Données projet'!$E$12+1,1))</f>
        <v>469.67944008675863</v>
      </c>
      <c r="CE38" s="60">
        <f t="shared" si="40"/>
        <v>266.11908070867173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164.99999999999997</v>
      </c>
      <c r="CU38" s="18">
        <f>CT38*VLOOKUP('Données projet'!$B$13,Paramètres!$A$1:$I$89,3,0)*VLOOKUP('Données projet'!$B$13,Paramètres!$A$1:$I$89,5,0)</f>
        <v>128.69999999999999</v>
      </c>
      <c r="CV38" s="14">
        <f t="shared" si="41"/>
        <v>33.695792019186115</v>
      </c>
      <c r="CW38" s="22">
        <f t="shared" si="13"/>
        <v>282.83933776674911</v>
      </c>
      <c r="CX38" s="60">
        <f t="shared" si="14"/>
        <v>526.48987049132359</v>
      </c>
      <c r="CY38" s="60">
        <f ca="1">AVERAGE(OFFSET($CX$3,0,0,'Données projet'!$E$13+1,1))-AVERAGE(OFFSET($H$3,0,0,'Données projet'!$E$13+1,1))</f>
        <v>312.59632808777332</v>
      </c>
      <c r="CZ38" s="60">
        <f t="shared" si="42"/>
        <v>302.59481222418219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123.07692307692307</v>
      </c>
      <c r="DM38" s="13">
        <f>VLOOKUP(A38,'Données projet'!$A$165:$I$185,9,0)</f>
        <v>6.4102564102564088</v>
      </c>
      <c r="DN38" s="13">
        <f t="array" ref="DN38">INDEX(DM:DM,MIN(IF(ISNUMBER(DM38:DM234),ROW(DM38:DM234),"")))</f>
        <v>6.4102564102564088</v>
      </c>
      <c r="DO38" s="13">
        <f>IF('Données projet'!$A$166&gt;35,DO37+DN38-DW37,IF(A38&lt;'Données projet'!$A$166,$DL$205^A38,IF(A38='Données projet'!$A$166,'Données projet'!$B$166,DO37+DN38-DW37)))</f>
        <v>123.07692307692307</v>
      </c>
      <c r="DP38" s="18">
        <f>DO38*VLOOKUP('Données projet'!$B$14,Paramètres!$A$1:$I$89,3,0)*VLOOKUP('Données projet'!$B$14,Paramètres!$A$1:$I$89,5,0)</f>
        <v>117.11999999999999</v>
      </c>
      <c r="DQ38" s="14">
        <f t="shared" si="43"/>
        <v>31.002339853075508</v>
      </c>
      <c r="DR38" s="22">
        <f t="shared" si="16"/>
        <v>257.97974191077316</v>
      </c>
      <c r="DS38" s="60">
        <f t="shared" si="17"/>
        <v>501.63027463534763</v>
      </c>
      <c r="DT38" s="60">
        <f ca="1">AVERAGE(OFFSET($DS$3,0,0,'Données projet'!$E$14+1,1))-AVERAGE(OFFSET($H$3,0,0,'Données projet'!$E$14+1,1))</f>
        <v>398.29746143975166</v>
      </c>
      <c r="DU38" s="60">
        <f t="shared" si="44"/>
        <v>300.63705521148802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116</v>
      </c>
      <c r="EH38" s="13">
        <f>VLOOKUP(A38,'Données projet'!$A$191:$I$211,9,0)</f>
        <v>8</v>
      </c>
      <c r="EI38" s="13">
        <f t="array" ref="EI38">INDEX(EH:EH,MIN(IF(ISNUMBER(EH38:EH234),ROW(EH38:EH234),"")))</f>
        <v>8</v>
      </c>
      <c r="EJ38" s="13">
        <f>IF('Données projet'!$A$192&gt;35,EJ37+EI38-ER37,IF(A38&lt;'Données projet'!$A$192,$EG$205^A38,IF(A38='Données projet'!$A$192,'Données projet'!$B$192,EJ37+EI38-ER37)))</f>
        <v>116</v>
      </c>
      <c r="EK38" s="18">
        <f>EJ38*VLOOKUP('Données projet'!$B$15,Paramètres!$A$1:$I$89,3,0)*VLOOKUP('Données projet'!$B$15,Paramètres!$A$1:$I$89,5,0)</f>
        <v>112.1952</v>
      </c>
      <c r="EL38" s="14">
        <f t="shared" si="45"/>
        <v>29.847594514573263</v>
      </c>
      <c r="EM38" s="22">
        <f t="shared" si="19"/>
        <v>247.39120044621509</v>
      </c>
      <c r="EN38" s="60">
        <f t="shared" si="20"/>
        <v>491.0417331707896</v>
      </c>
      <c r="EO38" s="60">
        <f ca="1">AVERAGE(OFFSET($EN$3,0,0,'Données projet'!$E$15+1,1))-AVERAGE(OFFSET($H$3,0,0,'Données projet'!$E$15+1,1))</f>
        <v>496.33873798282525</v>
      </c>
      <c r="EP38" s="60">
        <f t="shared" si="46"/>
        <v>280.25465074992246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172.4</v>
      </c>
      <c r="FC38" s="13">
        <f>VLOOKUP(A38,'Données projet'!$A$217:$I$237,9,0)</f>
        <v>10.780000000000001</v>
      </c>
      <c r="FD38" s="13">
        <f t="array" ref="FD38">INDEX(FC:FC,MIN(IF(ISNUMBER(FC38:FC234),ROW(FC38:FC234),"")))</f>
        <v>10.780000000000001</v>
      </c>
      <c r="FE38" s="13">
        <f>IF('Données projet'!$A$218&gt;35,FE37+FD38-FM37,IF(A38&lt;'Données projet'!$A$218,$FB$205^A38,IF(A38='Données projet'!$A$218,'Données projet'!$B$218,FE37+FD38-FM37)))</f>
        <v>172.4</v>
      </c>
      <c r="FF38" s="18">
        <f>FE38*VLOOKUP('Données projet'!$B$16,Paramètres!$A$1:$I$89,3,0)*VLOOKUP('Données projet'!$B$16,Paramètres!$A$1:$I$89,5,0)</f>
        <v>150.60864000000004</v>
      </c>
      <c r="FG38" s="14">
        <f t="shared" si="47"/>
        <v>38.716868630535288</v>
      </c>
      <c r="FH38" s="22">
        <f t="shared" si="22"/>
        <v>329.74192753151567</v>
      </c>
      <c r="FI38" s="60">
        <f t="shared" si="23"/>
        <v>573.3924602560902</v>
      </c>
      <c r="FJ38" s="60">
        <f ca="1">AVERAGE(OFFSET($FI$3,0,0,'Données projet'!$E$16+1,1))-AVERAGE(OFFSET($H$3,0,0,'Données projet'!$E$16+1,1))</f>
        <v>363.28611056308665</v>
      </c>
      <c r="FK38" s="60">
        <f t="shared" si="48"/>
        <v>389.43647559455974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155.12820512820511</v>
      </c>
      <c r="FX38" s="13">
        <f>VLOOKUP(A38,'Données projet'!$A$243:$I$263,9,0)</f>
        <v>7.6923076923076881</v>
      </c>
      <c r="FY38" s="13">
        <f t="array" ref="FY38">INDEX(FX:FX,MIN(IF(ISNUMBER(FX38:FX234),ROW(FX38:FX234),"")))</f>
        <v>7.6923076923076881</v>
      </c>
      <c r="FZ38" s="13">
        <f>IF('Données projet'!$A$244&gt;35,FZ37+FY38-GH37,IF(A38&lt;'Données projet'!$A$244,$FW$205^A38,IF(A38='Données projet'!$A$244,'Données projet'!$B$244,FZ37+FY38-GH37)))</f>
        <v>155.12820512820514</v>
      </c>
      <c r="GA38" s="18">
        <f>FZ38*VLOOKUP('Données projet'!$B$17,Paramètres!$A$1:$I$89,3,0)*VLOOKUP('Données projet'!$B$17,Paramètres!$A$1:$I$89,5,0)</f>
        <v>104.06</v>
      </c>
      <c r="GB38" s="14">
        <f t="shared" si="49"/>
        <v>27.926984861261673</v>
      </c>
      <c r="GC38" s="22">
        <f t="shared" si="25"/>
        <v>229.8773319666974</v>
      </c>
      <c r="GD38" s="60">
        <f t="shared" si="26"/>
        <v>473.52786469127193</v>
      </c>
      <c r="GE38" s="60">
        <f ca="1">AVERAGE(OFFSET($GD$3,0,0,'Données projet'!$E$17+1,1))-AVERAGE(OFFSET($H$3,0,0,'Données projet'!$E$17+1,1))</f>
        <v>344.62096650402731</v>
      </c>
      <c r="GF38" s="60">
        <f t="shared" si="50"/>
        <v>277.30931495079346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10.6</v>
      </c>
      <c r="N39" s="14">
        <f>IF('Données projet'!$A$36&gt;35,N38+M39-V38,IF(A39&lt;'Données projet'!$A$36,$K$205^A39,IF(A39='Données projet'!$A$36,'Données projet'!$B$36,N38+M39-V38)))</f>
        <v>177.59999999999994</v>
      </c>
      <c r="O39" s="14">
        <f>N39*VLOOKUP('Données projet'!$B$9,Paramètres!$A$1:$I$89,3,0)*VLOOKUP('Données projet'!$B$9,Paramètres!$A$1:$I$89,5,0)</f>
        <v>152.38079999999997</v>
      </c>
      <c r="P39" s="14">
        <f t="shared" si="33"/>
        <v>39.119134100645013</v>
      </c>
      <c r="Q39" s="22">
        <f t="shared" si="53"/>
        <v>333.52905189195661</v>
      </c>
      <c r="R39" s="60">
        <f t="shared" si="0"/>
        <v>578.04147013299098</v>
      </c>
      <c r="S39" s="60">
        <f ca="1">AVERAGE(OFFSET($R$3,0,0,'Données projet'!$E$9+1,1))-AVERAGE(OFFSET($H$3,0,0,'Données projet'!$E$9+1,1))</f>
        <v>632.26350546340541</v>
      </c>
      <c r="T39" s="60">
        <f t="shared" si="34"/>
        <v>340.45335016367915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9.4399999999999977</v>
      </c>
      <c r="AI39" s="14">
        <f>IF('Données projet'!$A$62&gt;35,AI38+AH39-AQ38,IF(A39&lt;'Données projet'!$A$62,$AF$205^A39,IF(A39='Données projet'!$A$62,'Données projet'!$B$62,AI38+AH39-AQ38)))</f>
        <v>181.84</v>
      </c>
      <c r="AJ39" s="14">
        <f>AI39*VLOOKUP('Données projet'!$B$10,Paramètres!$A$1:$I$89,3,0)*VLOOKUP('Données projet'!$B$10,Paramètres!$A$1:$I$89,5,0)</f>
        <v>144.67190400000001</v>
      </c>
      <c r="AK39" s="14">
        <f t="shared" si="35"/>
        <v>37.365219813928285</v>
      </c>
      <c r="AL39" s="22">
        <f t="shared" si="4"/>
        <v>317.04799064259174</v>
      </c>
      <c r="AM39" s="60">
        <f t="shared" si="5"/>
        <v>561.56040888362622</v>
      </c>
      <c r="AN39" s="60">
        <f ca="1">AVERAGE(OFFSET($AM$3,0,0,'Données projet'!$E$10+1,1))-AVERAGE(OFFSET($H$3,0,0,'Données projet'!$E$10+1,1))</f>
        <v>336.25341821407534</v>
      </c>
      <c r="AO39" s="60">
        <f t="shared" si="36"/>
        <v>360.3246221345039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181.84</v>
      </c>
      <c r="BE39" s="14">
        <f>BD39*VLOOKUP('Données projet'!$B$11,Paramètres!$A$1:$I$89,3,0)*VLOOKUP('Données projet'!$B$11,Paramètres!$A$1:$I$89,5,0)</f>
        <v>144.67190400000001</v>
      </c>
      <c r="BF39" s="14">
        <f t="shared" si="37"/>
        <v>37.365219813928285</v>
      </c>
      <c r="BG39" s="22">
        <f t="shared" si="7"/>
        <v>317.04799064259174</v>
      </c>
      <c r="BH39" s="60">
        <f t="shared" si="8"/>
        <v>561.56040888362622</v>
      </c>
      <c r="BI39" s="60">
        <f ca="1">AVERAGE(OFFSET($BH$3,0,0,'Données projet'!$E$11+1,1))-AVERAGE(OFFSET($H$3,0,0,'Données projet'!$E$11+1,1))</f>
        <v>336.25341821407534</v>
      </c>
      <c r="BJ39" s="60">
        <f t="shared" si="38"/>
        <v>360.3246221345039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112.55712000000001</v>
      </c>
      <c r="CA39" s="14">
        <f t="shared" si="39"/>
        <v>29.932653834140599</v>
      </c>
      <c r="CB39" s="22">
        <f t="shared" si="10"/>
        <v>248.16968942779488</v>
      </c>
      <c r="CC39" s="60">
        <f t="shared" si="11"/>
        <v>492.6821076688293</v>
      </c>
      <c r="CD39" s="60">
        <f ca="1">AVERAGE(OFFSET($CC$3,0,0,'Données projet'!$E$12+1,1))-AVERAGE(OFFSET($H$3,0,0,'Données projet'!$E$12+1,1))</f>
        <v>469.67944008675863</v>
      </c>
      <c r="CE39" s="60">
        <f t="shared" si="40"/>
        <v>266.11908070867173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176.49999999999997</v>
      </c>
      <c r="CU39" s="18">
        <f>CT39*VLOOKUP('Données projet'!$B$13,Paramètres!$A$1:$I$89,3,0)*VLOOKUP('Données projet'!$B$13,Paramètres!$A$1:$I$89,5,0)</f>
        <v>137.66999999999999</v>
      </c>
      <c r="CV39" s="14">
        <f t="shared" si="41"/>
        <v>35.762714965854656</v>
      </c>
      <c r="CW39" s="22">
        <f t="shared" si="13"/>
        <v>302.06197856553018</v>
      </c>
      <c r="CX39" s="60">
        <f t="shared" si="14"/>
        <v>546.57439680656466</v>
      </c>
      <c r="CY39" s="60">
        <f ca="1">AVERAGE(OFFSET($CX$3,0,0,'Données projet'!$E$13+1,1))-AVERAGE(OFFSET($H$3,0,0,'Données projet'!$E$13+1,1))</f>
        <v>312.59632808777332</v>
      </c>
      <c r="CZ39" s="60">
        <f t="shared" si="42"/>
        <v>302.59481222418219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5.8974358974359005</v>
      </c>
      <c r="DO39" s="13">
        <f>IF('Données projet'!$A$166&gt;35,DO38+DN39-DW38,IF(A39&lt;'Données projet'!$A$166,$DL$205^A39,IF(A39='Données projet'!$A$166,'Données projet'!$B$166,DO38+DN39-DW38)))</f>
        <v>128.97435897435898</v>
      </c>
      <c r="DP39" s="18">
        <f>DO39*VLOOKUP('Données projet'!$B$14,Paramètres!$A$1:$I$89,3,0)*VLOOKUP('Données projet'!$B$14,Paramètres!$A$1:$I$89,5,0)</f>
        <v>122.73200000000001</v>
      </c>
      <c r="DQ39" s="14">
        <f t="shared" si="43"/>
        <v>32.311356202721527</v>
      </c>
      <c r="DR39" s="22">
        <f t="shared" si="16"/>
        <v>270.03384538640671</v>
      </c>
      <c r="DS39" s="60">
        <f t="shared" si="17"/>
        <v>514.54626362744114</v>
      </c>
      <c r="DT39" s="60">
        <f ca="1">AVERAGE(OFFSET($DS$3,0,0,'Données projet'!$E$14+1,1))-AVERAGE(OFFSET($H$3,0,0,'Données projet'!$E$14+1,1))</f>
        <v>398.29746143975166</v>
      </c>
      <c r="DU39" s="60">
        <f t="shared" si="44"/>
        <v>300.63705521148802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8.4</v>
      </c>
      <c r="EJ39" s="13">
        <f>IF('Données projet'!$A$192&gt;35,EJ38+EI39-ER38,IF(A39&lt;'Données projet'!$A$192,$EG$205^A39,IF(A39='Données projet'!$A$192,'Données projet'!$B$192,EJ38+EI39-ER38)))</f>
        <v>124.4</v>
      </c>
      <c r="EK39" s="18">
        <f>EJ39*VLOOKUP('Données projet'!$B$15,Paramètres!$A$1:$I$89,3,0)*VLOOKUP('Données projet'!$B$15,Paramètres!$A$1:$I$89,5,0)</f>
        <v>120.31968000000001</v>
      </c>
      <c r="EL39" s="14">
        <f t="shared" si="45"/>
        <v>31.74954785566829</v>
      </c>
      <c r="EM39" s="22">
        <f t="shared" si="19"/>
        <v>264.85390518195555</v>
      </c>
      <c r="EN39" s="60">
        <f t="shared" si="20"/>
        <v>509.36632342298998</v>
      </c>
      <c r="EO39" s="60">
        <f ca="1">AVERAGE(OFFSET($EN$3,0,0,'Données projet'!$E$15+1,1))-AVERAGE(OFFSET($H$3,0,0,'Données projet'!$E$15+1,1))</f>
        <v>496.33873798282525</v>
      </c>
      <c r="EP39" s="60">
        <f t="shared" si="46"/>
        <v>280.25465074992246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9.4399999999999977</v>
      </c>
      <c r="FE39" s="13">
        <f>IF('Données projet'!$A$218&gt;35,FE38+FD39-FM38,IF(A39&lt;'Données projet'!$A$218,$FB$205^A39,IF(A39='Données projet'!$A$218,'Données projet'!$B$218,FE38+FD39-FM38)))</f>
        <v>181.84</v>
      </c>
      <c r="FF39" s="18">
        <f>FE39*VLOOKUP('Données projet'!$B$16,Paramètres!$A$1:$I$89,3,0)*VLOOKUP('Données projet'!$B$16,Paramètres!$A$1:$I$89,5,0)</f>
        <v>158.85542400000003</v>
      </c>
      <c r="FG39" s="14">
        <f t="shared" si="47"/>
        <v>40.584245324611537</v>
      </c>
      <c r="FH39" s="22">
        <f t="shared" si="22"/>
        <v>347.35742407369844</v>
      </c>
      <c r="FI39" s="60">
        <f t="shared" si="23"/>
        <v>591.86984231473286</v>
      </c>
      <c r="FJ39" s="60">
        <f ca="1">AVERAGE(OFFSET($FI$3,0,0,'Données projet'!$E$16+1,1))-AVERAGE(OFFSET($H$3,0,0,'Données projet'!$E$16+1,1))</f>
        <v>363.28611056308665</v>
      </c>
      <c r="FK39" s="60">
        <f t="shared" si="48"/>
        <v>389.43647559455974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7.1794871794871824</v>
      </c>
      <c r="FZ39" s="13">
        <f>IF('Données projet'!$A$244&gt;35,FZ38+FY39-GH38,IF(A39&lt;'Données projet'!$A$244,$FW$205^A39,IF(A39='Données projet'!$A$244,'Données projet'!$B$244,FZ38+FY39-GH38)))</f>
        <v>162.30769230769232</v>
      </c>
      <c r="GA39" s="18">
        <f>FZ39*VLOOKUP('Données projet'!$B$17,Paramètres!$A$1:$I$89,3,0)*VLOOKUP('Données projet'!$B$17,Paramètres!$A$1:$I$89,5,0)</f>
        <v>108.87600000000002</v>
      </c>
      <c r="GB39" s="14">
        <f t="shared" si="49"/>
        <v>29.066003313709242</v>
      </c>
      <c r="GC39" s="22">
        <f t="shared" si="25"/>
        <v>240.24898910471029</v>
      </c>
      <c r="GD39" s="60">
        <f t="shared" si="26"/>
        <v>484.76140734574471</v>
      </c>
      <c r="GE39" s="60">
        <f ca="1">AVERAGE(OFFSET($GD$3,0,0,'Données projet'!$E$17+1,1))-AVERAGE(OFFSET($H$3,0,0,'Données projet'!$E$17+1,1))</f>
        <v>344.62096650402731</v>
      </c>
      <c r="GF39" s="60">
        <f t="shared" si="50"/>
        <v>277.30931495079346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10.6</v>
      </c>
      <c r="N40" s="14">
        <f>IF('Données projet'!$A$36&gt;35,N39+M40-V39,IF(A40&lt;'Données projet'!$A$36,$K$205^A40,IF(A40='Données projet'!$A$36,'Données projet'!$B$36,N39+M40-V39)))</f>
        <v>188.19999999999993</v>
      </c>
      <c r="O40" s="14">
        <f>N40*VLOOKUP('Données projet'!$B$9,Paramètres!$A$1:$I$89,3,0)*VLOOKUP('Données projet'!$B$9,Paramètres!$A$1:$I$89,5,0)</f>
        <v>161.47559999999996</v>
      </c>
      <c r="P40" s="14">
        <f t="shared" si="33"/>
        <v>41.175163071691621</v>
      </c>
      <c r="Q40" s="22">
        <f t="shared" si="53"/>
        <v>352.95007901652951</v>
      </c>
      <c r="R40" s="60">
        <f t="shared" si="0"/>
        <v>598.30943098720059</v>
      </c>
      <c r="S40" s="60">
        <f ca="1">AVERAGE(OFFSET($R$3,0,0,'Données projet'!$E$9+1,1))-AVERAGE(OFFSET($H$3,0,0,'Données projet'!$E$9+1,1))</f>
        <v>632.26350546340541</v>
      </c>
      <c r="T40" s="60">
        <f t="shared" si="34"/>
        <v>340.45335016367915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9.4399999999999977</v>
      </c>
      <c r="AI40" s="14">
        <f>IF('Données projet'!$A$62&gt;35,AI39+AH40-AQ39,IF(A40&lt;'Données projet'!$A$62,$AF$205^A40,IF(A40='Données projet'!$A$62,'Données projet'!$B$62,AI39+AH40-AQ39)))</f>
        <v>191.28</v>
      </c>
      <c r="AJ40" s="14">
        <f>AI40*VLOOKUP('Données projet'!$B$10,Paramètres!$A$1:$I$89,3,0)*VLOOKUP('Données projet'!$B$10,Paramètres!$A$1:$I$89,5,0)</f>
        <v>152.18236800000003</v>
      </c>
      <c r="AK40" s="14">
        <f t="shared" si="35"/>
        <v>39.074118885510551</v>
      </c>
      <c r="AL40" s="22">
        <f t="shared" si="4"/>
        <v>333.10504799226425</v>
      </c>
      <c r="AM40" s="60">
        <f t="shared" si="5"/>
        <v>578.46439996293532</v>
      </c>
      <c r="AN40" s="60">
        <f ca="1">AVERAGE(OFFSET($AM$3,0,0,'Données projet'!$E$10+1,1))-AVERAGE(OFFSET($H$3,0,0,'Données projet'!$E$10+1,1))</f>
        <v>336.25341821407534</v>
      </c>
      <c r="AO40" s="60">
        <f t="shared" si="36"/>
        <v>360.3246221345039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191.28</v>
      </c>
      <c r="BE40" s="14">
        <f>BD40*VLOOKUP('Données projet'!$B$11,Paramètres!$A$1:$I$89,3,0)*VLOOKUP('Données projet'!$B$11,Paramètres!$A$1:$I$89,5,0)</f>
        <v>152.18236800000003</v>
      </c>
      <c r="BF40" s="14">
        <f t="shared" si="37"/>
        <v>39.074118885510551</v>
      </c>
      <c r="BG40" s="22">
        <f t="shared" si="7"/>
        <v>333.10504799226425</v>
      </c>
      <c r="BH40" s="60">
        <f t="shared" si="8"/>
        <v>578.46439996293532</v>
      </c>
      <c r="BI40" s="60">
        <f ca="1">AVERAGE(OFFSET($BH$3,0,0,'Données projet'!$E$11+1,1))-AVERAGE(OFFSET($H$3,0,0,'Données projet'!$E$11+1,1))</f>
        <v>336.25341821407534</v>
      </c>
      <c r="BJ40" s="60">
        <f t="shared" si="38"/>
        <v>360.3246221345039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120.15744000000001</v>
      </c>
      <c r="CA40" s="14">
        <f t="shared" si="39"/>
        <v>31.711716786129845</v>
      </c>
      <c r="CB40" s="22">
        <f t="shared" si="10"/>
        <v>264.50544806917611</v>
      </c>
      <c r="CC40" s="60">
        <f t="shared" si="11"/>
        <v>509.86480003984718</v>
      </c>
      <c r="CD40" s="60">
        <f ca="1">AVERAGE(OFFSET($CC$3,0,0,'Données projet'!$E$12+1,1))-AVERAGE(OFFSET($H$3,0,0,'Données projet'!$E$12+1,1))</f>
        <v>469.67944008675863</v>
      </c>
      <c r="CE40" s="60">
        <f t="shared" si="40"/>
        <v>266.11908070867173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187.99999999999997</v>
      </c>
      <c r="CU40" s="18">
        <f>CT40*VLOOKUP('Données projet'!$B$13,Paramètres!$A$1:$I$89,3,0)*VLOOKUP('Données projet'!$B$13,Paramètres!$A$1:$I$89,5,0)</f>
        <v>146.63999999999999</v>
      </c>
      <c r="CV40" s="14">
        <f t="shared" si="41"/>
        <v>37.814009712703026</v>
      </c>
      <c r="CW40" s="22">
        <f t="shared" si="13"/>
        <v>321.25740024962437</v>
      </c>
      <c r="CX40" s="60">
        <f t="shared" si="14"/>
        <v>566.61675222029544</v>
      </c>
      <c r="CY40" s="60">
        <f ca="1">AVERAGE(OFFSET($CX$3,0,0,'Données projet'!$E$13+1,1))-AVERAGE(OFFSET($H$3,0,0,'Données projet'!$E$13+1,1))</f>
        <v>312.59632808777332</v>
      </c>
      <c r="CZ40" s="60">
        <f t="shared" si="42"/>
        <v>302.59481222418219</v>
      </c>
      <c r="DA40" s="16">
        <f>IF(ISNA(VLOOKUP(A40,'Données projet'!$A$139:$I$159,3,0)),0,VLOOKUP(A40,'Données projet'!$A$139:$I$159,3,0))</f>
        <v>3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5.8974358974359005</v>
      </c>
      <c r="DO40" s="13">
        <f>IF('Données projet'!$A$166&gt;35,DO39+DN40-DW39,IF(A40&lt;'Données projet'!$A$166,$DL$205^A40,IF(A40='Données projet'!$A$166,'Données projet'!$B$166,DO39+DN40-DW39)))</f>
        <v>134.87179487179489</v>
      </c>
      <c r="DP40" s="18">
        <f>DO40*VLOOKUP('Données projet'!$B$14,Paramètres!$A$1:$I$89,3,0)*VLOOKUP('Données projet'!$B$14,Paramètres!$A$1:$I$89,5,0)</f>
        <v>128.34400000000002</v>
      </c>
      <c r="DQ40" s="14">
        <f t="shared" si="43"/>
        <v>33.613421309084202</v>
      </c>
      <c r="DR40" s="22">
        <f t="shared" si="16"/>
        <v>282.07584211332164</v>
      </c>
      <c r="DS40" s="60">
        <f t="shared" si="17"/>
        <v>527.43519408399277</v>
      </c>
      <c r="DT40" s="60">
        <f ca="1">AVERAGE(OFFSET($DS$3,0,0,'Données projet'!$E$14+1,1))-AVERAGE(OFFSET($H$3,0,0,'Données projet'!$E$14+1,1))</f>
        <v>398.29746143975166</v>
      </c>
      <c r="DU40" s="60">
        <f t="shared" si="44"/>
        <v>300.63705521148802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8.4</v>
      </c>
      <c r="EJ40" s="13">
        <f>IF('Données projet'!$A$192&gt;35,EJ39+EI40-ER39,IF(A40&lt;'Données projet'!$A$192,$EG$205^A40,IF(A40='Données projet'!$A$192,'Données projet'!$B$192,EJ39+EI40-ER39)))</f>
        <v>132.80000000000001</v>
      </c>
      <c r="EK40" s="18">
        <f>EJ40*VLOOKUP('Données projet'!$B$15,Paramètres!$A$1:$I$89,3,0)*VLOOKUP('Données projet'!$B$15,Paramètres!$A$1:$I$89,5,0)</f>
        <v>128.44416000000001</v>
      </c>
      <c r="EL40" s="14">
        <f t="shared" si="45"/>
        <v>33.636598855068925</v>
      </c>
      <c r="EM40" s="22">
        <f t="shared" si="19"/>
        <v>282.29065500591173</v>
      </c>
      <c r="EN40" s="60">
        <f t="shared" si="20"/>
        <v>527.65000697658286</v>
      </c>
      <c r="EO40" s="60">
        <f ca="1">AVERAGE(OFFSET($EN$3,0,0,'Données projet'!$E$15+1,1))-AVERAGE(OFFSET($H$3,0,0,'Données projet'!$E$15+1,1))</f>
        <v>496.33873798282525</v>
      </c>
      <c r="EP40" s="60">
        <f t="shared" si="46"/>
        <v>280.25465074992246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9.4399999999999977</v>
      </c>
      <c r="FE40" s="13">
        <f>IF('Données projet'!$A$218&gt;35,FE39+FD40-FM39,IF(A40&lt;'Données projet'!$A$218,$FB$205^A40,IF(A40='Données projet'!$A$218,'Données projet'!$B$218,FE39+FD40-FM39)))</f>
        <v>191.28</v>
      </c>
      <c r="FF40" s="18">
        <f>FE40*VLOOKUP('Données projet'!$B$16,Paramètres!$A$1:$I$89,3,0)*VLOOKUP('Données projet'!$B$16,Paramètres!$A$1:$I$89,5,0)</f>
        <v>167.10220800000002</v>
      </c>
      <c r="FG40" s="14">
        <f t="shared" si="47"/>
        <v>42.440366591968385</v>
      </c>
      <c r="FH40" s="22">
        <f t="shared" si="22"/>
        <v>364.95331741434489</v>
      </c>
      <c r="FI40" s="60">
        <f t="shared" si="23"/>
        <v>610.31266938501597</v>
      </c>
      <c r="FJ40" s="60">
        <f ca="1">AVERAGE(OFFSET($FI$3,0,0,'Données projet'!$E$16+1,1))-AVERAGE(OFFSET($H$3,0,0,'Données projet'!$E$16+1,1))</f>
        <v>363.28611056308665</v>
      </c>
      <c r="FK40" s="60">
        <f t="shared" si="48"/>
        <v>389.43647559455974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7.1794871794871824</v>
      </c>
      <c r="FZ40" s="13">
        <f>IF('Données projet'!$A$244&gt;35,FZ39+FY40-GH39,IF(A40&lt;'Données projet'!$A$244,$FW$205^A40,IF(A40='Données projet'!$A$244,'Données projet'!$B$244,FZ39+FY40-GH39)))</f>
        <v>169.4871794871795</v>
      </c>
      <c r="GA40" s="18">
        <f>FZ40*VLOOKUP('Données projet'!$B$17,Paramètres!$A$1:$I$89,3,0)*VLOOKUP('Données projet'!$B$17,Paramètres!$A$1:$I$89,5,0)</f>
        <v>113.69200000000001</v>
      </c>
      <c r="GB40" s="14">
        <f t="shared" si="49"/>
        <v>30.199170227619074</v>
      </c>
      <c r="GC40" s="22">
        <f t="shared" si="25"/>
        <v>250.61045481310325</v>
      </c>
      <c r="GD40" s="60">
        <f t="shared" si="26"/>
        <v>495.96980678377435</v>
      </c>
      <c r="GE40" s="60">
        <f ca="1">AVERAGE(OFFSET($GD$3,0,0,'Données projet'!$E$17+1,1))-AVERAGE(OFFSET($H$3,0,0,'Données projet'!$E$17+1,1))</f>
        <v>344.62096650402731</v>
      </c>
      <c r="GF40" s="60">
        <f t="shared" si="50"/>
        <v>277.30931495079346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10.6</v>
      </c>
      <c r="N41" s="14">
        <f>IF('Données projet'!$A$36&gt;35,N40+M41-V40,IF(A41&lt;'Données projet'!$A$36,$K$205^A41,IF(A41='Données projet'!$A$36,'Données projet'!$B$36,N40+M41-V40)))</f>
        <v>198.79999999999993</v>
      </c>
      <c r="O41" s="14">
        <f>N41*VLOOKUP('Données projet'!$B$9,Paramètres!$A$1:$I$89,3,0)*VLOOKUP('Données projet'!$B$9,Paramètres!$A$1:$I$89,5,0)</f>
        <v>170.57039999999998</v>
      </c>
      <c r="P41" s="14">
        <f t="shared" si="33"/>
        <v>43.217749294779289</v>
      </c>
      <c r="Q41" s="22">
        <f t="shared" si="53"/>
        <v>372.34769335507389</v>
      </c>
      <c r="R41" s="60">
        <f t="shared" si="0"/>
        <v>618.53928664863258</v>
      </c>
      <c r="S41" s="60">
        <f ca="1">AVERAGE(OFFSET($R$3,0,0,'Données projet'!$E$9+1,1))-AVERAGE(OFFSET($H$3,0,0,'Données projet'!$E$9+1,1))</f>
        <v>632.26350546340541</v>
      </c>
      <c r="T41" s="60">
        <f t="shared" si="34"/>
        <v>340.45335016367915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9.4399999999999977</v>
      </c>
      <c r="AI41" s="14">
        <f>IF('Données projet'!$A$62&gt;35,AI40+AH41-AQ40,IF(A41&lt;'Données projet'!$A$62,$AF$205^A41,IF(A41='Données projet'!$A$62,'Données projet'!$B$62,AI40+AH41-AQ40)))</f>
        <v>200.72</v>
      </c>
      <c r="AJ41" s="14">
        <f>AI41*VLOOKUP('Données projet'!$B$10,Paramètres!$A$1:$I$89,3,0)*VLOOKUP('Données projet'!$B$10,Paramètres!$A$1:$I$89,5,0)</f>
        <v>159.69283200000001</v>
      </c>
      <c r="AK41" s="14">
        <f t="shared" si="35"/>
        <v>40.773225060243078</v>
      </c>
      <c r="AL41" s="22">
        <f t="shared" si="4"/>
        <v>349.14504937992336</v>
      </c>
      <c r="AM41" s="60">
        <f t="shared" si="5"/>
        <v>595.33664267348206</v>
      </c>
      <c r="AN41" s="60">
        <f ca="1">AVERAGE(OFFSET($AM$3,0,0,'Données projet'!$E$10+1,1))-AVERAGE(OFFSET($H$3,0,0,'Données projet'!$E$10+1,1))</f>
        <v>336.25341821407534</v>
      </c>
      <c r="AO41" s="60">
        <f t="shared" si="36"/>
        <v>360.3246221345039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200.72</v>
      </c>
      <c r="BE41" s="14">
        <f>BD41*VLOOKUP('Données projet'!$B$11,Paramètres!$A$1:$I$89,3,0)*VLOOKUP('Données projet'!$B$11,Paramètres!$A$1:$I$89,5,0)</f>
        <v>159.69283200000001</v>
      </c>
      <c r="BF41" s="14">
        <f t="shared" si="37"/>
        <v>40.773225060243078</v>
      </c>
      <c r="BG41" s="22">
        <f t="shared" si="7"/>
        <v>349.14504937992336</v>
      </c>
      <c r="BH41" s="60">
        <f t="shared" si="8"/>
        <v>595.33664267348206</v>
      </c>
      <c r="BI41" s="60">
        <f ca="1">AVERAGE(OFFSET($BH$3,0,0,'Données projet'!$E$11+1,1))-AVERAGE(OFFSET($H$3,0,0,'Données projet'!$E$11+1,1))</f>
        <v>336.25341821407534</v>
      </c>
      <c r="BJ41" s="60">
        <f t="shared" si="38"/>
        <v>360.3246221345039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127.75776</v>
      </c>
      <c r="CA41" s="14">
        <f t="shared" si="39"/>
        <v>33.477720030956604</v>
      </c>
      <c r="CB41" s="22">
        <f t="shared" si="10"/>
        <v>280.81846105391611</v>
      </c>
      <c r="CC41" s="60">
        <f t="shared" si="11"/>
        <v>527.01005434747481</v>
      </c>
      <c r="CD41" s="60">
        <f ca="1">AVERAGE(OFFSET($CC$3,0,0,'Données projet'!$E$12+1,1))-AVERAGE(OFFSET($H$3,0,0,'Données projet'!$E$12+1,1))</f>
        <v>469.67944008675863</v>
      </c>
      <c r="CE41" s="60">
        <f t="shared" si="40"/>
        <v>266.11908070867173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163.14285714285711</v>
      </c>
      <c r="CU41" s="18">
        <f>CT41*VLOOKUP('Données projet'!$B$13,Paramètres!$A$1:$I$89,3,0)*VLOOKUP('Données projet'!$B$13,Paramètres!$A$1:$I$89,5,0)</f>
        <v>127.25142857142855</v>
      </c>
      <c r="CV41" s="14">
        <f t="shared" si="41"/>
        <v>33.360457439554281</v>
      </c>
      <c r="CW41" s="22">
        <f t="shared" si="13"/>
        <v>279.73236813579507</v>
      </c>
      <c r="CX41" s="60">
        <f t="shared" si="14"/>
        <v>525.92396142935377</v>
      </c>
      <c r="CY41" s="60">
        <f ca="1">AVERAGE(OFFSET($CX$3,0,0,'Données projet'!$E$13+1,1))-AVERAGE(OFFSET($H$3,0,0,'Données projet'!$E$13+1,1))</f>
        <v>312.59632808777332</v>
      </c>
      <c r="CZ41" s="60">
        <f t="shared" si="42"/>
        <v>302.59481222418219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5.8974358974359005</v>
      </c>
      <c r="DO41" s="13">
        <f>IF('Données projet'!$A$166&gt;35,DO40+DN41-DW40,IF(A41&lt;'Données projet'!$A$166,$DL$205^A41,IF(A41='Données projet'!$A$166,'Données projet'!$B$166,DO40+DN41-DW40)))</f>
        <v>140.7692307692308</v>
      </c>
      <c r="DP41" s="18">
        <f>DO41*VLOOKUP('Données projet'!$B$14,Paramètres!$A$1:$I$89,3,0)*VLOOKUP('Données projet'!$B$14,Paramètres!$A$1:$I$89,5,0)</f>
        <v>133.95600000000002</v>
      </c>
      <c r="DQ41" s="14">
        <f t="shared" si="43"/>
        <v>34.908873862106219</v>
      </c>
      <c r="DR41" s="22">
        <f t="shared" si="16"/>
        <v>294.10632197650165</v>
      </c>
      <c r="DS41" s="60">
        <f t="shared" si="17"/>
        <v>540.29791527006034</v>
      </c>
      <c r="DT41" s="60">
        <f ca="1">AVERAGE(OFFSET($DS$3,0,0,'Données projet'!$E$14+1,1))-AVERAGE(OFFSET($H$3,0,0,'Données projet'!$E$14+1,1))</f>
        <v>398.29746143975166</v>
      </c>
      <c r="DU41" s="60">
        <f t="shared" si="44"/>
        <v>300.63705521148802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8.4</v>
      </c>
      <c r="EJ41" s="13">
        <f>IF('Données projet'!$A$192&gt;35,EJ40+EI41-ER40,IF(A41&lt;'Données projet'!$A$192,$EG$205^A41,IF(A41='Données projet'!$A$192,'Données projet'!$B$192,EJ40+EI41-ER40)))</f>
        <v>141.20000000000002</v>
      </c>
      <c r="EK41" s="18">
        <f>EJ41*VLOOKUP('Données projet'!$B$15,Paramètres!$A$1:$I$89,3,0)*VLOOKUP('Données projet'!$B$15,Paramètres!$A$1:$I$89,5,0)</f>
        <v>136.56864000000002</v>
      </c>
      <c r="EL41" s="14">
        <f t="shared" si="45"/>
        <v>35.509797430964703</v>
      </c>
      <c r="EM41" s="22">
        <f t="shared" si="19"/>
        <v>299.70327852559689</v>
      </c>
      <c r="EN41" s="60">
        <f t="shared" si="20"/>
        <v>545.89487181915558</v>
      </c>
      <c r="EO41" s="60">
        <f ca="1">AVERAGE(OFFSET($EN$3,0,0,'Données projet'!$E$15+1,1))-AVERAGE(OFFSET($H$3,0,0,'Données projet'!$E$15+1,1))</f>
        <v>496.33873798282525</v>
      </c>
      <c r="EP41" s="60">
        <f t="shared" si="46"/>
        <v>280.25465074992246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9.4399999999999977</v>
      </c>
      <c r="FE41" s="13">
        <f>IF('Données projet'!$A$218&gt;35,FE40+FD41-FM40,IF(A41&lt;'Données projet'!$A$218,$FB$205^A41,IF(A41='Données projet'!$A$218,'Données projet'!$B$218,FE40+FD41-FM40)))</f>
        <v>200.72</v>
      </c>
      <c r="FF41" s="18">
        <f>FE41*VLOOKUP('Données projet'!$B$16,Paramètres!$A$1:$I$89,3,0)*VLOOKUP('Données projet'!$B$16,Paramètres!$A$1:$I$89,5,0)</f>
        <v>175.34899200000004</v>
      </c>
      <c r="FG41" s="14">
        <f t="shared" si="47"/>
        <v>44.285851301313052</v>
      </c>
      <c r="FH41" s="22">
        <f t="shared" si="22"/>
        <v>382.53068541645354</v>
      </c>
      <c r="FI41" s="60">
        <f t="shared" si="23"/>
        <v>628.72227871001223</v>
      </c>
      <c r="FJ41" s="60">
        <f ca="1">AVERAGE(OFFSET($FI$3,0,0,'Données projet'!$E$16+1,1))-AVERAGE(OFFSET($H$3,0,0,'Données projet'!$E$16+1,1))</f>
        <v>363.28611056308665</v>
      </c>
      <c r="FK41" s="60">
        <f t="shared" si="48"/>
        <v>389.43647559455974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7.1794871794871824</v>
      </c>
      <c r="FZ41" s="13">
        <f>IF('Données projet'!$A$244&gt;35,FZ40+FY41-GH40,IF(A41&lt;'Données projet'!$A$244,$FW$205^A41,IF(A41='Données projet'!$A$244,'Données projet'!$B$244,FZ40+FY41-GH40)))</f>
        <v>176.66666666666669</v>
      </c>
      <c r="GA41" s="18">
        <f>FZ41*VLOOKUP('Données projet'!$B$17,Paramètres!$A$1:$I$89,3,0)*VLOOKUP('Données projet'!$B$17,Paramètres!$A$1:$I$89,5,0)</f>
        <v>118.50800000000001</v>
      </c>
      <c r="GB41" s="14">
        <f t="shared" si="49"/>
        <v>31.326761814194999</v>
      </c>
      <c r="GC41" s="22">
        <f t="shared" si="25"/>
        <v>260.96221015972299</v>
      </c>
      <c r="GD41" s="60">
        <f t="shared" si="26"/>
        <v>507.15380345328174</v>
      </c>
      <c r="GE41" s="60">
        <f ca="1">AVERAGE(OFFSET($GD$3,0,0,'Données projet'!$E$17+1,1))-AVERAGE(OFFSET($H$3,0,0,'Données projet'!$E$17+1,1))</f>
        <v>344.62096650402731</v>
      </c>
      <c r="GF41" s="60">
        <f t="shared" si="50"/>
        <v>277.30931495079346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10.6</v>
      </c>
      <c r="N42" s="14">
        <f>IF('Données projet'!$A$36&gt;35,N41+M42-V41,IF(A42&lt;'Données projet'!$A$36,$K$205^A42,IF(A42='Données projet'!$A$36,'Données projet'!$B$36,N41+M42-V41)))</f>
        <v>209.39999999999992</v>
      </c>
      <c r="O42" s="14">
        <f>N42*VLOOKUP('Données projet'!$B$9,Paramètres!$A$1:$I$89,3,0)*VLOOKUP('Données projet'!$B$9,Paramètres!$A$1:$I$89,5,0)</f>
        <v>179.66519999999994</v>
      </c>
      <c r="P42" s="14">
        <f t="shared" si="33"/>
        <v>45.247691265952795</v>
      </c>
      <c r="Q42" s="22">
        <f t="shared" si="53"/>
        <v>391.72328562153433</v>
      </c>
      <c r="R42" s="60">
        <f t="shared" si="0"/>
        <v>638.73268271164147</v>
      </c>
      <c r="S42" s="60">
        <f ca="1">AVERAGE(OFFSET($R$3,0,0,'Données projet'!$E$9+1,1))-AVERAGE(OFFSET($H$3,0,0,'Données projet'!$E$9+1,1))</f>
        <v>632.26350546340541</v>
      </c>
      <c r="T42" s="60">
        <f t="shared" si="34"/>
        <v>340.45335016367915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9.4399999999999977</v>
      </c>
      <c r="AI42" s="14">
        <f>IF('Données projet'!$A$62&gt;35,AI41+AH42-AQ41,IF(A42&lt;'Données projet'!$A$62,$AF$205^A42,IF(A42='Données projet'!$A$62,'Données projet'!$B$62,AI41+AH42-AQ41)))</f>
        <v>210.16</v>
      </c>
      <c r="AJ42" s="14">
        <f>AI42*VLOOKUP('Données projet'!$B$10,Paramètres!$A$1:$I$89,3,0)*VLOOKUP('Données projet'!$B$10,Paramètres!$A$1:$I$89,5,0)</f>
        <v>167.20329600000002</v>
      </c>
      <c r="AK42" s="14">
        <f t="shared" si="35"/>
        <v>42.463051496825123</v>
      </c>
      <c r="AL42" s="22">
        <f t="shared" si="4"/>
        <v>365.16888855697044</v>
      </c>
      <c r="AM42" s="60">
        <f t="shared" si="5"/>
        <v>612.17828564707759</v>
      </c>
      <c r="AN42" s="60">
        <f ca="1">AVERAGE(OFFSET($AM$3,0,0,'Données projet'!$E$10+1,1))-AVERAGE(OFFSET($H$3,0,0,'Données projet'!$E$10+1,1))</f>
        <v>336.25341821407534</v>
      </c>
      <c r="AO42" s="60">
        <f t="shared" si="36"/>
        <v>360.3246221345039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210.16</v>
      </c>
      <c r="BE42" s="14">
        <f>BD42*VLOOKUP('Données projet'!$B$11,Paramètres!$A$1:$I$89,3,0)*VLOOKUP('Données projet'!$B$11,Paramètres!$A$1:$I$89,5,0)</f>
        <v>167.20329600000002</v>
      </c>
      <c r="BF42" s="14">
        <f t="shared" si="37"/>
        <v>42.463051496825123</v>
      </c>
      <c r="BG42" s="22">
        <f t="shared" si="7"/>
        <v>365.16888855697044</v>
      </c>
      <c r="BH42" s="60">
        <f t="shared" si="8"/>
        <v>612.17828564707759</v>
      </c>
      <c r="BI42" s="60">
        <f ca="1">AVERAGE(OFFSET($BH$3,0,0,'Données projet'!$E$11+1,1))-AVERAGE(OFFSET($H$3,0,0,'Données projet'!$E$11+1,1))</f>
        <v>336.25341821407534</v>
      </c>
      <c r="BJ42" s="60">
        <f t="shared" si="38"/>
        <v>360.3246221345039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135.35808</v>
      </c>
      <c r="CA42" s="14">
        <f t="shared" si="39"/>
        <v>35.231528980112834</v>
      </c>
      <c r="CB42" s="22">
        <f t="shared" si="10"/>
        <v>297.11023564036316</v>
      </c>
      <c r="CC42" s="60">
        <f t="shared" si="11"/>
        <v>544.11963273047024</v>
      </c>
      <c r="CD42" s="60">
        <f ca="1">AVERAGE(OFFSET($CC$3,0,0,'Données projet'!$E$12+1,1))-AVERAGE(OFFSET($H$3,0,0,'Données projet'!$E$12+1,1))</f>
        <v>469.67944008675863</v>
      </c>
      <c r="CE42" s="60">
        <f t="shared" si="40"/>
        <v>266.11908070867173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174.28571428571425</v>
      </c>
      <c r="CU42" s="18">
        <f>CT42*VLOOKUP('Données projet'!$B$13,Paramètres!$A$1:$I$89,3,0)*VLOOKUP('Données projet'!$B$13,Paramètres!$A$1:$I$89,5,0)</f>
        <v>135.94285714285712</v>
      </c>
      <c r="CV42" s="14">
        <f t="shared" si="41"/>
        <v>35.365986273808367</v>
      </c>
      <c r="CW42" s="22">
        <f t="shared" si="13"/>
        <v>298.36290228402572</v>
      </c>
      <c r="CX42" s="60">
        <f t="shared" si="14"/>
        <v>545.37229937413281</v>
      </c>
      <c r="CY42" s="60">
        <f ca="1">AVERAGE(OFFSET($CX$3,0,0,'Données projet'!$E$13+1,1))-AVERAGE(OFFSET($H$3,0,0,'Données projet'!$E$13+1,1))</f>
        <v>312.59632808777332</v>
      </c>
      <c r="CZ42" s="60">
        <f t="shared" si="42"/>
        <v>302.59481222418219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5.8974358974359005</v>
      </c>
      <c r="DO42" s="13">
        <f>IF('Données projet'!$A$166&gt;35,DO41+DN42-DW41,IF(A42&lt;'Données projet'!$A$166,$DL$205^A42,IF(A42='Données projet'!$A$166,'Données projet'!$B$166,DO41+DN42-DW41)))</f>
        <v>146.66666666666671</v>
      </c>
      <c r="DP42" s="18">
        <f>DO42*VLOOKUP('Données projet'!$B$14,Paramètres!$A$1:$I$89,3,0)*VLOOKUP('Données projet'!$B$14,Paramètres!$A$1:$I$89,5,0)</f>
        <v>139.56800000000004</v>
      </c>
      <c r="DQ42" s="14">
        <f t="shared" si="43"/>
        <v>36.198022567902328</v>
      </c>
      <c r="DR42" s="22">
        <f t="shared" si="16"/>
        <v>306.12582263909667</v>
      </c>
      <c r="DS42" s="60">
        <f t="shared" si="17"/>
        <v>553.13521972920375</v>
      </c>
      <c r="DT42" s="60">
        <f ca="1">AVERAGE(OFFSET($DS$3,0,0,'Données projet'!$E$14+1,1))-AVERAGE(OFFSET($H$3,0,0,'Données projet'!$E$14+1,1))</f>
        <v>398.29746143975166</v>
      </c>
      <c r="DU42" s="60">
        <f t="shared" si="44"/>
        <v>300.63705521148802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8.4</v>
      </c>
      <c r="EJ42" s="13">
        <f>IF('Données projet'!$A$192&gt;35,EJ41+EI42-ER41,IF(A42&lt;'Données projet'!$A$192,$EG$205^A42,IF(A42='Données projet'!$A$192,'Données projet'!$B$192,EJ41+EI42-ER41)))</f>
        <v>149.60000000000002</v>
      </c>
      <c r="EK42" s="18">
        <f>EJ42*VLOOKUP('Données projet'!$B$15,Paramètres!$A$1:$I$89,3,0)*VLOOKUP('Données projet'!$B$15,Paramètres!$A$1:$I$89,5,0)</f>
        <v>144.69312000000002</v>
      </c>
      <c r="EL42" s="14">
        <f t="shared" si="45"/>
        <v>37.370061524802772</v>
      </c>
      <c r="EM42" s="22">
        <f t="shared" si="19"/>
        <v>317.09337448903148</v>
      </c>
      <c r="EN42" s="60">
        <f t="shared" si="20"/>
        <v>564.10277157913856</v>
      </c>
      <c r="EO42" s="60">
        <f ca="1">AVERAGE(OFFSET($EN$3,0,0,'Données projet'!$E$15+1,1))-AVERAGE(OFFSET($H$3,0,0,'Données projet'!$E$15+1,1))</f>
        <v>496.33873798282525</v>
      </c>
      <c r="EP42" s="60">
        <f t="shared" si="46"/>
        <v>280.25465074992246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9.4399999999999977</v>
      </c>
      <c r="FE42" s="13">
        <f>IF('Données projet'!$A$218&gt;35,FE41+FD42-FM41,IF(A42&lt;'Données projet'!$A$218,$FB$205^A42,IF(A42='Données projet'!$A$218,'Données projet'!$B$218,FE41+FD42-FM41)))</f>
        <v>210.16</v>
      </c>
      <c r="FF42" s="18">
        <f>FE42*VLOOKUP('Données projet'!$B$16,Paramètres!$A$1:$I$89,3,0)*VLOOKUP('Données projet'!$B$16,Paramètres!$A$1:$I$89,5,0)</f>
        <v>183.59577600000003</v>
      </c>
      <c r="FG42" s="14">
        <f t="shared" si="47"/>
        <v>46.121256820129133</v>
      </c>
      <c r="FH42" s="22">
        <f t="shared" si="22"/>
        <v>400.09049882839162</v>
      </c>
      <c r="FI42" s="60">
        <f t="shared" si="23"/>
        <v>647.09989591849876</v>
      </c>
      <c r="FJ42" s="60">
        <f ca="1">AVERAGE(OFFSET($FI$3,0,0,'Données projet'!$E$16+1,1))-AVERAGE(OFFSET($H$3,0,0,'Données projet'!$E$16+1,1))</f>
        <v>363.28611056308665</v>
      </c>
      <c r="FK42" s="60">
        <f t="shared" si="48"/>
        <v>389.43647559455974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7.1794871794871824</v>
      </c>
      <c r="FZ42" s="13">
        <f>IF('Données projet'!$A$244&gt;35,FZ41+FY42-GH41,IF(A42&lt;'Données projet'!$A$244,$FW$205^A42,IF(A42='Données projet'!$A$244,'Données projet'!$B$244,FZ41+FY42-GH41)))</f>
        <v>183.84615384615387</v>
      </c>
      <c r="GA42" s="18">
        <f>FZ42*VLOOKUP('Données projet'!$B$17,Paramètres!$A$1:$I$89,3,0)*VLOOKUP('Données projet'!$B$17,Paramètres!$A$1:$I$89,5,0)</f>
        <v>123.32400000000003</v>
      </c>
      <c r="GB42" s="14">
        <f t="shared" si="49"/>
        <v>32.449030564483728</v>
      </c>
      <c r="GC42" s="22">
        <f t="shared" si="25"/>
        <v>271.30469489980919</v>
      </c>
      <c r="GD42" s="60">
        <f t="shared" si="26"/>
        <v>518.31409198991628</v>
      </c>
      <c r="GE42" s="60">
        <f ca="1">AVERAGE(OFFSET($GD$3,0,0,'Données projet'!$E$17+1,1))-AVERAGE(OFFSET($H$3,0,0,'Données projet'!$E$17+1,1))</f>
        <v>344.62096650402731</v>
      </c>
      <c r="GF42" s="60">
        <f t="shared" si="50"/>
        <v>277.30931495079346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220</v>
      </c>
      <c r="L43" s="13">
        <f>VLOOKUP(A43,'Données projet'!$A$35:$I$55,9,0)</f>
        <v>10.6</v>
      </c>
      <c r="M43" s="13">
        <f t="array" ref="M43">INDEX(L:L,MIN(IF(ISNUMBER(L43:L239),ROW(L43:L239),"")))</f>
        <v>10.6</v>
      </c>
      <c r="N43" s="14">
        <f>IF('Données projet'!$A$36&gt;35,N42+M43-V42,IF(A43&lt;'Données projet'!$A$36,$K$205^A43,IF(A43='Données projet'!$A$36,'Données projet'!$B$36,N42+M43-V42)))</f>
        <v>219.99999999999991</v>
      </c>
      <c r="O43" s="14">
        <f>N43*VLOOKUP('Données projet'!$B$9,Paramètres!$A$1:$I$89,3,0)*VLOOKUP('Données projet'!$B$9,Paramètres!$A$1:$I$89,5,0)</f>
        <v>188.75999999999993</v>
      </c>
      <c r="P43" s="14">
        <f t="shared" si="33"/>
        <v>47.265702073783714</v>
      </c>
      <c r="Q43" s="22">
        <f t="shared" si="53"/>
        <v>411.07809777850645</v>
      </c>
      <c r="R43" s="60">
        <f t="shared" si="0"/>
        <v>658.89111159762729</v>
      </c>
      <c r="S43" s="60">
        <f ca="1">AVERAGE(OFFSET($R$3,0,0,'Données projet'!$E$9+1,1))-AVERAGE(OFFSET($H$3,0,0,'Données projet'!$E$9+1,1))</f>
        <v>632.26350546340541</v>
      </c>
      <c r="T43" s="60">
        <f t="shared" si="34"/>
        <v>340.45335016367915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56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219.6</v>
      </c>
      <c r="AG43" s="13">
        <f>VLOOKUP(A43,'Données projet'!$A$61:$I$81,9,0)</f>
        <v>9.4399999999999977</v>
      </c>
      <c r="AH43" s="13">
        <f t="array" ref="AH43">INDEX(AG:AG,MIN(IF(ISNUMBER(AG43:AG239),ROW(AG43:AG239),"")))</f>
        <v>9.4399999999999977</v>
      </c>
      <c r="AI43" s="14">
        <f>IF('Données projet'!$A$62&gt;35,AI42+AH43-AQ42,IF(A43&lt;'Données projet'!$A$62,$AF$205^A43,IF(A43='Données projet'!$A$62,'Données projet'!$B$62,AI42+AH43-AQ42)))</f>
        <v>219.6</v>
      </c>
      <c r="AJ43" s="14">
        <f>AI43*VLOOKUP('Données projet'!$B$10,Paramètres!$A$1:$I$89,3,0)*VLOOKUP('Données projet'!$B$10,Paramètres!$A$1:$I$89,5,0)</f>
        <v>174.71376000000001</v>
      </c>
      <c r="AK43" s="14">
        <f t="shared" si="35"/>
        <v>44.144062647515817</v>
      </c>
      <c r="AL43" s="22">
        <f t="shared" si="4"/>
        <v>381.17737444442338</v>
      </c>
      <c r="AM43" s="60">
        <f t="shared" si="5"/>
        <v>628.99038826354422</v>
      </c>
      <c r="AN43" s="60">
        <f ca="1">AVERAGE(OFFSET($AM$3,0,0,'Données projet'!$E$10+1,1))-AVERAGE(OFFSET($H$3,0,0,'Données projet'!$E$10+1,1))</f>
        <v>336.25341821407534</v>
      </c>
      <c r="AO43" s="60">
        <f t="shared" si="36"/>
        <v>360.3246221345039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219.6</v>
      </c>
      <c r="BE43" s="14">
        <f>BD43*VLOOKUP('Données projet'!$B$11,Paramètres!$A$1:$I$89,3,0)*VLOOKUP('Données projet'!$B$11,Paramètres!$A$1:$I$89,5,0)</f>
        <v>174.71376000000001</v>
      </c>
      <c r="BF43" s="14">
        <f t="shared" si="37"/>
        <v>44.144062647515817</v>
      </c>
      <c r="BG43" s="22">
        <f t="shared" si="7"/>
        <v>381.17737444442338</v>
      </c>
      <c r="BH43" s="60">
        <f t="shared" si="8"/>
        <v>628.99038826354422</v>
      </c>
      <c r="BI43" s="60">
        <f ca="1">AVERAGE(OFFSET($BH$3,0,0,'Données projet'!$E$11+1,1))-AVERAGE(OFFSET($H$3,0,0,'Données projet'!$E$11+1,1))</f>
        <v>336.25341821407534</v>
      </c>
      <c r="BJ43" s="60">
        <f t="shared" si="38"/>
        <v>360.3246221345039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142.95840000000004</v>
      </c>
      <c r="CA43" s="14">
        <f t="shared" si="39"/>
        <v>36.973906370811264</v>
      </c>
      <c r="CB43" s="22">
        <f t="shared" si="10"/>
        <v>313.38210026249641</v>
      </c>
      <c r="CC43" s="60">
        <f t="shared" si="11"/>
        <v>561.19511408161725</v>
      </c>
      <c r="CD43" s="60">
        <f ca="1">AVERAGE(OFFSET($CC$3,0,0,'Données projet'!$E$12+1,1))-AVERAGE(OFFSET($H$3,0,0,'Données projet'!$E$12+1,1))</f>
        <v>469.67944008675863</v>
      </c>
      <c r="CE43" s="60">
        <f t="shared" si="40"/>
        <v>266.11908070867173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185.42857142857139</v>
      </c>
      <c r="CU43" s="18">
        <f>CT43*VLOOKUP('Données projet'!$B$13,Paramètres!$A$1:$I$89,3,0)*VLOOKUP('Données projet'!$B$13,Paramètres!$A$1:$I$89,5,0)</f>
        <v>144.63428571428568</v>
      </c>
      <c r="CV43" s="14">
        <f t="shared" si="41"/>
        <v>37.356634728420524</v>
      </c>
      <c r="CW43" s="22">
        <f t="shared" si="13"/>
        <v>316.96751977104663</v>
      </c>
      <c r="CX43" s="60">
        <f t="shared" si="14"/>
        <v>564.78053359016747</v>
      </c>
      <c r="CY43" s="60">
        <f ca="1">AVERAGE(OFFSET($CX$3,0,0,'Données projet'!$E$13+1,1))-AVERAGE(OFFSET($H$3,0,0,'Données projet'!$E$13+1,1))</f>
        <v>312.59632808777332</v>
      </c>
      <c r="CZ43" s="60">
        <f t="shared" si="42"/>
        <v>302.59481222418219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152.56410256410257</v>
      </c>
      <c r="DM43" s="13">
        <f>VLOOKUP(A43,'Données projet'!$A$165:$I$185,9,0)</f>
        <v>5.8974358974359005</v>
      </c>
      <c r="DN43" s="13">
        <f t="array" ref="DN43">INDEX(DM:DM,MIN(IF(ISNUMBER(DM43:DM239),ROW(DM43:DM239),"")))</f>
        <v>5.8974358974359005</v>
      </c>
      <c r="DO43" s="13">
        <f>IF('Données projet'!$A$166&gt;35,DO42+DN43-DW42,IF(A43&lt;'Données projet'!$A$166,$DL$205^A43,IF(A43='Données projet'!$A$166,'Données projet'!$B$166,DO42+DN43-DW42)))</f>
        <v>152.56410256410263</v>
      </c>
      <c r="DP43" s="18">
        <f>DO43*VLOOKUP('Données projet'!$B$14,Paramètres!$A$1:$I$89,3,0)*VLOOKUP('Données projet'!$B$14,Paramètres!$A$1:$I$89,5,0)</f>
        <v>145.18000000000006</v>
      </c>
      <c r="DQ43" s="14">
        <f t="shared" si="43"/>
        <v>37.481149901429063</v>
      </c>
      <c r="DR43" s="22">
        <f t="shared" si="16"/>
        <v>318.13483607832239</v>
      </c>
      <c r="DS43" s="60">
        <f t="shared" si="17"/>
        <v>565.94784989744323</v>
      </c>
      <c r="DT43" s="60">
        <f ca="1">AVERAGE(OFFSET($DS$3,0,0,'Données projet'!$E$14+1,1))-AVERAGE(OFFSET($H$3,0,0,'Données projet'!$E$14+1,1))</f>
        <v>398.29746143975166</v>
      </c>
      <c r="DU43" s="60">
        <f t="shared" si="44"/>
        <v>300.63705521148802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28.846153846153847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158</v>
      </c>
      <c r="EH43" s="13">
        <f>VLOOKUP(A43,'Données projet'!$A$191:$I$211,9,0)</f>
        <v>8.4</v>
      </c>
      <c r="EI43" s="13">
        <f t="array" ref="EI43">INDEX(EH:EH,MIN(IF(ISNUMBER(EH43:EH239),ROW(EH43:EH239),"")))</f>
        <v>8.4</v>
      </c>
      <c r="EJ43" s="13">
        <f>IF('Données projet'!$A$192&gt;35,EJ42+EI43-ER42,IF(A43&lt;'Données projet'!$A$192,$EG$205^A43,IF(A43='Données projet'!$A$192,'Données projet'!$B$192,EJ42+EI43-ER42)))</f>
        <v>158.00000000000003</v>
      </c>
      <c r="EK43" s="18">
        <f>EJ43*VLOOKUP('Données projet'!$B$15,Paramètres!$A$1:$I$89,3,0)*VLOOKUP('Données projet'!$B$15,Paramètres!$A$1:$I$89,5,0)</f>
        <v>152.81760000000003</v>
      </c>
      <c r="EL43" s="14">
        <f t="shared" si="45"/>
        <v>39.218200171484227</v>
      </c>
      <c r="EM43" s="22">
        <f t="shared" si="19"/>
        <v>334.46235196533502</v>
      </c>
      <c r="EN43" s="60">
        <f t="shared" si="20"/>
        <v>582.27536578445586</v>
      </c>
      <c r="EO43" s="60">
        <f ca="1">AVERAGE(OFFSET($EN$3,0,0,'Données projet'!$E$15+1,1))-AVERAGE(OFFSET($H$3,0,0,'Données projet'!$E$15+1,1))</f>
        <v>496.33873798282525</v>
      </c>
      <c r="EP43" s="60">
        <f t="shared" si="46"/>
        <v>280.25465074992246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219.6</v>
      </c>
      <c r="FC43" s="13">
        <f>VLOOKUP(A43,'Données projet'!$A$217:$I$237,9,0)</f>
        <v>9.4399999999999977</v>
      </c>
      <c r="FD43" s="13">
        <f t="array" ref="FD43">INDEX(FC:FC,MIN(IF(ISNUMBER(FC43:FC239),ROW(FC43:FC239),"")))</f>
        <v>9.4399999999999977</v>
      </c>
      <c r="FE43" s="13">
        <f>IF('Données projet'!$A$218&gt;35,FE42+FD43-FM42,IF(A43&lt;'Données projet'!$A$218,$FB$205^A43,IF(A43='Données projet'!$A$218,'Données projet'!$B$218,FE42+FD43-FM42)))</f>
        <v>219.6</v>
      </c>
      <c r="FF43" s="18">
        <f>FE43*VLOOKUP('Données projet'!$B$16,Paramètres!$A$1:$I$89,3,0)*VLOOKUP('Données projet'!$B$16,Paramètres!$A$1:$I$89,5,0)</f>
        <v>191.84256000000002</v>
      </c>
      <c r="FG43" s="14">
        <f t="shared" si="47"/>
        <v>47.947087613384845</v>
      </c>
      <c r="FH43" s="22">
        <f t="shared" si="22"/>
        <v>417.63363625997863</v>
      </c>
      <c r="FI43" s="60">
        <f t="shared" si="23"/>
        <v>665.44665007909941</v>
      </c>
      <c r="FJ43" s="60">
        <f ca="1">AVERAGE(OFFSET($FI$3,0,0,'Données projet'!$E$16+1,1))-AVERAGE(OFFSET($H$3,0,0,'Données projet'!$E$16+1,1))</f>
        <v>363.28611056308665</v>
      </c>
      <c r="FK43" s="60">
        <f t="shared" si="48"/>
        <v>389.43647559455974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56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191.02564102564102</v>
      </c>
      <c r="FX43" s="13">
        <f>VLOOKUP(A43,'Données projet'!$A$243:$I$263,9,0)</f>
        <v>7.1794871794871824</v>
      </c>
      <c r="FY43" s="13">
        <f t="array" ref="FY43">INDEX(FX:FX,MIN(IF(ISNUMBER(FX43:FX239),ROW(FX43:FX239),"")))</f>
        <v>7.1794871794871824</v>
      </c>
      <c r="FZ43" s="13">
        <f>IF('Données projet'!$A$244&gt;35,FZ42+FY43-GH42,IF(A43&lt;'Données projet'!$A$244,$FW$205^A43,IF(A43='Données projet'!$A$244,'Données projet'!$B$244,FZ42+FY43-GH42)))</f>
        <v>191.02564102564105</v>
      </c>
      <c r="GA43" s="18">
        <f>FZ43*VLOOKUP('Données projet'!$B$17,Paramètres!$A$1:$I$89,3,0)*VLOOKUP('Données projet'!$B$17,Paramètres!$A$1:$I$89,5,0)</f>
        <v>128.14000000000001</v>
      </c>
      <c r="GB43" s="14">
        <f t="shared" si="49"/>
        <v>33.566208132601098</v>
      </c>
      <c r="GC43" s="22">
        <f t="shared" si="25"/>
        <v>281.63831249761358</v>
      </c>
      <c r="GD43" s="60">
        <f t="shared" si="26"/>
        <v>529.45132631673437</v>
      </c>
      <c r="GE43" s="60">
        <f ca="1">AVERAGE(OFFSET($GD$3,0,0,'Données projet'!$E$17+1,1))-AVERAGE(OFFSET($H$3,0,0,'Données projet'!$E$17+1,1))</f>
        <v>344.62096650402731</v>
      </c>
      <c r="GF43" s="60">
        <f t="shared" si="50"/>
        <v>277.30931495079346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34.615384615384613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10.8</v>
      </c>
      <c r="N44" s="14">
        <f>IF('Données projet'!$A$36&gt;35,N43+M44-V43,IF(A44&lt;'Données projet'!$A$36,$K$205^A44,IF(A44='Données projet'!$A$36,'Données projet'!$B$36,N43+M44-V43)))</f>
        <v>174.79999999999993</v>
      </c>
      <c r="O44" s="14">
        <f>N44*VLOOKUP('Données projet'!$B$9,Paramètres!$A$1:$I$89,3,0)*VLOOKUP('Données projet'!$B$9,Paramètres!$A$1:$I$89,5,0)</f>
        <v>149.97839999999997</v>
      </c>
      <c r="P44" s="14">
        <f t="shared" si="33"/>
        <v>38.573676902204191</v>
      </c>
      <c r="Q44" s="22">
        <f t="shared" si="53"/>
        <v>328.39486727133891</v>
      </c>
      <c r="R44" s="60">
        <f t="shared" si="0"/>
        <v>576.99755686584285</v>
      </c>
      <c r="S44" s="60">
        <f ca="1">AVERAGE(OFFSET($R$3,0,0,'Données projet'!$E$9+1,1))-AVERAGE(OFFSET($H$3,0,0,'Données projet'!$E$9+1,1))</f>
        <v>632.26350546340541</v>
      </c>
      <c r="T44" s="60">
        <f t="shared" si="34"/>
        <v>340.45335016367915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8.2000000000000064</v>
      </c>
      <c r="AI44" s="14">
        <f>IF('Données projet'!$A$62&gt;35,AI43+AH44-AQ43,IF(A44&lt;'Données projet'!$A$62,$AF$205^A44,IF(A44='Données projet'!$A$62,'Données projet'!$B$62,AI43+AH44-AQ43)))</f>
        <v>171.8</v>
      </c>
      <c r="AJ44" s="14">
        <f>AI44*VLOOKUP('Données projet'!$B$10,Paramètres!$A$1:$I$89,3,0)*VLOOKUP('Données projet'!$B$10,Paramètres!$A$1:$I$89,5,0)</f>
        <v>136.68408000000002</v>
      </c>
      <c r="AK44" s="14">
        <f t="shared" si="35"/>
        <v>35.536318307654433</v>
      </c>
      <c r="AL44" s="22">
        <f t="shared" si="4"/>
        <v>299.9505270524981</v>
      </c>
      <c r="AM44" s="60">
        <f t="shared" si="5"/>
        <v>548.55321664700205</v>
      </c>
      <c r="AN44" s="60">
        <f ca="1">AVERAGE(OFFSET($AM$3,0,0,'Données projet'!$E$10+1,1))-AVERAGE(OFFSET($H$3,0,0,'Données projet'!$E$10+1,1))</f>
        <v>336.25341821407534</v>
      </c>
      <c r="AO44" s="60">
        <f t="shared" si="36"/>
        <v>360.3246221345039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171.8</v>
      </c>
      <c r="BE44" s="14">
        <f>BD44*VLOOKUP('Données projet'!$B$11,Paramètres!$A$1:$I$89,3,0)*VLOOKUP('Données projet'!$B$11,Paramètres!$A$1:$I$89,5,0)</f>
        <v>136.68408000000002</v>
      </c>
      <c r="BF44" s="14">
        <f t="shared" si="37"/>
        <v>35.536318307654433</v>
      </c>
      <c r="BG44" s="22">
        <f t="shared" si="7"/>
        <v>299.9505270524981</v>
      </c>
      <c r="BH44" s="60">
        <f t="shared" si="8"/>
        <v>548.55321664700205</v>
      </c>
      <c r="BI44" s="60">
        <f ca="1">AVERAGE(OFFSET($BH$3,0,0,'Données projet'!$E$11+1,1))-AVERAGE(OFFSET($H$3,0,0,'Données projet'!$E$11+1,1))</f>
        <v>336.25341821407534</v>
      </c>
      <c r="BJ44" s="60">
        <f t="shared" si="38"/>
        <v>360.3246221345039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112.55712000000003</v>
      </c>
      <c r="CA44" s="14">
        <f t="shared" si="39"/>
        <v>29.932653834140599</v>
      </c>
      <c r="CB44" s="22">
        <f t="shared" si="10"/>
        <v>248.16968942779496</v>
      </c>
      <c r="CC44" s="60">
        <f t="shared" si="11"/>
        <v>496.77237902229894</v>
      </c>
      <c r="CD44" s="60">
        <f ca="1">AVERAGE(OFFSET($CC$3,0,0,'Données projet'!$E$12+1,1))-AVERAGE(OFFSET($H$3,0,0,'Données projet'!$E$12+1,1))</f>
        <v>469.67944008675863</v>
      </c>
      <c r="CE44" s="60">
        <f t="shared" si="40"/>
        <v>266.11908070867173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196.57142857142853</v>
      </c>
      <c r="CU44" s="18">
        <f>CT44*VLOOKUP('Données projet'!$B$13,Paramètres!$A$1:$I$89,3,0)*VLOOKUP('Données projet'!$B$13,Paramètres!$A$1:$I$89,5,0)</f>
        <v>153.32571428571427</v>
      </c>
      <c r="CV44" s="14">
        <f t="shared" si="41"/>
        <v>39.33339883761419</v>
      </c>
      <c r="CW44" s="22">
        <f t="shared" si="13"/>
        <v>335.54795535646372</v>
      </c>
      <c r="CX44" s="60">
        <f t="shared" si="14"/>
        <v>584.15064495096772</v>
      </c>
      <c r="CY44" s="60">
        <f ca="1">AVERAGE(OFFSET($CX$3,0,0,'Données projet'!$E$13+1,1))-AVERAGE(OFFSET($H$3,0,0,'Données projet'!$E$13+1,1))</f>
        <v>312.59632808777332</v>
      </c>
      <c r="CZ44" s="60">
        <f t="shared" si="42"/>
        <v>302.59481222418219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5.7692307692307683</v>
      </c>
      <c r="DO44" s="13">
        <f>IF('Données projet'!$A$166&gt;35,DO43+DN44-DW43,IF(A44&lt;'Données projet'!$A$166,$DL$205^A44,IF(A44='Données projet'!$A$166,'Données projet'!$B$166,DO43+DN44-DW43)))</f>
        <v>129.48717948717956</v>
      </c>
      <c r="DP44" s="18">
        <f>DO44*VLOOKUP('Données projet'!$B$14,Paramètres!$A$1:$I$89,3,0)*VLOOKUP('Données projet'!$B$14,Paramètres!$A$1:$I$89,5,0)</f>
        <v>123.22000000000007</v>
      </c>
      <c r="DQ44" s="14">
        <f t="shared" si="43"/>
        <v>32.42485010818541</v>
      </c>
      <c r="DR44" s="22">
        <f t="shared" si="16"/>
        <v>271.08144727175642</v>
      </c>
      <c r="DS44" s="60">
        <f t="shared" si="17"/>
        <v>519.68413686626036</v>
      </c>
      <c r="DT44" s="60">
        <f ca="1">AVERAGE(OFFSET($DS$3,0,0,'Données projet'!$E$14+1,1))-AVERAGE(OFFSET($H$3,0,0,'Données projet'!$E$14+1,1))</f>
        <v>398.29746143975166</v>
      </c>
      <c r="DU44" s="60">
        <f t="shared" si="44"/>
        <v>300.63705521148802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124.40000000000003</v>
      </c>
      <c r="EK44" s="18">
        <f>EJ44*VLOOKUP('Données projet'!$B$15,Paramètres!$A$1:$I$89,3,0)*VLOOKUP('Données projet'!$B$15,Paramètres!$A$1:$I$89,5,0)</f>
        <v>120.31968000000002</v>
      </c>
      <c r="EL44" s="14">
        <f t="shared" si="45"/>
        <v>31.74954785566829</v>
      </c>
      <c r="EM44" s="22">
        <f t="shared" si="19"/>
        <v>264.85390518195561</v>
      </c>
      <c r="EN44" s="60">
        <f t="shared" si="20"/>
        <v>513.45659477645961</v>
      </c>
      <c r="EO44" s="60">
        <f ca="1">AVERAGE(OFFSET($EN$3,0,0,'Données projet'!$E$15+1,1))-AVERAGE(OFFSET($H$3,0,0,'Données projet'!$E$15+1,1))</f>
        <v>496.33873798282525</v>
      </c>
      <c r="EP44" s="60">
        <f t="shared" si="46"/>
        <v>280.25465074992246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8.2000000000000064</v>
      </c>
      <c r="FE44" s="13">
        <f>IF('Données projet'!$A$218&gt;35,FE43+FD44-FM43,IF(A44&lt;'Données projet'!$A$218,$FB$205^A44,IF(A44='Données projet'!$A$218,'Données projet'!$B$218,FE43+FD44-FM43)))</f>
        <v>171.8</v>
      </c>
      <c r="FF44" s="18">
        <f>FE44*VLOOKUP('Données projet'!$B$16,Paramètres!$A$1:$I$89,3,0)*VLOOKUP('Données projet'!$B$16,Paramètres!$A$1:$I$89,5,0)</f>
        <v>150.08448000000001</v>
      </c>
      <c r="FG44" s="14">
        <f t="shared" si="47"/>
        <v>38.597783374841299</v>
      </c>
      <c r="FH44" s="22">
        <f t="shared" si="22"/>
        <v>328.62160871118198</v>
      </c>
      <c r="FI44" s="60">
        <f t="shared" si="23"/>
        <v>577.22429830568592</v>
      </c>
      <c r="FJ44" s="60">
        <f ca="1">AVERAGE(OFFSET($FI$3,0,0,'Données projet'!$E$16+1,1))-AVERAGE(OFFSET($H$3,0,0,'Données projet'!$E$16+1,1))</f>
        <v>363.28611056308665</v>
      </c>
      <c r="FK44" s="60">
        <f t="shared" si="48"/>
        <v>389.43647559455974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6.7948717948717956</v>
      </c>
      <c r="FZ44" s="13">
        <f>IF('Données projet'!$A$244&gt;35,FZ43+FY44-GH43,IF(A44&lt;'Données projet'!$A$244,$FW$205^A44,IF(A44='Données projet'!$A$244,'Données projet'!$B$244,FZ43+FY44-GH43)))</f>
        <v>163.20512820512823</v>
      </c>
      <c r="GA44" s="18">
        <f>FZ44*VLOOKUP('Données projet'!$B$17,Paramètres!$A$1:$I$89,3,0)*VLOOKUP('Données projet'!$B$17,Paramètres!$A$1:$I$89,5,0)</f>
        <v>109.47800000000001</v>
      </c>
      <c r="GB44" s="14">
        <f t="shared" si="49"/>
        <v>29.207963273678622</v>
      </c>
      <c r="GC44" s="22">
        <f t="shared" si="25"/>
        <v>241.5447193683236</v>
      </c>
      <c r="GD44" s="60">
        <f t="shared" si="26"/>
        <v>490.14740896282757</v>
      </c>
      <c r="GE44" s="60">
        <f ca="1">AVERAGE(OFFSET($GD$3,0,0,'Données projet'!$E$17+1,1))-AVERAGE(OFFSET($H$3,0,0,'Données projet'!$E$17+1,1))</f>
        <v>344.62096650402731</v>
      </c>
      <c r="GF44" s="60">
        <f t="shared" si="50"/>
        <v>277.30931495079346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10.8</v>
      </c>
      <c r="N45" s="14">
        <f>IF('Données projet'!$A$36&gt;35,N44+M45-V44,IF(A45&lt;'Données projet'!$A$36,$K$205^A45,IF(A45='Données projet'!$A$36,'Données projet'!$B$36,N44+M45-V44)))</f>
        <v>185.59999999999994</v>
      </c>
      <c r="O45" s="14">
        <f>N45*VLOOKUP('Données projet'!$B$9,Paramètres!$A$1:$I$89,3,0)*VLOOKUP('Données projet'!$B$9,Paramètres!$A$1:$I$89,5,0)</f>
        <v>159.24479999999997</v>
      </c>
      <c r="P45" s="14">
        <f t="shared" si="33"/>
        <v>40.672131063901716</v>
      </c>
      <c r="Q45" s="22">
        <f t="shared" si="53"/>
        <v>348.18865493629545</v>
      </c>
      <c r="R45" s="60">
        <f t="shared" si="0"/>
        <v>597.56732119693015</v>
      </c>
      <c r="S45" s="60">
        <f ca="1">AVERAGE(OFFSET($R$3,0,0,'Données projet'!$E$9+1,1))-AVERAGE(OFFSET($H$3,0,0,'Données projet'!$E$9+1,1))</f>
        <v>632.26350546340541</v>
      </c>
      <c r="T45" s="60">
        <f t="shared" si="34"/>
        <v>340.45335016367915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8.2000000000000064</v>
      </c>
      <c r="AI45" s="14">
        <f>IF('Données projet'!$A$62&gt;35,AI44+AH45-AQ44,IF(A45&lt;'Données projet'!$A$62,$AF$205^A45,IF(A45='Données projet'!$A$62,'Données projet'!$B$62,AI44+AH45-AQ44)))</f>
        <v>180.00000000000003</v>
      </c>
      <c r="AJ45" s="14">
        <f>AI45*VLOOKUP('Données projet'!$B$10,Paramètres!$A$1:$I$89,3,0)*VLOOKUP('Données projet'!$B$10,Paramètres!$A$1:$I$89,5,0)</f>
        <v>143.20800000000003</v>
      </c>
      <c r="AK45" s="14">
        <f t="shared" si="35"/>
        <v>37.030941422835831</v>
      </c>
      <c r="AL45" s="22">
        <f t="shared" si="4"/>
        <v>313.91615631143912</v>
      </c>
      <c r="AM45" s="60">
        <f t="shared" si="5"/>
        <v>563.29482257207383</v>
      </c>
      <c r="AN45" s="60">
        <f ca="1">AVERAGE(OFFSET($AM$3,0,0,'Données projet'!$E$10+1,1))-AVERAGE(OFFSET($H$3,0,0,'Données projet'!$E$10+1,1))</f>
        <v>336.25341821407534</v>
      </c>
      <c r="AO45" s="60">
        <f t="shared" si="36"/>
        <v>360.3246221345039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180.00000000000003</v>
      </c>
      <c r="BE45" s="14">
        <f>BD45*VLOOKUP('Données projet'!$B$11,Paramètres!$A$1:$I$89,3,0)*VLOOKUP('Données projet'!$B$11,Paramètres!$A$1:$I$89,5,0)</f>
        <v>143.20800000000003</v>
      </c>
      <c r="BF45" s="14">
        <f t="shared" si="37"/>
        <v>37.030941422835831</v>
      </c>
      <c r="BG45" s="22">
        <f t="shared" si="7"/>
        <v>313.91615631143912</v>
      </c>
      <c r="BH45" s="60">
        <f t="shared" si="8"/>
        <v>563.29482257207383</v>
      </c>
      <c r="BI45" s="60">
        <f ca="1">AVERAGE(OFFSET($BH$3,0,0,'Données projet'!$E$11+1,1))-AVERAGE(OFFSET($H$3,0,0,'Données projet'!$E$11+1,1))</f>
        <v>336.25341821407534</v>
      </c>
      <c r="BJ45" s="60">
        <f t="shared" si="38"/>
        <v>360.3246221345039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120.15744000000002</v>
      </c>
      <c r="CA45" s="14">
        <f t="shared" si="39"/>
        <v>31.711716786129845</v>
      </c>
      <c r="CB45" s="22">
        <f t="shared" si="10"/>
        <v>264.50544806917623</v>
      </c>
      <c r="CC45" s="60">
        <f t="shared" si="11"/>
        <v>513.88411432981093</v>
      </c>
      <c r="CD45" s="60">
        <f ca="1">AVERAGE(OFFSET($CC$3,0,0,'Données projet'!$E$12+1,1))-AVERAGE(OFFSET($H$3,0,0,'Données projet'!$E$12+1,1))</f>
        <v>469.67944008675863</v>
      </c>
      <c r="CE45" s="60">
        <f t="shared" si="40"/>
        <v>266.11908070867173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207.71428571428567</v>
      </c>
      <c r="CU45" s="18">
        <f>CT45*VLOOKUP('Données projet'!$B$13,Paramètres!$A$1:$I$89,3,0)*VLOOKUP('Données projet'!$B$13,Paramètres!$A$1:$I$89,5,0)</f>
        <v>162.01714285714283</v>
      </c>
      <c r="CV45" s="14">
        <f t="shared" si="41"/>
        <v>41.297155335096676</v>
      </c>
      <c r="CW45" s="22">
        <f t="shared" si="13"/>
        <v>354.10573601815048</v>
      </c>
      <c r="CX45" s="60">
        <f t="shared" si="14"/>
        <v>603.48440227878518</v>
      </c>
      <c r="CY45" s="60">
        <f ca="1">AVERAGE(OFFSET($CX$3,0,0,'Données projet'!$E$13+1,1))-AVERAGE(OFFSET($H$3,0,0,'Données projet'!$E$13+1,1))</f>
        <v>312.59632808777332</v>
      </c>
      <c r="CZ45" s="60">
        <f t="shared" si="42"/>
        <v>302.59481222418219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5.7692307692307683</v>
      </c>
      <c r="DO45" s="13">
        <f>IF('Données projet'!$A$166&gt;35,DO44+DN45-DW44,IF(A45&lt;'Données projet'!$A$166,$DL$205^A45,IF(A45='Données projet'!$A$166,'Données projet'!$B$166,DO44+DN45-DW44)))</f>
        <v>135.25641025641033</v>
      </c>
      <c r="DP45" s="18">
        <f>DO45*VLOOKUP('Données projet'!$B$14,Paramètres!$A$1:$I$89,3,0)*VLOOKUP('Données projet'!$B$14,Paramètres!$A$1:$I$89,5,0)</f>
        <v>128.71000000000009</v>
      </c>
      <c r="DQ45" s="14">
        <f t="shared" si="43"/>
        <v>33.698105419900322</v>
      </c>
      <c r="DR45" s="22">
        <f t="shared" si="16"/>
        <v>282.86078360632649</v>
      </c>
      <c r="DS45" s="60">
        <f t="shared" si="17"/>
        <v>532.23944986696119</v>
      </c>
      <c r="DT45" s="60">
        <f ca="1">AVERAGE(OFFSET($DS$3,0,0,'Données projet'!$E$14+1,1))-AVERAGE(OFFSET($H$3,0,0,'Données projet'!$E$14+1,1))</f>
        <v>398.29746143975166</v>
      </c>
      <c r="DU45" s="60">
        <f t="shared" si="44"/>
        <v>300.63705521148802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132.80000000000004</v>
      </c>
      <c r="EK45" s="18">
        <f>EJ45*VLOOKUP('Données projet'!$B$15,Paramètres!$A$1:$I$89,3,0)*VLOOKUP('Données projet'!$B$15,Paramètres!$A$1:$I$89,5,0)</f>
        <v>128.44416000000004</v>
      </c>
      <c r="EL45" s="14">
        <f t="shared" si="45"/>
        <v>33.636598855068954</v>
      </c>
      <c r="EM45" s="22">
        <f t="shared" si="19"/>
        <v>282.29065500591184</v>
      </c>
      <c r="EN45" s="60">
        <f t="shared" si="20"/>
        <v>531.6693212665466</v>
      </c>
      <c r="EO45" s="60">
        <f ca="1">AVERAGE(OFFSET($EN$3,0,0,'Données projet'!$E$15+1,1))-AVERAGE(OFFSET($H$3,0,0,'Données projet'!$E$15+1,1))</f>
        <v>496.33873798282525</v>
      </c>
      <c r="EP45" s="60">
        <f t="shared" si="46"/>
        <v>280.25465074992246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8.2000000000000064</v>
      </c>
      <c r="FE45" s="13">
        <f>IF('Données projet'!$A$218&gt;35,FE44+FD45-FM44,IF(A45&lt;'Données projet'!$A$218,$FB$205^A45,IF(A45='Données projet'!$A$218,'Données projet'!$B$218,FE44+FD45-FM44)))</f>
        <v>180.00000000000003</v>
      </c>
      <c r="FF45" s="18">
        <f>FE45*VLOOKUP('Données projet'!$B$16,Paramètres!$A$1:$I$89,3,0)*VLOOKUP('Données projet'!$B$16,Paramètres!$A$1:$I$89,5,0)</f>
        <v>157.24800000000005</v>
      </c>
      <c r="FG45" s="14">
        <f t="shared" si="47"/>
        <v>40.221168744348645</v>
      </c>
      <c r="FH45" s="22">
        <f t="shared" si="22"/>
        <v>343.92546889640727</v>
      </c>
      <c r="FI45" s="60">
        <f t="shared" si="23"/>
        <v>593.30413515704197</v>
      </c>
      <c r="FJ45" s="60">
        <f ca="1">AVERAGE(OFFSET($FI$3,0,0,'Données projet'!$E$16+1,1))-AVERAGE(OFFSET($H$3,0,0,'Données projet'!$E$16+1,1))</f>
        <v>363.28611056308665</v>
      </c>
      <c r="FK45" s="60">
        <f t="shared" si="48"/>
        <v>389.43647559455974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6.7948717948717956</v>
      </c>
      <c r="FZ45" s="13">
        <f>IF('Données projet'!$A$244&gt;35,FZ44+FY45-GH44,IF(A45&lt;'Données projet'!$A$244,$FW$205^A45,IF(A45='Données projet'!$A$244,'Données projet'!$B$244,FZ44+FY45-GH44)))</f>
        <v>170.00000000000003</v>
      </c>
      <c r="GA45" s="18">
        <f>FZ45*VLOOKUP('Données projet'!$B$17,Paramètres!$A$1:$I$89,3,0)*VLOOKUP('Données projet'!$B$17,Paramètres!$A$1:$I$89,5,0)</f>
        <v>114.03600000000002</v>
      </c>
      <c r="GB45" s="14">
        <f t="shared" si="49"/>
        <v>30.279894261296121</v>
      </c>
      <c r="GC45" s="22">
        <f t="shared" si="25"/>
        <v>251.35018250509077</v>
      </c>
      <c r="GD45" s="60">
        <f t="shared" si="26"/>
        <v>500.7288487657255</v>
      </c>
      <c r="GE45" s="60">
        <f ca="1">AVERAGE(OFFSET($GD$3,0,0,'Données projet'!$E$17+1,1))-AVERAGE(OFFSET($H$3,0,0,'Données projet'!$E$17+1,1))</f>
        <v>344.62096650402731</v>
      </c>
      <c r="GF45" s="60">
        <f t="shared" si="50"/>
        <v>277.30931495079346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10.8</v>
      </c>
      <c r="N46" s="14">
        <f>IF('Données projet'!$A$36&gt;35,N45+M46-V45,IF(A46&lt;'Données projet'!$A$36,$K$205^A46,IF(A46='Données projet'!$A$36,'Données projet'!$B$36,N45+M46-V45)))</f>
        <v>196.39999999999995</v>
      </c>
      <c r="O46" s="14">
        <f>N46*VLOOKUP('Données projet'!$B$9,Paramètres!$A$1:$I$89,3,0)*VLOOKUP('Données projet'!$B$9,Paramètres!$A$1:$I$89,5,0)</f>
        <v>168.51119999999997</v>
      </c>
      <c r="P46" s="14">
        <f t="shared" si="33"/>
        <v>42.756411401172556</v>
      </c>
      <c r="Q46" s="22">
        <f t="shared" si="53"/>
        <v>367.95775652370884</v>
      </c>
      <c r="R46" s="60">
        <f t="shared" si="0"/>
        <v>618.09893799014094</v>
      </c>
      <c r="S46" s="60">
        <f ca="1">AVERAGE(OFFSET($R$3,0,0,'Données projet'!$E$9+1,1))-AVERAGE(OFFSET($H$3,0,0,'Données projet'!$E$9+1,1))</f>
        <v>632.26350546340541</v>
      </c>
      <c r="T46" s="60">
        <f t="shared" si="34"/>
        <v>340.45335016367915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8.2000000000000064</v>
      </c>
      <c r="AI46" s="14">
        <f>IF('Données projet'!$A$62&gt;35,AI45+AH46-AQ45,IF(A46&lt;'Données projet'!$A$62,$AF$205^A46,IF(A46='Données projet'!$A$62,'Données projet'!$B$62,AI45+AH46-AQ45)))</f>
        <v>188.20000000000005</v>
      </c>
      <c r="AJ46" s="14">
        <f>AI46*VLOOKUP('Données projet'!$B$10,Paramètres!$A$1:$I$89,3,0)*VLOOKUP('Données projet'!$B$10,Paramètres!$A$1:$I$89,5,0)</f>
        <v>149.73192000000006</v>
      </c>
      <c r="AK46" s="14">
        <f t="shared" si="35"/>
        <v>38.517657137847586</v>
      </c>
      <c r="AL46" s="22">
        <f t="shared" si="4"/>
        <v>327.86801351508461</v>
      </c>
      <c r="AM46" s="60">
        <f t="shared" si="5"/>
        <v>578.00919498151666</v>
      </c>
      <c r="AN46" s="60">
        <f ca="1">AVERAGE(OFFSET($AM$3,0,0,'Données projet'!$E$10+1,1))-AVERAGE(OFFSET($H$3,0,0,'Données projet'!$E$10+1,1))</f>
        <v>336.25341821407534</v>
      </c>
      <c r="AO46" s="60">
        <f t="shared" si="36"/>
        <v>360.3246221345039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188.20000000000005</v>
      </c>
      <c r="BE46" s="14">
        <f>BD46*VLOOKUP('Données projet'!$B$11,Paramètres!$A$1:$I$89,3,0)*VLOOKUP('Données projet'!$B$11,Paramètres!$A$1:$I$89,5,0)</f>
        <v>149.73192000000006</v>
      </c>
      <c r="BF46" s="14">
        <f t="shared" si="37"/>
        <v>38.517657137847586</v>
      </c>
      <c r="BG46" s="22">
        <f t="shared" si="7"/>
        <v>327.86801351508461</v>
      </c>
      <c r="BH46" s="60">
        <f t="shared" si="8"/>
        <v>578.00919498151666</v>
      </c>
      <c r="BI46" s="60">
        <f ca="1">AVERAGE(OFFSET($BH$3,0,0,'Données projet'!$E$11+1,1))-AVERAGE(OFFSET($H$3,0,0,'Données projet'!$E$11+1,1))</f>
        <v>336.25341821407534</v>
      </c>
      <c r="BJ46" s="60">
        <f t="shared" si="38"/>
        <v>360.3246221345039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127.75776000000003</v>
      </c>
      <c r="CA46" s="14">
        <f t="shared" si="39"/>
        <v>33.477720030956604</v>
      </c>
      <c r="CB46" s="22">
        <f t="shared" si="10"/>
        <v>280.81846105391611</v>
      </c>
      <c r="CC46" s="60">
        <f t="shared" si="11"/>
        <v>530.9596425203481</v>
      </c>
      <c r="CD46" s="60">
        <f ca="1">AVERAGE(OFFSET($CC$3,0,0,'Données projet'!$E$12+1,1))-AVERAGE(OFFSET($H$3,0,0,'Données projet'!$E$12+1,1))</f>
        <v>469.67944008675863</v>
      </c>
      <c r="CE46" s="60">
        <f t="shared" si="40"/>
        <v>266.11908070867173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218.8571428571428</v>
      </c>
      <c r="CU46" s="18">
        <f>CT46*VLOOKUP('Données projet'!$B$13,Paramètres!$A$1:$I$89,3,0)*VLOOKUP('Données projet'!$B$13,Paramètres!$A$1:$I$89,5,0)</f>
        <v>170.70857142857139</v>
      </c>
      <c r="CV46" s="14">
        <f t="shared" si="41"/>
        <v>43.248681576985412</v>
      </c>
      <c r="CW46" s="22">
        <f t="shared" si="13"/>
        <v>372.64221565134471</v>
      </c>
      <c r="CX46" s="60">
        <f t="shared" si="14"/>
        <v>622.78339711777676</v>
      </c>
      <c r="CY46" s="60">
        <f ca="1">AVERAGE(OFFSET($CX$3,0,0,'Données projet'!$E$13+1,1))-AVERAGE(OFFSET($H$3,0,0,'Données projet'!$E$13+1,1))</f>
        <v>312.59632808777332</v>
      </c>
      <c r="CZ46" s="60">
        <f t="shared" si="42"/>
        <v>302.59481222418219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5.7692307692307683</v>
      </c>
      <c r="DO46" s="13">
        <f>IF('Données projet'!$A$166&gt;35,DO45+DN46-DW45,IF(A46&lt;'Données projet'!$A$166,$DL$205^A46,IF(A46='Données projet'!$A$166,'Données projet'!$B$166,DO45+DN46-DW45)))</f>
        <v>141.02564102564111</v>
      </c>
      <c r="DP46" s="18">
        <f>DO46*VLOOKUP('Données projet'!$B$14,Paramètres!$A$1:$I$89,3,0)*VLOOKUP('Données projet'!$B$14,Paramètres!$A$1:$I$89,5,0)</f>
        <v>134.20000000000007</v>
      </c>
      <c r="DQ46" s="14">
        <f t="shared" si="43"/>
        <v>34.965052756825415</v>
      </c>
      <c r="DR46" s="22">
        <f t="shared" si="16"/>
        <v>294.62913355147111</v>
      </c>
      <c r="DS46" s="60">
        <f t="shared" si="17"/>
        <v>544.77031501790316</v>
      </c>
      <c r="DT46" s="60">
        <f ca="1">AVERAGE(OFFSET($DS$3,0,0,'Données projet'!$E$14+1,1))-AVERAGE(OFFSET($H$3,0,0,'Données projet'!$E$14+1,1))</f>
        <v>398.29746143975166</v>
      </c>
      <c r="DU46" s="60">
        <f t="shared" si="44"/>
        <v>300.63705521148802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141.20000000000005</v>
      </c>
      <c r="EK46" s="18">
        <f>EJ46*VLOOKUP('Données projet'!$B$15,Paramètres!$A$1:$I$89,3,0)*VLOOKUP('Données projet'!$B$15,Paramètres!$A$1:$I$89,5,0)</f>
        <v>136.56864000000004</v>
      </c>
      <c r="EL46" s="14">
        <f t="shared" si="45"/>
        <v>35.509797430964703</v>
      </c>
      <c r="EM46" s="22">
        <f t="shared" si="19"/>
        <v>299.70327852559694</v>
      </c>
      <c r="EN46" s="60">
        <f t="shared" si="20"/>
        <v>549.84445999202899</v>
      </c>
      <c r="EO46" s="60">
        <f ca="1">AVERAGE(OFFSET($EN$3,0,0,'Données projet'!$E$15+1,1))-AVERAGE(OFFSET($H$3,0,0,'Données projet'!$E$15+1,1))</f>
        <v>496.33873798282525</v>
      </c>
      <c r="EP46" s="60">
        <f t="shared" si="46"/>
        <v>280.25465074992246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8.2000000000000064</v>
      </c>
      <c r="FE46" s="13">
        <f>IF('Données projet'!$A$218&gt;35,FE45+FD46-FM45,IF(A46&lt;'Données projet'!$A$218,$FB$205^A46,IF(A46='Données projet'!$A$218,'Données projet'!$B$218,FE45+FD46-FM45)))</f>
        <v>188.20000000000005</v>
      </c>
      <c r="FF46" s="18">
        <f>FE46*VLOOKUP('Données projet'!$B$16,Paramètres!$A$1:$I$89,3,0)*VLOOKUP('Données projet'!$B$16,Paramètres!$A$1:$I$89,5,0)</f>
        <v>164.41152000000005</v>
      </c>
      <c r="FG46" s="14">
        <f t="shared" si="47"/>
        <v>41.835965488659532</v>
      </c>
      <c r="FH46" s="22">
        <f t="shared" si="22"/>
        <v>359.21437055941539</v>
      </c>
      <c r="FI46" s="60">
        <f t="shared" si="23"/>
        <v>609.35555202584737</v>
      </c>
      <c r="FJ46" s="60">
        <f ca="1">AVERAGE(OFFSET($FI$3,0,0,'Données projet'!$E$16+1,1))-AVERAGE(OFFSET($H$3,0,0,'Données projet'!$E$16+1,1))</f>
        <v>363.28611056308665</v>
      </c>
      <c r="FK46" s="60">
        <f t="shared" si="48"/>
        <v>389.43647559455974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6.7948717948717956</v>
      </c>
      <c r="FZ46" s="13">
        <f>IF('Données projet'!$A$244&gt;35,FZ45+FY46-GH45,IF(A46&lt;'Données projet'!$A$244,$FW$205^A46,IF(A46='Données projet'!$A$244,'Données projet'!$B$244,FZ45+FY46-GH45)))</f>
        <v>176.79487179487182</v>
      </c>
      <c r="GA46" s="18">
        <f>FZ46*VLOOKUP('Données projet'!$B$17,Paramètres!$A$1:$I$89,3,0)*VLOOKUP('Données projet'!$B$17,Paramètres!$A$1:$I$89,5,0)</f>
        <v>118.59400000000002</v>
      </c>
      <c r="GB46" s="14">
        <f t="shared" si="49"/>
        <v>31.346848285873225</v>
      </c>
      <c r="GC46" s="22">
        <f t="shared" si="25"/>
        <v>261.14697743122923</v>
      </c>
      <c r="GD46" s="60">
        <f t="shared" si="26"/>
        <v>511.28815889766128</v>
      </c>
      <c r="GE46" s="60">
        <f ca="1">AVERAGE(OFFSET($GD$3,0,0,'Données projet'!$E$17+1,1))-AVERAGE(OFFSET($H$3,0,0,'Données projet'!$E$17+1,1))</f>
        <v>344.62096650402731</v>
      </c>
      <c r="GF46" s="60">
        <f t="shared" si="50"/>
        <v>277.30931495079346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10.8</v>
      </c>
      <c r="N47" s="14">
        <f>IF('Données projet'!$A$36&gt;35,N46+M47-V46,IF(A47&lt;'Données projet'!$A$36,$K$205^A47,IF(A47='Données projet'!$A$36,'Données projet'!$B$36,N46+M47-V46)))</f>
        <v>207.19999999999996</v>
      </c>
      <c r="O47" s="14">
        <f>N47*VLOOKUP('Données projet'!$B$9,Paramètres!$A$1:$I$89,3,0)*VLOOKUP('Données projet'!$B$9,Paramètres!$A$1:$I$89,5,0)</f>
        <v>177.77760000000001</v>
      </c>
      <c r="P47" s="14">
        <f t="shared" si="33"/>
        <v>44.827386173754917</v>
      </c>
      <c r="Q47" s="22">
        <f t="shared" si="53"/>
        <v>387.70368425262313</v>
      </c>
      <c r="R47" s="60">
        <f t="shared" si="0"/>
        <v>638.59415299076056</v>
      </c>
      <c r="S47" s="60">
        <f ca="1">AVERAGE(OFFSET($R$3,0,0,'Données projet'!$E$9+1,1))-AVERAGE(OFFSET($H$3,0,0,'Données projet'!$E$9+1,1))</f>
        <v>632.26350546340541</v>
      </c>
      <c r="T47" s="60">
        <f t="shared" si="34"/>
        <v>340.45335016367915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8.2000000000000064</v>
      </c>
      <c r="AI47" s="14">
        <f>IF('Données projet'!$A$62&gt;35,AI46+AH47-AQ46,IF(A47&lt;'Données projet'!$A$62,$AF$205^A47,IF(A47='Données projet'!$A$62,'Données projet'!$B$62,AI46+AH47-AQ46)))</f>
        <v>196.40000000000006</v>
      </c>
      <c r="AJ47" s="14">
        <f>AI47*VLOOKUP('Données projet'!$B$10,Paramètres!$A$1:$I$89,3,0)*VLOOKUP('Données projet'!$B$10,Paramètres!$A$1:$I$89,5,0)</f>
        <v>156.25584000000006</v>
      </c>
      <c r="AK47" s="14">
        <f t="shared" si="35"/>
        <v>39.996849361050039</v>
      </c>
      <c r="AL47" s="22">
        <f t="shared" si="4"/>
        <v>341.80676730382885</v>
      </c>
      <c r="AM47" s="60">
        <f t="shared" si="5"/>
        <v>592.69723604196633</v>
      </c>
      <c r="AN47" s="60">
        <f ca="1">AVERAGE(OFFSET($AM$3,0,0,'Données projet'!$E$10+1,1))-AVERAGE(OFFSET($H$3,0,0,'Données projet'!$E$10+1,1))</f>
        <v>336.25341821407534</v>
      </c>
      <c r="AO47" s="60">
        <f t="shared" si="36"/>
        <v>360.3246221345039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196.40000000000006</v>
      </c>
      <c r="BE47" s="14">
        <f>BD47*VLOOKUP('Données projet'!$B$11,Paramètres!$A$1:$I$89,3,0)*VLOOKUP('Données projet'!$B$11,Paramètres!$A$1:$I$89,5,0)</f>
        <v>156.25584000000006</v>
      </c>
      <c r="BF47" s="14">
        <f t="shared" si="37"/>
        <v>39.996849361050039</v>
      </c>
      <c r="BG47" s="22">
        <f t="shared" si="7"/>
        <v>341.80676730382885</v>
      </c>
      <c r="BH47" s="60">
        <f t="shared" si="8"/>
        <v>592.69723604196633</v>
      </c>
      <c r="BI47" s="60">
        <f ca="1">AVERAGE(OFFSET($BH$3,0,0,'Données projet'!$E$11+1,1))-AVERAGE(OFFSET($H$3,0,0,'Données projet'!$E$11+1,1))</f>
        <v>336.25341821407534</v>
      </c>
      <c r="BJ47" s="60">
        <f t="shared" si="38"/>
        <v>360.3246221345039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135.35808000000006</v>
      </c>
      <c r="CA47" s="14">
        <f t="shared" si="39"/>
        <v>35.231528980112834</v>
      </c>
      <c r="CB47" s="22">
        <f t="shared" si="10"/>
        <v>297.11023564036327</v>
      </c>
      <c r="CC47" s="60">
        <f t="shared" si="11"/>
        <v>548.0007043785007</v>
      </c>
      <c r="CD47" s="60">
        <f ca="1">AVERAGE(OFFSET($CC$3,0,0,'Données projet'!$E$12+1,1))-AVERAGE(OFFSET($H$3,0,0,'Données projet'!$E$12+1,1))</f>
        <v>469.67944008675863</v>
      </c>
      <c r="CE47" s="60">
        <f t="shared" si="40"/>
        <v>266.11908070867173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229.99999999999994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0">
        <f t="shared" si="14"/>
        <v>642.04907123814814</v>
      </c>
      <c r="CY47" s="60">
        <f ca="1">AVERAGE(OFFSET($CX$3,0,0,'Données projet'!$E$13+1,1))-AVERAGE(OFFSET($H$3,0,0,'Données projet'!$E$13+1,1))</f>
        <v>312.59632808777332</v>
      </c>
      <c r="CZ47" s="60">
        <f t="shared" si="42"/>
        <v>302.59481222418219</v>
      </c>
      <c r="DA47" s="16">
        <f>IF(ISNA(VLOOKUP(A47,'Données projet'!$A$139:$I$159,3,0)),0,VLOOKUP(A47,'Données projet'!$A$139:$I$159,3,0))</f>
        <v>4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5.7692307692307683</v>
      </c>
      <c r="DO47" s="13">
        <f>IF('Données projet'!$A$166&gt;35,DO46+DN47-DW46,IF(A47&lt;'Données projet'!$A$166,$DL$205^A47,IF(A47='Données projet'!$A$166,'Données projet'!$B$166,DO46+DN47-DW46)))</f>
        <v>146.79487179487188</v>
      </c>
      <c r="DP47" s="18">
        <f>DO47*VLOOKUP('Données projet'!$B$14,Paramètres!$A$1:$I$89,3,0)*VLOOKUP('Données projet'!$B$14,Paramètres!$A$1:$I$89,5,0)</f>
        <v>139.69000000000008</v>
      </c>
      <c r="DQ47" s="14">
        <f t="shared" si="43"/>
        <v>36.225979688604163</v>
      </c>
      <c r="DR47" s="22">
        <f t="shared" si="16"/>
        <v>306.3869979576524</v>
      </c>
      <c r="DS47" s="60">
        <f t="shared" si="17"/>
        <v>557.27746669578983</v>
      </c>
      <c r="DT47" s="60">
        <f ca="1">AVERAGE(OFFSET($DS$3,0,0,'Données projet'!$E$14+1,1))-AVERAGE(OFFSET($H$3,0,0,'Données projet'!$E$14+1,1))</f>
        <v>398.29746143975166</v>
      </c>
      <c r="DU47" s="60">
        <f t="shared" si="44"/>
        <v>300.63705521148802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149.60000000000005</v>
      </c>
      <c r="EK47" s="18">
        <f>EJ47*VLOOKUP('Données projet'!$B$15,Paramètres!$A$1:$I$89,3,0)*VLOOKUP('Données projet'!$B$15,Paramètres!$A$1:$I$89,5,0)</f>
        <v>144.69312000000005</v>
      </c>
      <c r="EL47" s="14">
        <f t="shared" si="45"/>
        <v>37.370061524802772</v>
      </c>
      <c r="EM47" s="22">
        <f t="shared" si="19"/>
        <v>317.09337448903153</v>
      </c>
      <c r="EN47" s="60">
        <f t="shared" si="20"/>
        <v>567.98384322716902</v>
      </c>
      <c r="EO47" s="60">
        <f ca="1">AVERAGE(OFFSET($EN$3,0,0,'Données projet'!$E$15+1,1))-AVERAGE(OFFSET($H$3,0,0,'Données projet'!$E$15+1,1))</f>
        <v>496.33873798282525</v>
      </c>
      <c r="EP47" s="60">
        <f t="shared" si="46"/>
        <v>280.25465074992246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8.2000000000000064</v>
      </c>
      <c r="FE47" s="13">
        <f>IF('Données projet'!$A$218&gt;35,FE46+FD47-FM46,IF(A47&lt;'Données projet'!$A$218,$FB$205^A47,IF(A47='Données projet'!$A$218,'Données projet'!$B$218,FE46+FD47-FM46)))</f>
        <v>196.40000000000006</v>
      </c>
      <c r="FF47" s="18">
        <f>FE47*VLOOKUP('Données projet'!$B$16,Paramètres!$A$1:$I$89,3,0)*VLOOKUP('Données projet'!$B$16,Paramètres!$A$1:$I$89,5,0)</f>
        <v>171.57504000000009</v>
      </c>
      <c r="FG47" s="14">
        <f t="shared" si="47"/>
        <v>43.44259058996105</v>
      </c>
      <c r="FH47" s="22">
        <f t="shared" si="22"/>
        <v>374.48903994418225</v>
      </c>
      <c r="FI47" s="60">
        <f t="shared" si="23"/>
        <v>625.37950868231974</v>
      </c>
      <c r="FJ47" s="60">
        <f ca="1">AVERAGE(OFFSET($FI$3,0,0,'Données projet'!$E$16+1,1))-AVERAGE(OFFSET($H$3,0,0,'Données projet'!$E$16+1,1))</f>
        <v>363.28611056308665</v>
      </c>
      <c r="FK47" s="60">
        <f t="shared" si="48"/>
        <v>389.43647559455974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6.7948717948717956</v>
      </c>
      <c r="FZ47" s="13">
        <f>IF('Données projet'!$A$244&gt;35,FZ46+FY47-GH46,IF(A47&lt;'Données projet'!$A$244,$FW$205^A47,IF(A47='Données projet'!$A$244,'Données projet'!$B$244,FZ46+FY47-GH46)))</f>
        <v>183.58974358974362</v>
      </c>
      <c r="GA47" s="18">
        <f>FZ47*VLOOKUP('Données projet'!$B$17,Paramètres!$A$1:$I$89,3,0)*VLOOKUP('Données projet'!$B$17,Paramètres!$A$1:$I$89,5,0)</f>
        <v>123.15200000000002</v>
      </c>
      <c r="GB47" s="14">
        <f t="shared" si="49"/>
        <v>32.409038525483382</v>
      </c>
      <c r="GC47" s="22">
        <f t="shared" si="25"/>
        <v>270.93547543188362</v>
      </c>
      <c r="GD47" s="60">
        <f t="shared" si="26"/>
        <v>521.8259441700211</v>
      </c>
      <c r="GE47" s="60">
        <f ca="1">AVERAGE(OFFSET($GD$3,0,0,'Données projet'!$E$17+1,1))-AVERAGE(OFFSET($H$3,0,0,'Données projet'!$E$17+1,1))</f>
        <v>344.62096650402731</v>
      </c>
      <c r="GF47" s="60">
        <f t="shared" si="50"/>
        <v>277.30931495079346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218</v>
      </c>
      <c r="L48" s="13">
        <f>VLOOKUP(A48,'Données projet'!$A$35:$I$55,9,0)</f>
        <v>10.8</v>
      </c>
      <c r="M48" s="13">
        <f t="array" ref="M48">INDEX(L:L,MIN(IF(ISNUMBER(L48:L244),ROW(L48:L244),"")))</f>
        <v>10.8</v>
      </c>
      <c r="N48" s="14">
        <f>IF('Données projet'!$A$36&gt;35,N47+M48-V47,IF(A48&lt;'Données projet'!$A$36,$K$205^A48,IF(A48='Données projet'!$A$36,'Données projet'!$B$36,N47+M48-V47)))</f>
        <v>217.99999999999997</v>
      </c>
      <c r="O48" s="14">
        <f>N48*VLOOKUP('Données projet'!$B$9,Paramètres!$A$1:$I$89,3,0)*VLOOKUP('Données projet'!$B$9,Paramètres!$A$1:$I$89,5,0)</f>
        <v>187.04399999999998</v>
      </c>
      <c r="P48" s="14">
        <f t="shared" si="33"/>
        <v>46.885828015531139</v>
      </c>
      <c r="Q48" s="22">
        <f t="shared" si="53"/>
        <v>407.42778379371663</v>
      </c>
      <c r="R48" s="60">
        <f t="shared" si="0"/>
        <v>659.05454134455078</v>
      </c>
      <c r="S48" s="60">
        <f ca="1">AVERAGE(OFFSET($R$3,0,0,'Données projet'!$E$9+1,1))-AVERAGE(OFFSET($H$3,0,0,'Données projet'!$E$9+1,1))</f>
        <v>632.26350546340541</v>
      </c>
      <c r="T48" s="60">
        <f t="shared" si="34"/>
        <v>340.45335016367915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204.60000000000002</v>
      </c>
      <c r="AG48" s="13">
        <f>VLOOKUP(A48,'Données projet'!$A$61:$I$81,9,0)</f>
        <v>8.2000000000000064</v>
      </c>
      <c r="AH48" s="13">
        <f t="array" ref="AH48">INDEX(AG:AG,MIN(IF(ISNUMBER(AG48:AG244),ROW(AG48:AG244),"")))</f>
        <v>8.2000000000000064</v>
      </c>
      <c r="AI48" s="14">
        <f>IF('Données projet'!$A$62&gt;35,AI47+AH48-AQ47,IF(A48&lt;'Données projet'!$A$62,$AF$205^A48,IF(A48='Données projet'!$A$62,'Données projet'!$B$62,AI47+AH48-AQ47)))</f>
        <v>204.60000000000008</v>
      </c>
      <c r="AJ48" s="14">
        <f>AI48*VLOOKUP('Données projet'!$B$10,Paramètres!$A$1:$I$89,3,0)*VLOOKUP('Données projet'!$B$10,Paramètres!$A$1:$I$89,5,0)</f>
        <v>162.77976000000007</v>
      </c>
      <c r="AK48" s="14">
        <f t="shared" si="35"/>
        <v>41.468868129640093</v>
      </c>
      <c r="AL48" s="22">
        <f t="shared" si="4"/>
        <v>355.73302732578992</v>
      </c>
      <c r="AM48" s="60">
        <f t="shared" si="5"/>
        <v>607.35978487662408</v>
      </c>
      <c r="AN48" s="60">
        <f ca="1">AVERAGE(OFFSET($AM$3,0,0,'Données projet'!$E$10+1,1))-AVERAGE(OFFSET($H$3,0,0,'Données projet'!$E$10+1,1))</f>
        <v>336.25341821407534</v>
      </c>
      <c r="AO48" s="60">
        <f t="shared" si="36"/>
        <v>360.3246221345039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204.60000000000008</v>
      </c>
      <c r="BE48" s="14">
        <f>BD48*VLOOKUP('Données projet'!$B$11,Paramètres!$A$1:$I$89,3,0)*VLOOKUP('Données projet'!$B$11,Paramètres!$A$1:$I$89,5,0)</f>
        <v>162.77976000000007</v>
      </c>
      <c r="BF48" s="14">
        <f t="shared" si="37"/>
        <v>41.468868129640093</v>
      </c>
      <c r="BG48" s="22">
        <f t="shared" si="7"/>
        <v>355.73302732578992</v>
      </c>
      <c r="BH48" s="60">
        <f t="shared" si="8"/>
        <v>607.35978487662408</v>
      </c>
      <c r="BI48" s="60">
        <f ca="1">AVERAGE(OFFSET($BH$3,0,0,'Données projet'!$E$11+1,1))-AVERAGE(OFFSET($H$3,0,0,'Données projet'!$E$11+1,1))</f>
        <v>336.25341821407534</v>
      </c>
      <c r="BJ48" s="60">
        <f t="shared" si="38"/>
        <v>360.3246221345039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142.95840000000004</v>
      </c>
      <c r="CA48" s="14">
        <f t="shared" si="39"/>
        <v>36.973906370811264</v>
      </c>
      <c r="CB48" s="22">
        <f t="shared" si="10"/>
        <v>313.38210026249641</v>
      </c>
      <c r="CC48" s="60">
        <f t="shared" si="11"/>
        <v>565.00885781333056</v>
      </c>
      <c r="CD48" s="60">
        <f ca="1">AVERAGE(OFFSET($CC$3,0,0,'Données projet'!$E$12+1,1))-AVERAGE(OFFSET($H$3,0,0,'Données projet'!$E$12+1,1))</f>
        <v>469.67944008675863</v>
      </c>
      <c r="CE48" s="60">
        <f t="shared" si="40"/>
        <v>266.11908070867173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197.37499999999994</v>
      </c>
      <c r="CU48" s="18">
        <f>CT48*VLOOKUP('Données projet'!$B$13,Paramètres!$A$1:$I$89,3,0)*VLOOKUP('Données projet'!$B$13,Paramètres!$A$1:$I$89,5,0)</f>
        <v>153.95249999999996</v>
      </c>
      <c r="CV48" s="14">
        <f t="shared" si="41"/>
        <v>39.475441267837397</v>
      </c>
      <c r="CW48" s="22">
        <f t="shared" si="13"/>
        <v>336.88699770815003</v>
      </c>
      <c r="CX48" s="60">
        <f t="shared" si="14"/>
        <v>588.51375525898413</v>
      </c>
      <c r="CY48" s="60">
        <f ca="1">AVERAGE(OFFSET($CX$3,0,0,'Données projet'!$E$13+1,1))-AVERAGE(OFFSET($H$3,0,0,'Données projet'!$E$13+1,1))</f>
        <v>312.59632808777332</v>
      </c>
      <c r="CZ48" s="60">
        <f t="shared" si="42"/>
        <v>302.59481222418219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152.56410256410257</v>
      </c>
      <c r="DM48" s="13">
        <f>VLOOKUP(A48,'Données projet'!$A$165:$I$185,9,0)</f>
        <v>5.7692307692307683</v>
      </c>
      <c r="DN48" s="13">
        <f t="array" ref="DN48">INDEX(DM:DM,MIN(IF(ISNUMBER(DM48:DM244),ROW(DM48:DM244),"")))</f>
        <v>5.7692307692307683</v>
      </c>
      <c r="DO48" s="13">
        <f>IF('Données projet'!$A$166&gt;35,DO47+DN48-DW47,IF(A48&lt;'Données projet'!$A$166,$DL$205^A48,IF(A48='Données projet'!$A$166,'Données projet'!$B$166,DO47+DN48-DW47)))</f>
        <v>152.56410256410265</v>
      </c>
      <c r="DP48" s="18">
        <f>DO48*VLOOKUP('Données projet'!$B$14,Paramètres!$A$1:$I$89,3,0)*VLOOKUP('Données projet'!$B$14,Paramètres!$A$1:$I$89,5,0)</f>
        <v>145.18000000000009</v>
      </c>
      <c r="DQ48" s="14">
        <f t="shared" si="43"/>
        <v>37.481149901429063</v>
      </c>
      <c r="DR48" s="22">
        <f t="shared" si="16"/>
        <v>318.13483607832245</v>
      </c>
      <c r="DS48" s="60">
        <f t="shared" si="17"/>
        <v>569.76159362915655</v>
      </c>
      <c r="DT48" s="60">
        <f ca="1">AVERAGE(OFFSET($DS$3,0,0,'Données projet'!$E$14+1,1))-AVERAGE(OFFSET($H$3,0,0,'Données projet'!$E$14+1,1))</f>
        <v>398.29746143975166</v>
      </c>
      <c r="DU48" s="60">
        <f t="shared" si="44"/>
        <v>300.63705521148802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158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158.00000000000006</v>
      </c>
      <c r="EK48" s="18">
        <f>EJ48*VLOOKUP('Données projet'!$B$15,Paramètres!$A$1:$I$89,3,0)*VLOOKUP('Données projet'!$B$15,Paramètres!$A$1:$I$89,5,0)</f>
        <v>152.81760000000006</v>
      </c>
      <c r="EL48" s="14">
        <f t="shared" si="45"/>
        <v>39.218200171484227</v>
      </c>
      <c r="EM48" s="22">
        <f t="shared" si="19"/>
        <v>334.46235196533513</v>
      </c>
      <c r="EN48" s="60">
        <f t="shared" si="20"/>
        <v>586.08910951616929</v>
      </c>
      <c r="EO48" s="60">
        <f ca="1">AVERAGE(OFFSET($EN$3,0,0,'Données projet'!$E$15+1,1))-AVERAGE(OFFSET($H$3,0,0,'Données projet'!$E$15+1,1))</f>
        <v>496.33873798282525</v>
      </c>
      <c r="EP48" s="60">
        <f t="shared" si="46"/>
        <v>280.25465074992246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204.60000000000002</v>
      </c>
      <c r="FC48" s="13">
        <f>VLOOKUP(A48,'Données projet'!$A$217:$I$237,9,0)</f>
        <v>8.2000000000000064</v>
      </c>
      <c r="FD48" s="13">
        <f t="array" ref="FD48">INDEX(FC:FC,MIN(IF(ISNUMBER(FC48:FC244),ROW(FC48:FC244),"")))</f>
        <v>8.2000000000000064</v>
      </c>
      <c r="FE48" s="13">
        <f>IF('Données projet'!$A$218&gt;35,FE47+FD48-FM47,IF(A48&lt;'Données projet'!$A$218,$FB$205^A48,IF(A48='Données projet'!$A$218,'Données projet'!$B$218,FE47+FD48-FM47)))</f>
        <v>204.60000000000008</v>
      </c>
      <c r="FF48" s="18">
        <f>FE48*VLOOKUP('Données projet'!$B$16,Paramètres!$A$1:$I$89,3,0)*VLOOKUP('Données projet'!$B$16,Paramètres!$A$1:$I$89,5,0)</f>
        <v>178.73856000000009</v>
      </c>
      <c r="FG48" s="14">
        <f t="shared" si="47"/>
        <v>45.041424241265368</v>
      </c>
      <c r="FH48" s="22">
        <f t="shared" si="22"/>
        <v>389.75013922020395</v>
      </c>
      <c r="FI48" s="60">
        <f t="shared" si="23"/>
        <v>641.3768967710381</v>
      </c>
      <c r="FJ48" s="60">
        <f ca="1">AVERAGE(OFFSET($FI$3,0,0,'Données projet'!$E$16+1,1))-AVERAGE(OFFSET($H$3,0,0,'Données projet'!$E$16+1,1))</f>
        <v>363.28611056308665</v>
      </c>
      <c r="FK48" s="60">
        <f t="shared" si="48"/>
        <v>389.43647559455974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190.38461538461539</v>
      </c>
      <c r="FX48" s="13">
        <f>VLOOKUP(A48,'Données projet'!$A$243:$I$263,9,0)</f>
        <v>6.7948717948717956</v>
      </c>
      <c r="FY48" s="13">
        <f t="array" ref="FY48">INDEX(FX:FX,MIN(IF(ISNUMBER(FX48:FX244),ROW(FX48:FX244),"")))</f>
        <v>6.7948717948717956</v>
      </c>
      <c r="FZ48" s="13">
        <f>IF('Données projet'!$A$244&gt;35,FZ47+FY48-GH47,IF(A48&lt;'Données projet'!$A$244,$FW$205^A48,IF(A48='Données projet'!$A$244,'Données projet'!$B$244,FZ47+FY48-GH47)))</f>
        <v>190.38461538461542</v>
      </c>
      <c r="GA48" s="18">
        <f>FZ48*VLOOKUP('Données projet'!$B$17,Paramètres!$A$1:$I$89,3,0)*VLOOKUP('Données projet'!$B$17,Paramètres!$A$1:$I$89,5,0)</f>
        <v>127.71000000000002</v>
      </c>
      <c r="GB48" s="14">
        <f t="shared" si="49"/>
        <v>33.466661484162984</v>
      </c>
      <c r="GC48" s="22">
        <f t="shared" si="25"/>
        <v>280.71601875158382</v>
      </c>
      <c r="GD48" s="60">
        <f t="shared" si="26"/>
        <v>532.34277630241797</v>
      </c>
      <c r="GE48" s="60">
        <f ca="1">AVERAGE(OFFSET($GD$3,0,0,'Données projet'!$E$17+1,1))-AVERAGE(OFFSET($H$3,0,0,'Données projet'!$E$17+1,1))</f>
        <v>344.62096650402731</v>
      </c>
      <c r="GF48" s="60">
        <f t="shared" si="50"/>
        <v>277.30931495079346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228.99999999999997</v>
      </c>
      <c r="O49" s="14">
        <f>N49*VLOOKUP('Données projet'!$B$9,Paramètres!$A$1:$I$89,3,0)*VLOOKUP('Données projet'!$B$9,Paramètres!$A$1:$I$89,5,0)</f>
        <v>196.482</v>
      </c>
      <c r="P49" s="14">
        <f t="shared" si="33"/>
        <v>48.97022107190336</v>
      </c>
      <c r="Q49" s="22">
        <f t="shared" si="53"/>
        <v>427.49595170023167</v>
      </c>
      <c r="R49" s="60">
        <f t="shared" si="0"/>
        <v>679.84622509895735</v>
      </c>
      <c r="S49" s="60">
        <f ca="1">AVERAGE(OFFSET($R$3,0,0,'Données projet'!$E$9+1,1))-AVERAGE(OFFSET($H$3,0,0,'Données projet'!$E$9+1,1))</f>
        <v>632.26350546340541</v>
      </c>
      <c r="T49" s="60">
        <f t="shared" si="34"/>
        <v>340.45335016367915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7.1199999999999992</v>
      </c>
      <c r="AI49" s="14">
        <f>IF('Données projet'!$A$62&gt;35,AI48+AH49-AQ48,IF(A49&lt;'Données projet'!$A$62,$AF$205^A49,IF(A49='Données projet'!$A$62,'Données projet'!$B$62,AI48+AH49-AQ48)))</f>
        <v>211.72000000000008</v>
      </c>
      <c r="AJ49" s="14">
        <f>AI49*VLOOKUP('Données projet'!$B$10,Paramètres!$A$1:$I$89,3,0)*VLOOKUP('Données projet'!$B$10,Paramètres!$A$1:$I$89,5,0)</f>
        <v>168.44443200000006</v>
      </c>
      <c r="AK49" s="14">
        <f t="shared" si="35"/>
        <v>42.741441926261587</v>
      </c>
      <c r="AL49" s="22">
        <f t="shared" si="4"/>
        <v>367.81539708823902</v>
      </c>
      <c r="AM49" s="60">
        <f t="shared" si="5"/>
        <v>620.1656704869647</v>
      </c>
      <c r="AN49" s="60">
        <f ca="1">AVERAGE(OFFSET($AM$3,0,0,'Données projet'!$E$10+1,1))-AVERAGE(OFFSET($H$3,0,0,'Données projet'!$E$10+1,1))</f>
        <v>336.25341821407534</v>
      </c>
      <c r="AO49" s="60">
        <f t="shared" si="36"/>
        <v>360.3246221345039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211.72000000000008</v>
      </c>
      <c r="BE49" s="14">
        <f>BD49*VLOOKUP('Données projet'!$B$11,Paramètres!$A$1:$I$89,3,0)*VLOOKUP('Données projet'!$B$11,Paramètres!$A$1:$I$89,5,0)</f>
        <v>168.44443200000006</v>
      </c>
      <c r="BF49" s="14">
        <f t="shared" si="37"/>
        <v>42.741441926261587</v>
      </c>
      <c r="BG49" s="22">
        <f t="shared" si="7"/>
        <v>367.81539708823902</v>
      </c>
      <c r="BH49" s="60">
        <f t="shared" si="8"/>
        <v>620.1656704869647</v>
      </c>
      <c r="BI49" s="60">
        <f ca="1">AVERAGE(OFFSET($BH$3,0,0,'Données projet'!$E$11+1,1))-AVERAGE(OFFSET($H$3,0,0,'Données projet'!$E$11+1,1))</f>
        <v>336.25341821407534</v>
      </c>
      <c r="BJ49" s="60">
        <f t="shared" si="38"/>
        <v>360.3246221345039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150.37776000000002</v>
      </c>
      <c r="CA49" s="14">
        <f t="shared" si="39"/>
        <v>38.664420365454049</v>
      </c>
      <c r="CB49" s="22">
        <f t="shared" si="10"/>
        <v>329.24846413649914</v>
      </c>
      <c r="CC49" s="60">
        <f t="shared" si="11"/>
        <v>581.59873753522481</v>
      </c>
      <c r="CD49" s="60">
        <f ca="1">AVERAGE(OFFSET($CC$3,0,0,'Données projet'!$E$12+1,1))-AVERAGE(OFFSET($H$3,0,0,'Données projet'!$E$12+1,1))</f>
        <v>469.67944008675863</v>
      </c>
      <c r="CE49" s="60">
        <f t="shared" si="40"/>
        <v>266.11908070867173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207.74999999999994</v>
      </c>
      <c r="CU49" s="18">
        <f>CT49*VLOOKUP('Données projet'!$B$13,Paramètres!$A$1:$I$89,3,0)*VLOOKUP('Données projet'!$B$13,Paramètres!$A$1:$I$89,5,0)</f>
        <v>162.04499999999996</v>
      </c>
      <c r="CV49" s="14">
        <f t="shared" si="41"/>
        <v>41.303429372463391</v>
      </c>
      <c r="CW49" s="22">
        <f t="shared" si="13"/>
        <v>354.16518115704031</v>
      </c>
      <c r="CX49" s="60">
        <f t="shared" si="14"/>
        <v>606.51545455576593</v>
      </c>
      <c r="CY49" s="60">
        <f ca="1">AVERAGE(OFFSET($CX$3,0,0,'Données projet'!$E$13+1,1))-AVERAGE(OFFSET($H$3,0,0,'Données projet'!$E$13+1,1))</f>
        <v>312.59632808777332</v>
      </c>
      <c r="CZ49" s="60">
        <f t="shared" si="42"/>
        <v>302.59481222418219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5.5128205128205083</v>
      </c>
      <c r="DO49" s="13">
        <f>IF('Données projet'!$A$166&gt;35,DO48+DN49-DW48,IF(A49&lt;'Données projet'!$A$166,$DL$205^A49,IF(A49='Données projet'!$A$166,'Données projet'!$B$166,DO48+DN49-DW48)))</f>
        <v>158.07692307692315</v>
      </c>
      <c r="DP49" s="18">
        <f>DO49*VLOOKUP('Données projet'!$B$14,Paramètres!$A$1:$I$89,3,0)*VLOOKUP('Données projet'!$B$14,Paramètres!$A$1:$I$89,5,0)</f>
        <v>150.42600000000007</v>
      </c>
      <c r="DQ49" s="14">
        <f t="shared" si="43"/>
        <v>38.67537966484668</v>
      </c>
      <c r="DR49" s="22">
        <f t="shared" si="16"/>
        <v>329.35156958294141</v>
      </c>
      <c r="DS49" s="60">
        <f t="shared" si="17"/>
        <v>581.70184298166703</v>
      </c>
      <c r="DT49" s="60">
        <f ca="1">AVERAGE(OFFSET($DS$3,0,0,'Données projet'!$E$14+1,1))-AVERAGE(OFFSET($H$3,0,0,'Données projet'!$E$14+1,1))</f>
        <v>398.29746143975166</v>
      </c>
      <c r="DU49" s="60">
        <f t="shared" si="44"/>
        <v>300.63705521148802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166.20000000000005</v>
      </c>
      <c r="EK49" s="18">
        <f>EJ49*VLOOKUP('Données projet'!$B$15,Paramètres!$A$1:$I$89,3,0)*VLOOKUP('Données projet'!$B$15,Paramètres!$A$1:$I$89,5,0)</f>
        <v>160.74864000000005</v>
      </c>
      <c r="EL49" s="14">
        <f t="shared" si="45"/>
        <v>41.011327345272264</v>
      </c>
      <c r="EM49" s="22">
        <f t="shared" si="19"/>
        <v>351.39860979301596</v>
      </c>
      <c r="EN49" s="60">
        <f t="shared" si="20"/>
        <v>603.74888319174158</v>
      </c>
      <c r="EO49" s="60">
        <f ca="1">AVERAGE(OFFSET($EN$3,0,0,'Données projet'!$E$15+1,1))-AVERAGE(OFFSET($H$3,0,0,'Données projet'!$E$15+1,1))</f>
        <v>496.33873798282525</v>
      </c>
      <c r="EP49" s="60">
        <f t="shared" si="46"/>
        <v>280.25465074992246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7.1199999999999992</v>
      </c>
      <c r="FE49" s="13">
        <f>IF('Données projet'!$A$218&gt;35,FE48+FD49-FM48,IF(A49&lt;'Données projet'!$A$218,$FB$205^A49,IF(A49='Données projet'!$A$218,'Données projet'!$B$218,FE48+FD49-FM48)))</f>
        <v>211.72000000000008</v>
      </c>
      <c r="FF49" s="18">
        <f>FE49*VLOOKUP('Données projet'!$B$16,Paramètres!$A$1:$I$89,3,0)*VLOOKUP('Données projet'!$B$16,Paramètres!$A$1:$I$89,5,0)</f>
        <v>184.9585920000001</v>
      </c>
      <c r="FG49" s="14">
        <f t="shared" si="47"/>
        <v>46.423630673154392</v>
      </c>
      <c r="FH49" s="22">
        <f t="shared" si="22"/>
        <v>402.99070448907742</v>
      </c>
      <c r="FI49" s="60">
        <f t="shared" si="23"/>
        <v>655.34097788780309</v>
      </c>
      <c r="FJ49" s="60">
        <f ca="1">AVERAGE(OFFSET($FI$3,0,0,'Données projet'!$E$16+1,1))-AVERAGE(OFFSET($H$3,0,0,'Données projet'!$E$16+1,1))</f>
        <v>363.28611056308665</v>
      </c>
      <c r="FK49" s="60">
        <f t="shared" si="48"/>
        <v>389.43647559455974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6.2820512820512819</v>
      </c>
      <c r="FZ49" s="13">
        <f>IF('Données projet'!$A$244&gt;35,FZ48+FY49-GH48,IF(A49&lt;'Données projet'!$A$244,$FW$205^A49,IF(A49='Données projet'!$A$244,'Données projet'!$B$244,FZ48+FY49-GH48)))</f>
        <v>196.66666666666669</v>
      </c>
      <c r="GA49" s="18">
        <f>FZ49*VLOOKUP('Données projet'!$B$17,Paramètres!$A$1:$I$89,3,0)*VLOOKUP('Données projet'!$B$17,Paramètres!$A$1:$I$89,5,0)</f>
        <v>131.92400000000001</v>
      </c>
      <c r="GB49" s="14">
        <f t="shared" si="49"/>
        <v>34.440558391692079</v>
      </c>
      <c r="GC49" s="22">
        <f t="shared" si="25"/>
        <v>289.75160586553034</v>
      </c>
      <c r="GD49" s="60">
        <f t="shared" si="26"/>
        <v>542.10187926425601</v>
      </c>
      <c r="GE49" s="60">
        <f ca="1">AVERAGE(OFFSET($GD$3,0,0,'Données projet'!$E$17+1,1))-AVERAGE(OFFSET($H$3,0,0,'Données projet'!$E$17+1,1))</f>
        <v>344.62096650402731</v>
      </c>
      <c r="GF49" s="60">
        <f t="shared" si="50"/>
        <v>277.30931495079346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239.99999999999997</v>
      </c>
      <c r="O50" s="14">
        <f>N50*VLOOKUP('Données projet'!$B$9,Paramètres!$A$1:$I$89,3,0)*VLOOKUP('Données projet'!$B$9,Paramètres!$A$1:$I$89,5,0)</f>
        <v>205.92000000000002</v>
      </c>
      <c r="P50" s="14">
        <f t="shared" si="33"/>
        <v>51.042987531485686</v>
      </c>
      <c r="Q50" s="22">
        <f t="shared" si="53"/>
        <v>447.54386995067085</v>
      </c>
      <c r="R50" s="60">
        <f t="shared" si="0"/>
        <v>700.60510781486619</v>
      </c>
      <c r="S50" s="60">
        <f ca="1">AVERAGE(OFFSET($R$3,0,0,'Données projet'!$E$9+1,1))-AVERAGE(OFFSET($H$3,0,0,'Données projet'!$E$9+1,1))</f>
        <v>632.26350546340541</v>
      </c>
      <c r="T50" s="60">
        <f t="shared" si="34"/>
        <v>340.45335016367915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7.1199999999999992</v>
      </c>
      <c r="AI50" s="14">
        <f>IF('Données projet'!$A$62&gt;35,AI49+AH50-AQ49,IF(A50&lt;'Données projet'!$A$62,$AF$205^A50,IF(A50='Données projet'!$A$62,'Données projet'!$B$62,AI49+AH50-AQ49)))</f>
        <v>218.84000000000009</v>
      </c>
      <c r="AJ50" s="14">
        <f>AI50*VLOOKUP('Données projet'!$B$10,Paramètres!$A$1:$I$89,3,0)*VLOOKUP('Données projet'!$B$10,Paramètres!$A$1:$I$89,5,0)</f>
        <v>174.10910400000009</v>
      </c>
      <c r="AK50" s="14">
        <f t="shared" si="35"/>
        <v>44.009043039404553</v>
      </c>
      <c r="AL50" s="22">
        <f t="shared" si="4"/>
        <v>379.88910609362978</v>
      </c>
      <c r="AM50" s="60">
        <f t="shared" si="5"/>
        <v>632.95034395782523</v>
      </c>
      <c r="AN50" s="60">
        <f ca="1">AVERAGE(OFFSET($AM$3,0,0,'Données projet'!$E$10+1,1))-AVERAGE(OFFSET($H$3,0,0,'Données projet'!$E$10+1,1))</f>
        <v>336.25341821407534</v>
      </c>
      <c r="AO50" s="60">
        <f t="shared" si="36"/>
        <v>360.3246221345039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218.84000000000009</v>
      </c>
      <c r="BE50" s="14">
        <f>BD50*VLOOKUP('Données projet'!$B$11,Paramètres!$A$1:$I$89,3,0)*VLOOKUP('Données projet'!$B$11,Paramètres!$A$1:$I$89,5,0)</f>
        <v>174.10910400000009</v>
      </c>
      <c r="BF50" s="14">
        <f t="shared" si="37"/>
        <v>44.009043039404553</v>
      </c>
      <c r="BG50" s="22">
        <f t="shared" si="7"/>
        <v>379.88910609362978</v>
      </c>
      <c r="BH50" s="60">
        <f t="shared" si="8"/>
        <v>632.95034395782523</v>
      </c>
      <c r="BI50" s="60">
        <f ca="1">AVERAGE(OFFSET($BH$3,0,0,'Données projet'!$E$11+1,1))-AVERAGE(OFFSET($H$3,0,0,'Données projet'!$E$11+1,1))</f>
        <v>336.25341821407534</v>
      </c>
      <c r="BJ50" s="60">
        <f t="shared" si="38"/>
        <v>360.3246221345039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157.79712000000004</v>
      </c>
      <c r="CA50" s="14">
        <f t="shared" si="39"/>
        <v>40.345249481546155</v>
      </c>
      <c r="CB50" s="22">
        <f t="shared" si="10"/>
        <v>345.09796018035962</v>
      </c>
      <c r="CC50" s="60">
        <f t="shared" si="11"/>
        <v>598.15919804455507</v>
      </c>
      <c r="CD50" s="60">
        <f ca="1">AVERAGE(OFFSET($CC$3,0,0,'Données projet'!$E$12+1,1))-AVERAGE(OFFSET($H$3,0,0,'Données projet'!$E$12+1,1))</f>
        <v>469.67944008675863</v>
      </c>
      <c r="CE50" s="60">
        <f t="shared" si="40"/>
        <v>266.11908070867173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218.12499999999994</v>
      </c>
      <c r="CU50" s="18">
        <f>CT50*VLOOKUP('Données projet'!$B$13,Paramètres!$A$1:$I$89,3,0)*VLOOKUP('Données projet'!$B$13,Paramètres!$A$1:$I$89,5,0)</f>
        <v>170.13749999999996</v>
      </c>
      <c r="CV50" s="14">
        <f t="shared" si="41"/>
        <v>43.120817562072411</v>
      </c>
      <c r="CW50" s="22">
        <f t="shared" si="13"/>
        <v>371.42490308727605</v>
      </c>
      <c r="CX50" s="60">
        <f t="shared" si="14"/>
        <v>624.4861409514715</v>
      </c>
      <c r="CY50" s="60">
        <f ca="1">AVERAGE(OFFSET($CX$3,0,0,'Données projet'!$E$13+1,1))-AVERAGE(OFFSET($H$3,0,0,'Données projet'!$E$13+1,1))</f>
        <v>312.59632808777332</v>
      </c>
      <c r="CZ50" s="60">
        <f t="shared" si="42"/>
        <v>302.59481222418219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5.5128205128205083</v>
      </c>
      <c r="DO50" s="13">
        <f>IF('Données projet'!$A$166&gt;35,DO49+DN50-DW49,IF(A50&lt;'Données projet'!$A$166,$DL$205^A50,IF(A50='Données projet'!$A$166,'Données projet'!$B$166,DO49+DN50-DW49)))</f>
        <v>163.58974358974365</v>
      </c>
      <c r="DP50" s="18">
        <f>DO50*VLOOKUP('Données projet'!$B$14,Paramètres!$A$1:$I$89,3,0)*VLOOKUP('Données projet'!$B$14,Paramètres!$A$1:$I$89,5,0)</f>
        <v>155.67200000000005</v>
      </c>
      <c r="DQ50" s="14">
        <f t="shared" si="43"/>
        <v>39.86477040096252</v>
      </c>
      <c r="DR50" s="22">
        <f t="shared" si="16"/>
        <v>340.55987511500985</v>
      </c>
      <c r="DS50" s="60">
        <f t="shared" si="17"/>
        <v>593.62111297920524</v>
      </c>
      <c r="DT50" s="60">
        <f ca="1">AVERAGE(OFFSET($DS$3,0,0,'Données projet'!$E$14+1,1))-AVERAGE(OFFSET($H$3,0,0,'Données projet'!$E$14+1,1))</f>
        <v>398.29746143975166</v>
      </c>
      <c r="DU50" s="60">
        <f t="shared" si="44"/>
        <v>300.63705521148802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174.40000000000003</v>
      </c>
      <c r="EK50" s="18">
        <f>EJ50*VLOOKUP('Données projet'!$B$15,Paramètres!$A$1:$I$89,3,0)*VLOOKUP('Données projet'!$B$15,Paramètres!$A$1:$I$89,5,0)</f>
        <v>168.67968000000002</v>
      </c>
      <c r="EL50" s="14">
        <f t="shared" si="45"/>
        <v>42.794181774227013</v>
      </c>
      <c r="EM50" s="22">
        <f t="shared" si="19"/>
        <v>368.3169759234454</v>
      </c>
      <c r="EN50" s="60">
        <f t="shared" si="20"/>
        <v>621.37821378764079</v>
      </c>
      <c r="EO50" s="60">
        <f ca="1">AVERAGE(OFFSET($EN$3,0,0,'Données projet'!$E$15+1,1))-AVERAGE(OFFSET($H$3,0,0,'Données projet'!$E$15+1,1))</f>
        <v>496.33873798282525</v>
      </c>
      <c r="EP50" s="60">
        <f t="shared" si="46"/>
        <v>280.25465074992246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7.1199999999999992</v>
      </c>
      <c r="FE50" s="13">
        <f>IF('Données projet'!$A$218&gt;35,FE49+FD50-FM49,IF(A50&lt;'Données projet'!$A$218,$FB$205^A50,IF(A50='Données projet'!$A$218,'Données projet'!$B$218,FE49+FD50-FM49)))</f>
        <v>218.84000000000009</v>
      </c>
      <c r="FF50" s="18">
        <f>FE50*VLOOKUP('Données projet'!$B$16,Paramètres!$A$1:$I$89,3,0)*VLOOKUP('Données projet'!$B$16,Paramètres!$A$1:$I$89,5,0)</f>
        <v>191.1786240000001</v>
      </c>
      <c r="FG50" s="14">
        <f t="shared" si="47"/>
        <v>47.800436023309679</v>
      </c>
      <c r="FH50" s="22">
        <f t="shared" si="22"/>
        <v>416.22186287393123</v>
      </c>
      <c r="FI50" s="60">
        <f t="shared" si="23"/>
        <v>669.28310073812668</v>
      </c>
      <c r="FJ50" s="60">
        <f ca="1">AVERAGE(OFFSET($FI$3,0,0,'Données projet'!$E$16+1,1))-AVERAGE(OFFSET($H$3,0,0,'Données projet'!$E$16+1,1))</f>
        <v>363.28611056308665</v>
      </c>
      <c r="FK50" s="60">
        <f t="shared" si="48"/>
        <v>389.43647559455974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6.2820512820512819</v>
      </c>
      <c r="FZ50" s="13">
        <f>IF('Données projet'!$A$244&gt;35,FZ49+FY50-GH49,IF(A50&lt;'Données projet'!$A$244,$FW$205^A50,IF(A50='Données projet'!$A$244,'Données projet'!$B$244,FZ49+FY50-GH49)))</f>
        <v>202.94871794871796</v>
      </c>
      <c r="GA50" s="18">
        <f>FZ50*VLOOKUP('Données projet'!$B$17,Paramètres!$A$1:$I$89,3,0)*VLOOKUP('Données projet'!$B$17,Paramètres!$A$1:$I$89,5,0)</f>
        <v>136.13800000000001</v>
      </c>
      <c r="GB50" s="14">
        <f t="shared" si="49"/>
        <v>35.410840305135217</v>
      </c>
      <c r="GC50" s="22">
        <f t="shared" si="25"/>
        <v>298.78089686477716</v>
      </c>
      <c r="GD50" s="60">
        <f t="shared" si="26"/>
        <v>551.8421347289725</v>
      </c>
      <c r="GE50" s="60">
        <f ca="1">AVERAGE(OFFSET($GD$3,0,0,'Données projet'!$E$17+1,1))-AVERAGE(OFFSET($H$3,0,0,'Données projet'!$E$17+1,1))</f>
        <v>344.62096650402731</v>
      </c>
      <c r="GF50" s="60">
        <f t="shared" si="50"/>
        <v>277.30931495079346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250.99999999999997</v>
      </c>
      <c r="O51" s="14">
        <f>N51*VLOOKUP('Données projet'!$B$9,Paramètres!$A$1:$I$89,3,0)*VLOOKUP('Données projet'!$B$9,Paramètres!$A$1:$I$89,5,0)</f>
        <v>215.35799999999998</v>
      </c>
      <c r="P51" s="14">
        <f t="shared" si="33"/>
        <v>53.104721148622865</v>
      </c>
      <c r="Q51" s="22">
        <f t="shared" si="53"/>
        <v>467.57257266718483</v>
      </c>
      <c r="R51" s="60">
        <f t="shared" si="0"/>
        <v>721.33244135285258</v>
      </c>
      <c r="S51" s="60">
        <f ca="1">AVERAGE(OFFSET($R$3,0,0,'Données projet'!$E$9+1,1))-AVERAGE(OFFSET($H$3,0,0,'Données projet'!$E$9+1,1))</f>
        <v>632.26350546340541</v>
      </c>
      <c r="T51" s="60">
        <f t="shared" si="34"/>
        <v>340.45335016367915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7.1199999999999992</v>
      </c>
      <c r="AI51" s="14">
        <f>IF('Données projet'!$A$62&gt;35,AI50+AH51-AQ50,IF(A51&lt;'Données projet'!$A$62,$AF$205^A51,IF(A51='Données projet'!$A$62,'Données projet'!$B$62,AI50+AH51-AQ50)))</f>
        <v>225.96000000000009</v>
      </c>
      <c r="AJ51" s="14">
        <f>AI51*VLOOKUP('Données projet'!$B$10,Paramètres!$A$1:$I$89,3,0)*VLOOKUP('Données projet'!$B$10,Paramètres!$A$1:$I$89,5,0)</f>
        <v>179.77377600000008</v>
      </c>
      <c r="AK51" s="14">
        <f t="shared" si="35"/>
        <v>45.271851811295718</v>
      </c>
      <c r="AL51" s="22">
        <f t="shared" si="4"/>
        <v>391.95446843800681</v>
      </c>
      <c r="AM51" s="60">
        <f t="shared" si="5"/>
        <v>645.71433712367457</v>
      </c>
      <c r="AN51" s="60">
        <f ca="1">AVERAGE(OFFSET($AM$3,0,0,'Données projet'!$E$10+1,1))-AVERAGE(OFFSET($H$3,0,0,'Données projet'!$E$10+1,1))</f>
        <v>336.25341821407534</v>
      </c>
      <c r="AO51" s="60">
        <f t="shared" si="36"/>
        <v>360.3246221345039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225.96000000000009</v>
      </c>
      <c r="BE51" s="14">
        <f>BD51*VLOOKUP('Données projet'!$B$11,Paramètres!$A$1:$I$89,3,0)*VLOOKUP('Données projet'!$B$11,Paramètres!$A$1:$I$89,5,0)</f>
        <v>179.77377600000008</v>
      </c>
      <c r="BF51" s="14">
        <f t="shared" si="37"/>
        <v>45.271851811295718</v>
      </c>
      <c r="BG51" s="22">
        <f t="shared" si="7"/>
        <v>391.95446843800681</v>
      </c>
      <c r="BH51" s="60">
        <f t="shared" si="8"/>
        <v>645.71433712367457</v>
      </c>
      <c r="BI51" s="60">
        <f ca="1">AVERAGE(OFFSET($BH$3,0,0,'Données projet'!$E$11+1,1))-AVERAGE(OFFSET($H$3,0,0,'Données projet'!$E$11+1,1))</f>
        <v>336.25341821407534</v>
      </c>
      <c r="BJ51" s="60">
        <f t="shared" si="38"/>
        <v>360.3246221345039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165.21648000000002</v>
      </c>
      <c r="CA51" s="14">
        <f t="shared" si="39"/>
        <v>42.016901084500397</v>
      </c>
      <c r="CB51" s="22">
        <f t="shared" si="10"/>
        <v>360.93147205550491</v>
      </c>
      <c r="CC51" s="60">
        <f t="shared" si="11"/>
        <v>614.69134074117255</v>
      </c>
      <c r="CD51" s="60">
        <f ca="1">AVERAGE(OFFSET($CC$3,0,0,'Données projet'!$E$12+1,1))-AVERAGE(OFFSET($H$3,0,0,'Données projet'!$E$12+1,1))</f>
        <v>469.67944008675863</v>
      </c>
      <c r="CE51" s="60">
        <f t="shared" si="40"/>
        <v>266.11908070867173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228.49999999999994</v>
      </c>
      <c r="CU51" s="18">
        <f>CT51*VLOOKUP('Données projet'!$B$13,Paramètres!$A$1:$I$89,3,0)*VLOOKUP('Données projet'!$B$13,Paramètres!$A$1:$I$89,5,0)</f>
        <v>178.22999999999996</v>
      </c>
      <c r="CV51" s="14">
        <f t="shared" si="41"/>
        <v>44.928167580487852</v>
      </c>
      <c r="CW51" s="22">
        <f t="shared" si="13"/>
        <v>388.66714186934956</v>
      </c>
      <c r="CX51" s="60">
        <f t="shared" si="14"/>
        <v>642.4270105550172</v>
      </c>
      <c r="CY51" s="60">
        <f ca="1">AVERAGE(OFFSET($CX$3,0,0,'Données projet'!$E$13+1,1))-AVERAGE(OFFSET($H$3,0,0,'Données projet'!$E$13+1,1))</f>
        <v>312.59632808777332</v>
      </c>
      <c r="CZ51" s="60">
        <f t="shared" si="42"/>
        <v>302.59481222418219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5.5128205128205083</v>
      </c>
      <c r="DO51" s="13">
        <f>IF('Données projet'!$A$166&gt;35,DO50+DN51-DW50,IF(A51&lt;'Données projet'!$A$166,$DL$205^A51,IF(A51='Données projet'!$A$166,'Données projet'!$B$166,DO50+DN51-DW50)))</f>
        <v>169.10256410256414</v>
      </c>
      <c r="DP51" s="18">
        <f>DO51*VLOOKUP('Données projet'!$B$14,Paramètres!$A$1:$I$89,3,0)*VLOOKUP('Données projet'!$B$14,Paramètres!$A$1:$I$89,5,0)</f>
        <v>160.91800000000003</v>
      </c>
      <c r="DQ51" s="14">
        <f t="shared" si="43"/>
        <v>41.049503875172206</v>
      </c>
      <c r="DR51" s="22">
        <f t="shared" si="16"/>
        <v>351.76006924925832</v>
      </c>
      <c r="DS51" s="60">
        <f t="shared" si="17"/>
        <v>605.51993793492602</v>
      </c>
      <c r="DT51" s="60">
        <f ca="1">AVERAGE(OFFSET($DS$3,0,0,'Données projet'!$E$14+1,1))-AVERAGE(OFFSET($H$3,0,0,'Données projet'!$E$14+1,1))</f>
        <v>398.29746143975166</v>
      </c>
      <c r="DU51" s="60">
        <f t="shared" si="44"/>
        <v>300.63705521148802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182.60000000000002</v>
      </c>
      <c r="EK51" s="18">
        <f>EJ51*VLOOKUP('Données projet'!$B$15,Paramètres!$A$1:$I$89,3,0)*VLOOKUP('Données projet'!$B$15,Paramètres!$A$1:$I$89,5,0)</f>
        <v>176.61072000000004</v>
      </c>
      <c r="EL51" s="14">
        <f t="shared" si="45"/>
        <v>44.56730162053563</v>
      </c>
      <c r="EM51" s="22">
        <f t="shared" si="19"/>
        <v>385.21838765576626</v>
      </c>
      <c r="EN51" s="60">
        <f t="shared" si="20"/>
        <v>638.97825634143396</v>
      </c>
      <c r="EO51" s="60">
        <f ca="1">AVERAGE(OFFSET($EN$3,0,0,'Données projet'!$E$15+1,1))-AVERAGE(OFFSET($H$3,0,0,'Données projet'!$E$15+1,1))</f>
        <v>496.33873798282525</v>
      </c>
      <c r="EP51" s="60">
        <f t="shared" si="46"/>
        <v>280.25465074992246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7.1199999999999992</v>
      </c>
      <c r="FE51" s="13">
        <f>IF('Données projet'!$A$218&gt;35,FE50+FD51-FM50,IF(A51&lt;'Données projet'!$A$218,$FB$205^A51,IF(A51='Données projet'!$A$218,'Données projet'!$B$218,FE50+FD51-FM50)))</f>
        <v>225.96000000000009</v>
      </c>
      <c r="FF51" s="18">
        <f>FE51*VLOOKUP('Données projet'!$B$16,Paramètres!$A$1:$I$89,3,0)*VLOOKUP('Données projet'!$B$16,Paramètres!$A$1:$I$89,5,0)</f>
        <v>197.3986560000001</v>
      </c>
      <c r="FG51" s="14">
        <f t="shared" si="47"/>
        <v>49.172036170497854</v>
      </c>
      <c r="FH51" s="22">
        <f t="shared" si="22"/>
        <v>429.44395553028397</v>
      </c>
      <c r="FI51" s="60">
        <f t="shared" si="23"/>
        <v>683.20382421595173</v>
      </c>
      <c r="FJ51" s="60">
        <f ca="1">AVERAGE(OFFSET($FI$3,0,0,'Données projet'!$E$16+1,1))-AVERAGE(OFFSET($H$3,0,0,'Données projet'!$E$16+1,1))</f>
        <v>363.28611056308665</v>
      </c>
      <c r="FK51" s="60">
        <f t="shared" si="48"/>
        <v>389.43647559455974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6.2820512820512819</v>
      </c>
      <c r="FZ51" s="13">
        <f>IF('Données projet'!$A$244&gt;35,FZ50+FY51-GH50,IF(A51&lt;'Données projet'!$A$244,$FW$205^A51,IF(A51='Données projet'!$A$244,'Données projet'!$B$244,FZ50+FY51-GH50)))</f>
        <v>209.23076923076923</v>
      </c>
      <c r="GA51" s="18">
        <f>FZ51*VLOOKUP('Données projet'!$B$17,Paramètres!$A$1:$I$89,3,0)*VLOOKUP('Données projet'!$B$17,Paramètres!$A$1:$I$89,5,0)</f>
        <v>140.352</v>
      </c>
      <c r="GB51" s="14">
        <f t="shared" si="49"/>
        <v>36.377631963176114</v>
      </c>
      <c r="GC51" s="22">
        <f t="shared" si="25"/>
        <v>307.80410900253173</v>
      </c>
      <c r="GD51" s="60">
        <f t="shared" si="26"/>
        <v>561.56397768819943</v>
      </c>
      <c r="GE51" s="60">
        <f ca="1">AVERAGE(OFFSET($GD$3,0,0,'Données projet'!$E$17+1,1))-AVERAGE(OFFSET($H$3,0,0,'Données projet'!$E$17+1,1))</f>
        <v>344.62096650402731</v>
      </c>
      <c r="GF51" s="60">
        <f t="shared" si="50"/>
        <v>277.30931495079346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262</v>
      </c>
      <c r="O52" s="14">
        <f>N52*VLOOKUP('Données projet'!$B$9,Paramètres!$A$1:$I$89,3,0)*VLOOKUP('Données projet'!$B$9,Paramètres!$A$1:$I$89,5,0)</f>
        <v>224.79600000000005</v>
      </c>
      <c r="P52" s="14">
        <f t="shared" si="33"/>
        <v>55.155960692691153</v>
      </c>
      <c r="Q52" s="22">
        <f t="shared" si="53"/>
        <v>487.5829982064372</v>
      </c>
      <c r="R52" s="60">
        <f t="shared" si="0"/>
        <v>742.02937803072916</v>
      </c>
      <c r="S52" s="60">
        <f ca="1">AVERAGE(OFFSET($R$3,0,0,'Données projet'!$E$9+1,1))-AVERAGE(OFFSET($H$3,0,0,'Données projet'!$E$9+1,1))</f>
        <v>632.26350546340541</v>
      </c>
      <c r="T52" s="60">
        <f t="shared" si="34"/>
        <v>340.45335016367915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7.1199999999999992</v>
      </c>
      <c r="AI52" s="14">
        <f>IF('Données projet'!$A$62&gt;35,AI51+AH52-AQ51,IF(A52&lt;'Données projet'!$A$62,$AF$205^A52,IF(A52='Données projet'!$A$62,'Données projet'!$B$62,AI51+AH52-AQ51)))</f>
        <v>233.0800000000001</v>
      </c>
      <c r="AJ52" s="14">
        <f>AI52*VLOOKUP('Données projet'!$B$10,Paramètres!$A$1:$I$89,3,0)*VLOOKUP('Données projet'!$B$10,Paramètres!$A$1:$I$89,5,0)</f>
        <v>185.43844800000008</v>
      </c>
      <c r="AK52" s="14">
        <f t="shared" si="35"/>
        <v>46.530036573537593</v>
      </c>
      <c r="AL52" s="22">
        <f t="shared" si="4"/>
        <v>404.01177729891145</v>
      </c>
      <c r="AM52" s="60">
        <f t="shared" si="5"/>
        <v>658.45815712320336</v>
      </c>
      <c r="AN52" s="60">
        <f ca="1">AVERAGE(OFFSET($AM$3,0,0,'Données projet'!$E$10+1,1))-AVERAGE(OFFSET($H$3,0,0,'Données projet'!$E$10+1,1))</f>
        <v>336.25341821407534</v>
      </c>
      <c r="AO52" s="60">
        <f t="shared" si="36"/>
        <v>360.3246221345039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233.0800000000001</v>
      </c>
      <c r="BE52" s="14">
        <f>BD52*VLOOKUP('Données projet'!$B$11,Paramètres!$A$1:$I$89,3,0)*VLOOKUP('Données projet'!$B$11,Paramètres!$A$1:$I$89,5,0)</f>
        <v>185.43844800000008</v>
      </c>
      <c r="BF52" s="14">
        <f t="shared" si="37"/>
        <v>46.530036573537593</v>
      </c>
      <c r="BG52" s="22">
        <f t="shared" si="7"/>
        <v>404.01177729891145</v>
      </c>
      <c r="BH52" s="60">
        <f t="shared" si="8"/>
        <v>658.45815712320336</v>
      </c>
      <c r="BI52" s="60">
        <f ca="1">AVERAGE(OFFSET($BH$3,0,0,'Données projet'!$E$11+1,1))-AVERAGE(OFFSET($H$3,0,0,'Données projet'!$E$11+1,1))</f>
        <v>336.25341821407534</v>
      </c>
      <c r="BJ52" s="60">
        <f t="shared" si="38"/>
        <v>360.3246221345039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172.63584</v>
      </c>
      <c r="CA52" s="14">
        <f t="shared" si="39"/>
        <v>43.679834395222109</v>
      </c>
      <c r="CB52" s="22">
        <f t="shared" si="10"/>
        <v>376.74979957167847</v>
      </c>
      <c r="CC52" s="60">
        <f t="shared" si="11"/>
        <v>631.19617939597038</v>
      </c>
      <c r="CD52" s="60">
        <f ca="1">AVERAGE(OFFSET($CC$3,0,0,'Données projet'!$E$12+1,1))-AVERAGE(OFFSET($H$3,0,0,'Données projet'!$E$12+1,1))</f>
        <v>469.67944008675863</v>
      </c>
      <c r="CE52" s="60">
        <f t="shared" si="40"/>
        <v>266.11908070867173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238.87499999999994</v>
      </c>
      <c r="CU52" s="18">
        <f>CT52*VLOOKUP('Données projet'!$B$13,Paramètres!$A$1:$I$89,3,0)*VLOOKUP('Données projet'!$B$13,Paramètres!$A$1:$I$89,5,0)</f>
        <v>186.32249999999996</v>
      </c>
      <c r="CV52" s="14">
        <f t="shared" si="41"/>
        <v>46.725987276254116</v>
      </c>
      <c r="CW52" s="22">
        <f t="shared" si="13"/>
        <v>405.89278200614257</v>
      </c>
      <c r="CX52" s="60">
        <f t="shared" si="14"/>
        <v>660.33916183043448</v>
      </c>
      <c r="CY52" s="60">
        <f ca="1">AVERAGE(OFFSET($CX$3,0,0,'Données projet'!$E$13+1,1))-AVERAGE(OFFSET($H$3,0,0,'Données projet'!$E$13+1,1))</f>
        <v>312.59632808777332</v>
      </c>
      <c r="CZ52" s="60">
        <f t="shared" si="42"/>
        <v>302.59481222418219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5.5128205128205083</v>
      </c>
      <c r="DO52" s="13">
        <f>IF('Données projet'!$A$166&gt;35,DO51+DN52-DW51,IF(A52&lt;'Données projet'!$A$166,$DL$205^A52,IF(A52='Données projet'!$A$166,'Données projet'!$B$166,DO51+DN52-DW51)))</f>
        <v>174.61538461538464</v>
      </c>
      <c r="DP52" s="18">
        <f>DO52*VLOOKUP('Données projet'!$B$14,Paramètres!$A$1:$I$89,3,0)*VLOOKUP('Données projet'!$B$14,Paramètres!$A$1:$I$89,5,0)</f>
        <v>166.16400000000004</v>
      </c>
      <c r="DQ52" s="14">
        <f t="shared" si="43"/>
        <v>42.229749328882683</v>
      </c>
      <c r="DR52" s="22">
        <f t="shared" si="16"/>
        <v>362.95244674780406</v>
      </c>
      <c r="DS52" s="60">
        <f t="shared" si="17"/>
        <v>617.39882657209603</v>
      </c>
      <c r="DT52" s="60">
        <f ca="1">AVERAGE(OFFSET($DS$3,0,0,'Données projet'!$E$14+1,1))-AVERAGE(OFFSET($H$3,0,0,'Données projet'!$E$14+1,1))</f>
        <v>398.29746143975166</v>
      </c>
      <c r="DU52" s="60">
        <f t="shared" si="44"/>
        <v>300.63705521148802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190.8</v>
      </c>
      <c r="EK52" s="18">
        <f>EJ52*VLOOKUP('Données projet'!$B$15,Paramètres!$A$1:$I$89,3,0)*VLOOKUP('Données projet'!$B$15,Paramètres!$A$1:$I$89,5,0)</f>
        <v>184.54176000000001</v>
      </c>
      <c r="EL52" s="14">
        <f t="shared" si="45"/>
        <v>46.33117397953523</v>
      </c>
      <c r="EM52" s="22">
        <f t="shared" si="19"/>
        <v>402.10369334769052</v>
      </c>
      <c r="EN52" s="60">
        <f t="shared" si="20"/>
        <v>656.55007317198249</v>
      </c>
      <c r="EO52" s="60">
        <f ca="1">AVERAGE(OFFSET($EN$3,0,0,'Données projet'!$E$15+1,1))-AVERAGE(OFFSET($H$3,0,0,'Données projet'!$E$15+1,1))</f>
        <v>496.33873798282525</v>
      </c>
      <c r="EP52" s="60">
        <f t="shared" si="46"/>
        <v>280.25465074992246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7.1199999999999992</v>
      </c>
      <c r="FE52" s="13">
        <f>IF('Données projet'!$A$218&gt;35,FE51+FD52-FM51,IF(A52&lt;'Données projet'!$A$218,$FB$205^A52,IF(A52='Données projet'!$A$218,'Données projet'!$B$218,FE51+FD52-FM51)))</f>
        <v>233.0800000000001</v>
      </c>
      <c r="FF52" s="18">
        <f>FE52*VLOOKUP('Données projet'!$B$16,Paramètres!$A$1:$I$89,3,0)*VLOOKUP('Données projet'!$B$16,Paramètres!$A$1:$I$89,5,0)</f>
        <v>203.61868800000011</v>
      </c>
      <c r="FG52" s="14">
        <f t="shared" si="47"/>
        <v>50.538613948142249</v>
      </c>
      <c r="FH52" s="22">
        <f t="shared" si="22"/>
        <v>442.65730089301456</v>
      </c>
      <c r="FI52" s="60">
        <f t="shared" si="23"/>
        <v>697.10368071730659</v>
      </c>
      <c r="FJ52" s="60">
        <f ca="1">AVERAGE(OFFSET($FI$3,0,0,'Données projet'!$E$16+1,1))-AVERAGE(OFFSET($H$3,0,0,'Données projet'!$E$16+1,1))</f>
        <v>363.28611056308665</v>
      </c>
      <c r="FK52" s="60">
        <f t="shared" si="48"/>
        <v>389.43647559455974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6.2820512820512819</v>
      </c>
      <c r="FZ52" s="13">
        <f>IF('Données projet'!$A$244&gt;35,FZ51+FY52-GH51,IF(A52&lt;'Données projet'!$A$244,$FW$205^A52,IF(A52='Données projet'!$A$244,'Données projet'!$B$244,FZ51+FY52-GH51)))</f>
        <v>215.5128205128205</v>
      </c>
      <c r="GA52" s="18">
        <f>FZ52*VLOOKUP('Données projet'!$B$17,Paramètres!$A$1:$I$89,3,0)*VLOOKUP('Données projet'!$B$17,Paramètres!$A$1:$I$89,5,0)</f>
        <v>144.566</v>
      </c>
      <c r="GB52" s="14">
        <f t="shared" si="49"/>
        <v>37.341050188349875</v>
      </c>
      <c r="GC52" s="22">
        <f t="shared" si="25"/>
        <v>316.82144574470937</v>
      </c>
      <c r="GD52" s="60">
        <f t="shared" si="26"/>
        <v>571.26782556900139</v>
      </c>
      <c r="GE52" s="60">
        <f ca="1">AVERAGE(OFFSET($GD$3,0,0,'Données projet'!$E$17+1,1))-AVERAGE(OFFSET($H$3,0,0,'Données projet'!$E$17+1,1))</f>
        <v>344.62096650402731</v>
      </c>
      <c r="GF52" s="60">
        <f t="shared" si="50"/>
        <v>277.30931495079346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273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273</v>
      </c>
      <c r="O53" s="14">
        <f>N53*VLOOKUP('Données projet'!$B$9,Paramètres!$A$1:$I$89,3,0)*VLOOKUP('Données projet'!$B$9,Paramètres!$A$1:$I$89,5,0)</f>
        <v>234.23400000000001</v>
      </c>
      <c r="P53" s="14">
        <f t="shared" si="33"/>
        <v>57.197197133603488</v>
      </c>
      <c r="Q53" s="22">
        <f t="shared" si="53"/>
        <v>507.57600167435936</v>
      </c>
      <c r="R53" s="60">
        <f t="shared" si="0"/>
        <v>762.6969832038294</v>
      </c>
      <c r="S53" s="60">
        <f ca="1">AVERAGE(OFFSET($R$3,0,0,'Données projet'!$E$9+1,1))-AVERAGE(OFFSET($H$3,0,0,'Données projet'!$E$9+1,1))</f>
        <v>632.26350546340541</v>
      </c>
      <c r="T53" s="60">
        <f t="shared" si="34"/>
        <v>340.45335016367915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56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240.20000000000002</v>
      </c>
      <c r="AG53" s="13">
        <f>VLOOKUP(A53,'Données projet'!$A$61:$I$81,9,0)</f>
        <v>7.1199999999999992</v>
      </c>
      <c r="AH53" s="13">
        <f t="array" ref="AH53">INDEX(AG:AG,MIN(IF(ISNUMBER(AG53:AG249),ROW(AG53:AG249),"")))</f>
        <v>7.1199999999999992</v>
      </c>
      <c r="AI53" s="14">
        <f>IF('Données projet'!$A$62&gt;35,AI52+AH53-AQ52,IF(A53&lt;'Données projet'!$A$62,$AF$205^A53,IF(A53='Données projet'!$A$62,'Données projet'!$B$62,AI52+AH53-AQ52)))</f>
        <v>240.2000000000001</v>
      </c>
      <c r="AJ53" s="14">
        <f>AI53*VLOOKUP('Données projet'!$B$10,Paramètres!$A$1:$I$89,3,0)*VLOOKUP('Données projet'!$B$10,Paramètres!$A$1:$I$89,5,0)</f>
        <v>191.10312000000008</v>
      </c>
      <c r="AK53" s="14">
        <f t="shared" si="35"/>
        <v>47.783754789189338</v>
      </c>
      <c r="AL53" s="22">
        <f t="shared" si="4"/>
        <v>416.06130692450489</v>
      </c>
      <c r="AM53" s="60">
        <f t="shared" si="5"/>
        <v>671.18228845397493</v>
      </c>
      <c r="AN53" s="60">
        <f ca="1">AVERAGE(OFFSET($AM$3,0,0,'Données projet'!$E$10+1,1))-AVERAGE(OFFSET($H$3,0,0,'Données projet'!$E$10+1,1))</f>
        <v>336.25341821407534</v>
      </c>
      <c r="AO53" s="60">
        <f t="shared" si="36"/>
        <v>360.3246221345039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38.299999999999997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240.20000000000002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240.2000000000001</v>
      </c>
      <c r="BE53" s="14">
        <f>BD53*VLOOKUP('Données projet'!$B$11,Paramètres!$A$1:$I$89,3,0)*VLOOKUP('Données projet'!$B$11,Paramètres!$A$1:$I$89,5,0)</f>
        <v>191.10312000000008</v>
      </c>
      <c r="BF53" s="14">
        <f t="shared" si="37"/>
        <v>47.783754789189338</v>
      </c>
      <c r="BG53" s="22">
        <f t="shared" si="7"/>
        <v>416.06130692450489</v>
      </c>
      <c r="BH53" s="60">
        <f t="shared" si="8"/>
        <v>671.18228845397493</v>
      </c>
      <c r="BI53" s="60">
        <f ca="1">AVERAGE(OFFSET($BH$3,0,0,'Données projet'!$E$11+1,1))-AVERAGE(OFFSET($H$3,0,0,'Données projet'!$E$11+1,1))</f>
        <v>336.25341821407534</v>
      </c>
      <c r="BJ53" s="60">
        <f t="shared" si="38"/>
        <v>360.3246221345039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38.299999999999997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180.05519999999999</v>
      </c>
      <c r="CA53" s="14">
        <f t="shared" si="39"/>
        <v>45.334466930398364</v>
      </c>
      <c r="CB53" s="22">
        <f t="shared" si="10"/>
        <v>392.55366990377706</v>
      </c>
      <c r="CC53" s="60">
        <f t="shared" si="11"/>
        <v>647.67465143324716</v>
      </c>
      <c r="CD53" s="60">
        <f ca="1">AVERAGE(OFFSET($CC$3,0,0,'Données projet'!$E$12+1,1))-AVERAGE(OFFSET($H$3,0,0,'Données projet'!$E$12+1,1))</f>
        <v>469.67944008675863</v>
      </c>
      <c r="CE53" s="60">
        <f t="shared" si="40"/>
        <v>266.11908070867173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249.24999999999994</v>
      </c>
      <c r="CU53" s="18">
        <f>CT53*VLOOKUP('Données projet'!$B$13,Paramètres!$A$1:$I$89,3,0)*VLOOKUP('Données projet'!$B$13,Paramètres!$A$1:$I$89,5,0)</f>
        <v>194.41499999999996</v>
      </c>
      <c r="CV53" s="14">
        <f t="shared" si="41"/>
        <v>48.514737888684969</v>
      </c>
      <c r="CW53" s="22">
        <f t="shared" si="13"/>
        <v>423.1026268227929</v>
      </c>
      <c r="CX53" s="60">
        <f t="shared" si="14"/>
        <v>678.223608352263</v>
      </c>
      <c r="CY53" s="60">
        <f ca="1">AVERAGE(OFFSET($CX$3,0,0,'Données projet'!$E$13+1,1))-AVERAGE(OFFSET($H$3,0,0,'Données projet'!$E$13+1,1))</f>
        <v>312.59632808777332</v>
      </c>
      <c r="CZ53" s="60">
        <f t="shared" si="42"/>
        <v>302.59481222418219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180.12820512820511</v>
      </c>
      <c r="DM53" s="13">
        <f>VLOOKUP(A53,'Données projet'!$A$165:$I$185,9,0)</f>
        <v>5.5128205128205083</v>
      </c>
      <c r="DN53" s="13">
        <f t="array" ref="DN53">INDEX(DM:DM,MIN(IF(ISNUMBER(DM53:DM249),ROW(DM53:DM249),"")))</f>
        <v>5.5128205128205083</v>
      </c>
      <c r="DO53" s="13">
        <f>IF('Données projet'!$A$166&gt;35,DO52+DN53-DW52,IF(A53&lt;'Données projet'!$A$166,$DL$205^A53,IF(A53='Données projet'!$A$166,'Données projet'!$B$166,DO52+DN53-DW52)))</f>
        <v>180.12820512820514</v>
      </c>
      <c r="DP53" s="18">
        <f>DO53*VLOOKUP('Données projet'!$B$14,Paramètres!$A$1:$I$89,3,0)*VLOOKUP('Données projet'!$B$14,Paramètres!$A$1:$I$89,5,0)</f>
        <v>171.41000000000003</v>
      </c>
      <c r="DQ53" s="14">
        <f t="shared" si="43"/>
        <v>43.405664710300847</v>
      </c>
      <c r="DR53" s="22">
        <f t="shared" si="16"/>
        <v>374.13728270377402</v>
      </c>
      <c r="DS53" s="60">
        <f t="shared" si="17"/>
        <v>629.25826423324406</v>
      </c>
      <c r="DT53" s="60">
        <f ca="1">AVERAGE(OFFSET($DS$3,0,0,'Données projet'!$E$14+1,1))-AVERAGE(OFFSET($H$3,0,0,'Données projet'!$E$14+1,1))</f>
        <v>398.29746143975166</v>
      </c>
      <c r="DU53" s="60">
        <f t="shared" si="44"/>
        <v>300.63705521148802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30.769230769230766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199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199</v>
      </c>
      <c r="EK53" s="18">
        <f>EJ53*VLOOKUP('Données projet'!$B$15,Paramètres!$A$1:$I$89,3,0)*VLOOKUP('Données projet'!$B$15,Paramètres!$A$1:$I$89,5,0)</f>
        <v>192.47280000000001</v>
      </c>
      <c r="EL53" s="14">
        <f t="shared" si="45"/>
        <v>48.086241710923829</v>
      </c>
      <c r="EM53" s="22">
        <f t="shared" si="19"/>
        <v>418.97366431319239</v>
      </c>
      <c r="EN53" s="60">
        <f t="shared" si="20"/>
        <v>674.09464584266243</v>
      </c>
      <c r="EO53" s="60">
        <f ca="1">AVERAGE(OFFSET($EN$3,0,0,'Données projet'!$E$15+1,1))-AVERAGE(OFFSET($H$3,0,0,'Données projet'!$E$15+1,1))</f>
        <v>496.33873798282525</v>
      </c>
      <c r="EP53" s="60">
        <f t="shared" si="46"/>
        <v>280.25465074992246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42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240.20000000000002</v>
      </c>
      <c r="FC53" s="13">
        <f>VLOOKUP(A53,'Données projet'!$A$217:$I$237,9,0)</f>
        <v>7.1199999999999992</v>
      </c>
      <c r="FD53" s="13">
        <f t="array" ref="FD53">INDEX(FC:FC,MIN(IF(ISNUMBER(FC53:FC249),ROW(FC53:FC249),"")))</f>
        <v>7.1199999999999992</v>
      </c>
      <c r="FE53" s="13">
        <f>IF('Données projet'!$A$218&gt;35,FE52+FD53-FM52,IF(A53&lt;'Données projet'!$A$218,$FB$205^A53,IF(A53='Données projet'!$A$218,'Données projet'!$B$218,FE52+FD53-FM52)))</f>
        <v>240.2000000000001</v>
      </c>
      <c r="FF53" s="18">
        <f>FE53*VLOOKUP('Données projet'!$B$16,Paramètres!$A$1:$I$89,3,0)*VLOOKUP('Données projet'!$B$16,Paramètres!$A$1:$I$89,5,0)</f>
        <v>209.83872000000011</v>
      </c>
      <c r="FG53" s="14">
        <f t="shared" si="47"/>
        <v>51.90034038479439</v>
      </c>
      <c r="FH53" s="22">
        <f t="shared" si="22"/>
        <v>455.86219683685039</v>
      </c>
      <c r="FI53" s="60">
        <f t="shared" si="23"/>
        <v>710.98317836632054</v>
      </c>
      <c r="FJ53" s="60">
        <f ca="1">AVERAGE(OFFSET($FI$3,0,0,'Données projet'!$E$16+1,1))-AVERAGE(OFFSET($H$3,0,0,'Données projet'!$E$16+1,1))</f>
        <v>363.28611056308665</v>
      </c>
      <c r="FK53" s="60">
        <f t="shared" si="48"/>
        <v>389.43647559455974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38.299999999999997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221.7948717948718</v>
      </c>
      <c r="FX53" s="13">
        <f>VLOOKUP(A53,'Données projet'!$A$243:$I$263,9,0)</f>
        <v>6.2820512820512819</v>
      </c>
      <c r="FY53" s="13">
        <f t="array" ref="FY53">INDEX(FX:FX,MIN(IF(ISNUMBER(FX53:FX249),ROW(FX53:FX249),"")))</f>
        <v>6.2820512820512819</v>
      </c>
      <c r="FZ53" s="13">
        <f>IF('Données projet'!$A$244&gt;35,FZ52+FY53-GH52,IF(A53&lt;'Données projet'!$A$244,$FW$205^A53,IF(A53='Données projet'!$A$244,'Données projet'!$B$244,FZ52+FY53-GH52)))</f>
        <v>221.79487179487177</v>
      </c>
      <c r="GA53" s="18">
        <f>FZ53*VLOOKUP('Données projet'!$B$17,Paramètres!$A$1:$I$89,3,0)*VLOOKUP('Données projet'!$B$17,Paramètres!$A$1:$I$89,5,0)</f>
        <v>148.78</v>
      </c>
      <c r="GB53" s="14">
        <f t="shared" si="49"/>
        <v>38.301204605347834</v>
      </c>
      <c r="GC53" s="22">
        <f t="shared" si="25"/>
        <v>325.8330980209808</v>
      </c>
      <c r="GD53" s="60">
        <f t="shared" si="26"/>
        <v>580.95407955045084</v>
      </c>
      <c r="GE53" s="60">
        <f ca="1">AVERAGE(OFFSET($GD$3,0,0,'Données projet'!$E$17+1,1))-AVERAGE(OFFSET($H$3,0,0,'Données projet'!$E$17+1,1))</f>
        <v>344.62096650402731</v>
      </c>
      <c r="GF53" s="60">
        <f t="shared" si="50"/>
        <v>277.30931495079346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32.692307692307693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11</v>
      </c>
      <c r="N54" s="14">
        <f>IF('Données projet'!$A$36&gt;35,N53+M54-V53,IF(A54&lt;'Données projet'!$A$36,$K$205^A54,IF(A54='Données projet'!$A$36,'Données projet'!$B$36,N53+M54-V53)))</f>
        <v>228</v>
      </c>
      <c r="O54" s="14">
        <f>N54*VLOOKUP('Données projet'!$B$9,Paramètres!$A$1:$I$89,3,0)*VLOOKUP('Données projet'!$B$9,Paramètres!$A$1:$I$89,5,0)</f>
        <v>195.62400000000002</v>
      </c>
      <c r="P54" s="14">
        <f t="shared" si="33"/>
        <v>48.781220625276006</v>
      </c>
      <c r="Q54" s="22">
        <f t="shared" si="53"/>
        <v>425.67242592235567</v>
      </c>
      <c r="R54" s="60">
        <f t="shared" si="0"/>
        <v>681.45630632560255</v>
      </c>
      <c r="S54" s="60">
        <f ca="1">AVERAGE(OFFSET($R$3,0,0,'Données projet'!$E$9+1,1))-AVERAGE(OFFSET($H$3,0,0,'Données projet'!$E$9+1,1))</f>
        <v>632.26350546340541</v>
      </c>
      <c r="T54" s="60">
        <f t="shared" si="34"/>
        <v>340.45335016367915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6.119999999999993</v>
      </c>
      <c r="AI54" s="14">
        <f>IF('Données projet'!$A$62&gt;35,AI53+AH54-AQ53,IF(A54&lt;'Données projet'!$A$62,$AF$205^A54,IF(A54='Données projet'!$A$62,'Données projet'!$B$62,AI53+AH54-AQ53)))</f>
        <v>208.0200000000001</v>
      </c>
      <c r="AJ54" s="14">
        <f>AI54*VLOOKUP('Données projet'!$B$10,Paramètres!$A$1:$I$89,3,0)*VLOOKUP('Données projet'!$B$10,Paramètres!$A$1:$I$89,5,0)</f>
        <v>165.50071200000008</v>
      </c>
      <c r="AK54" s="14">
        <f t="shared" si="35"/>
        <v>42.080765048766054</v>
      </c>
      <c r="AL54" s="22">
        <f t="shared" si="4"/>
        <v>361.53773919326767</v>
      </c>
      <c r="AM54" s="60">
        <f t="shared" si="5"/>
        <v>617.32161959651444</v>
      </c>
      <c r="AN54" s="60">
        <f ca="1">AVERAGE(OFFSET($AM$3,0,0,'Données projet'!$E$10+1,1))-AVERAGE(OFFSET($H$3,0,0,'Données projet'!$E$10+1,1))</f>
        <v>336.25341821407534</v>
      </c>
      <c r="AO54" s="60">
        <f t="shared" si="36"/>
        <v>360.3246221345039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6.119999999999993</v>
      </c>
      <c r="BD54" s="13">
        <f>IF('Données projet'!$A$88&gt;35,BD53+BC54-BL53,IF(A54&lt;'Données projet'!$A$88,$BA$205^A54,IF(A54='Données projet'!$A$88,'Données projet'!$B$88,BD53+BC54-BL53)))</f>
        <v>208.0200000000001</v>
      </c>
      <c r="BE54" s="14">
        <f>BD54*VLOOKUP('Données projet'!$B$11,Paramètres!$A$1:$I$89,3,0)*VLOOKUP('Données projet'!$B$11,Paramètres!$A$1:$I$89,5,0)</f>
        <v>165.50071200000008</v>
      </c>
      <c r="BF54" s="14">
        <f t="shared" si="37"/>
        <v>42.080765048766054</v>
      </c>
      <c r="BG54" s="22">
        <f t="shared" si="7"/>
        <v>361.53773919326767</v>
      </c>
      <c r="BH54" s="60">
        <f t="shared" si="8"/>
        <v>617.32161959651444</v>
      </c>
      <c r="BI54" s="60">
        <f ca="1">AVERAGE(OFFSET($BH$3,0,0,'Données projet'!$E$11+1,1))-AVERAGE(OFFSET($H$3,0,0,'Données projet'!$E$11+1,1))</f>
        <v>336.25341821407534</v>
      </c>
      <c r="BJ54" s="60">
        <f t="shared" si="38"/>
        <v>360.3246221345039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149.29199999999997</v>
      </c>
      <c r="CA54" s="14">
        <f t="shared" si="39"/>
        <v>38.417645803815411</v>
      </c>
      <c r="CB54" s="22">
        <f t="shared" si="10"/>
        <v>326.9276331083118</v>
      </c>
      <c r="CC54" s="60">
        <f t="shared" si="11"/>
        <v>582.71151351155868</v>
      </c>
      <c r="CD54" s="60">
        <f ca="1">AVERAGE(OFFSET($CC$3,0,0,'Données projet'!$E$12+1,1))-AVERAGE(OFFSET($H$3,0,0,'Données projet'!$E$12+1,1))</f>
        <v>469.67944008675863</v>
      </c>
      <c r="CE54" s="60">
        <f t="shared" si="40"/>
        <v>266.11908070867173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259.62499999999994</v>
      </c>
      <c r="CU54" s="18">
        <f>CT54*VLOOKUP('Données projet'!$B$13,Paramètres!$A$1:$I$89,3,0)*VLOOKUP('Données projet'!$B$13,Paramètres!$A$1:$I$89,5,0)</f>
        <v>202.50749999999996</v>
      </c>
      <c r="CV54" s="14">
        <f t="shared" si="41"/>
        <v>50.294840086606349</v>
      </c>
      <c r="CW54" s="22">
        <f t="shared" si="13"/>
        <v>440.29740898417259</v>
      </c>
      <c r="CX54" s="60">
        <f t="shared" si="14"/>
        <v>696.08128938741947</v>
      </c>
      <c r="CY54" s="60">
        <f ca="1">AVERAGE(OFFSET($CX$3,0,0,'Données projet'!$E$13+1,1))-AVERAGE(OFFSET($H$3,0,0,'Données projet'!$E$13+1,1))</f>
        <v>312.59632808777332</v>
      </c>
      <c r="CZ54" s="60">
        <f t="shared" si="42"/>
        <v>302.59481222418219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5.2564102564102599</v>
      </c>
      <c r="DO54" s="13">
        <f>IF('Données projet'!$A$166&gt;35,DO53+DN54-DW53,IF(A54&lt;'Données projet'!$A$166,$DL$205^A54,IF(A54='Données projet'!$A$166,'Données projet'!$B$166,DO53+DN54-DW53)))</f>
        <v>154.61538461538461</v>
      </c>
      <c r="DP54" s="18">
        <f>DO54*VLOOKUP('Données projet'!$B$14,Paramètres!$A$1:$I$89,3,0)*VLOOKUP('Données projet'!$B$14,Paramètres!$A$1:$I$89,5,0)</f>
        <v>147.13200000000001</v>
      </c>
      <c r="DQ54" s="14">
        <f t="shared" si="43"/>
        <v>37.926091844382093</v>
      </c>
      <c r="DR54" s="22">
        <f t="shared" si="16"/>
        <v>322.30950996229876</v>
      </c>
      <c r="DS54" s="60">
        <f t="shared" si="17"/>
        <v>578.09339036554559</v>
      </c>
      <c r="DT54" s="60">
        <f ca="1">AVERAGE(OFFSET($DS$3,0,0,'Données projet'!$E$14+1,1))-AVERAGE(OFFSET($H$3,0,0,'Données projet'!$E$14+1,1))</f>
        <v>398.29746143975166</v>
      </c>
      <c r="DU54" s="60">
        <f t="shared" si="44"/>
        <v>300.63705521148802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165</v>
      </c>
      <c r="EK54" s="18">
        <f>EJ54*VLOOKUP('Données projet'!$B$15,Paramètres!$A$1:$I$89,3,0)*VLOOKUP('Données projet'!$B$15,Paramètres!$A$1:$I$89,5,0)</f>
        <v>159.58799999999999</v>
      </c>
      <c r="EL54" s="14">
        <f t="shared" si="45"/>
        <v>40.74957371668588</v>
      </c>
      <c r="EM54" s="22">
        <f t="shared" si="19"/>
        <v>348.92127422322784</v>
      </c>
      <c r="EN54" s="60">
        <f t="shared" si="20"/>
        <v>604.70515462647472</v>
      </c>
      <c r="EO54" s="60">
        <f ca="1">AVERAGE(OFFSET($EN$3,0,0,'Données projet'!$E$15+1,1))-AVERAGE(OFFSET($H$3,0,0,'Données projet'!$E$15+1,1))</f>
        <v>496.33873798282525</v>
      </c>
      <c r="EP54" s="60">
        <f t="shared" si="46"/>
        <v>280.25465074992246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6.119999999999993</v>
      </c>
      <c r="FE54" s="13">
        <f>IF('Données projet'!$A$218&gt;35,FE53+FD54-FM53,IF(A54&lt;'Données projet'!$A$218,$FB$205^A54,IF(A54='Données projet'!$A$218,'Données projet'!$B$218,FE53+FD54-FM53)))</f>
        <v>208.0200000000001</v>
      </c>
      <c r="FF54" s="18">
        <f>FE54*VLOOKUP('Données projet'!$B$16,Paramètres!$A$1:$I$89,3,0)*VLOOKUP('Données projet'!$B$16,Paramètres!$A$1:$I$89,5,0)</f>
        <v>181.72627200000011</v>
      </c>
      <c r="FG54" s="14">
        <f t="shared" si="47"/>
        <v>45.706036273600446</v>
      </c>
      <c r="FH54" s="22">
        <f t="shared" si="22"/>
        <v>396.11127024318756</v>
      </c>
      <c r="FI54" s="60">
        <f t="shared" si="23"/>
        <v>651.89515064643433</v>
      </c>
      <c r="FJ54" s="60">
        <f ca="1">AVERAGE(OFFSET($FI$3,0,0,'Données projet'!$E$16+1,1))-AVERAGE(OFFSET($H$3,0,0,'Données projet'!$E$16+1,1))</f>
        <v>363.28611056308665</v>
      </c>
      <c r="FK54" s="60">
        <f t="shared" si="48"/>
        <v>389.43647559455974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5.7692307692307683</v>
      </c>
      <c r="FZ54" s="13">
        <f>IF('Données projet'!$A$244&gt;35,FZ53+FY54-GH53,IF(A54&lt;'Données projet'!$A$244,$FW$205^A54,IF(A54='Données projet'!$A$244,'Données projet'!$B$244,FZ53+FY54-GH53)))</f>
        <v>194.87179487179486</v>
      </c>
      <c r="GA54" s="18">
        <f>FZ54*VLOOKUP('Données projet'!$B$17,Paramètres!$A$1:$I$89,3,0)*VLOOKUP('Données projet'!$B$17,Paramètres!$A$1:$I$89,5,0)</f>
        <v>130.72</v>
      </c>
      <c r="GB54" s="14">
        <f t="shared" si="49"/>
        <v>34.162676675108806</v>
      </c>
      <c r="GC54" s="22">
        <f t="shared" si="25"/>
        <v>287.17066187581446</v>
      </c>
      <c r="GD54" s="60">
        <f t="shared" si="26"/>
        <v>542.95454227906134</v>
      </c>
      <c r="GE54" s="60">
        <f ca="1">AVERAGE(OFFSET($GD$3,0,0,'Données projet'!$E$17+1,1))-AVERAGE(OFFSET($H$3,0,0,'Données projet'!$E$17+1,1))</f>
        <v>344.62096650402731</v>
      </c>
      <c r="GF54" s="60">
        <f t="shared" si="50"/>
        <v>277.30931495079346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11</v>
      </c>
      <c r="N55" s="14">
        <f>IF('Données projet'!$A$36&gt;35,N54+M55-V54,IF(A55&lt;'Données projet'!$A$36,$K$205^A55,IF(A55='Données projet'!$A$36,'Données projet'!$B$36,N54+M55-V54)))</f>
        <v>239</v>
      </c>
      <c r="O55" s="14">
        <f>N55*VLOOKUP('Données projet'!$B$9,Paramètres!$A$1:$I$89,3,0)*VLOOKUP('Données projet'!$B$9,Paramètres!$A$1:$I$89,5,0)</f>
        <v>205.06200000000004</v>
      </c>
      <c r="P55" s="14">
        <f t="shared" si="33"/>
        <v>50.855018623514823</v>
      </c>
      <c r="Q55" s="22">
        <f t="shared" si="53"/>
        <v>445.72214076928839</v>
      </c>
      <c r="R55" s="60">
        <f t="shared" si="0"/>
        <v>702.1574202328718</v>
      </c>
      <c r="S55" s="60">
        <f ca="1">AVERAGE(OFFSET($R$3,0,0,'Données projet'!$E$9+1,1))-AVERAGE(OFFSET($H$3,0,0,'Données projet'!$E$9+1,1))</f>
        <v>632.26350546340541</v>
      </c>
      <c r="T55" s="60">
        <f t="shared" si="34"/>
        <v>340.45335016367915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6.119999999999993</v>
      </c>
      <c r="AI55" s="14">
        <f>IF('Données projet'!$A$62&gt;35,AI54+AH55-AQ54,IF(A55&lt;'Données projet'!$A$62,$AF$205^A55,IF(A55='Données projet'!$A$62,'Données projet'!$B$62,AI54+AH55-AQ54)))</f>
        <v>214.1400000000001</v>
      </c>
      <c r="AJ55" s="14">
        <f>AI55*VLOOKUP('Données projet'!$B$10,Paramètres!$A$1:$I$89,3,0)*VLOOKUP('Données projet'!$B$10,Paramètres!$A$1:$I$89,5,0)</f>
        <v>170.3697840000001</v>
      </c>
      <c r="AK55" s="14">
        <f t="shared" si="35"/>
        <v>43.172832424038276</v>
      </c>
      <c r="AL55" s="22">
        <f t="shared" si="4"/>
        <v>371.92005693853349</v>
      </c>
      <c r="AM55" s="60">
        <f t="shared" si="5"/>
        <v>628.35533640211679</v>
      </c>
      <c r="AN55" s="60">
        <f ca="1">AVERAGE(OFFSET($AM$3,0,0,'Données projet'!$E$10+1,1))-AVERAGE(OFFSET($H$3,0,0,'Données projet'!$E$10+1,1))</f>
        <v>336.25341821407534</v>
      </c>
      <c r="AO55" s="60">
        <f t="shared" si="36"/>
        <v>360.3246221345039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6.119999999999993</v>
      </c>
      <c r="BD55" s="13">
        <f>IF('Données projet'!$A$88&gt;35,BD54+BC55-BL54,IF(A55&lt;'Données projet'!$A$88,$BA$205^A55,IF(A55='Données projet'!$A$88,'Données projet'!$B$88,BD54+BC55-BL54)))</f>
        <v>214.1400000000001</v>
      </c>
      <c r="BE55" s="14">
        <f>BD55*VLOOKUP('Données projet'!$B$11,Paramètres!$A$1:$I$89,3,0)*VLOOKUP('Données projet'!$B$11,Paramètres!$A$1:$I$89,5,0)</f>
        <v>170.3697840000001</v>
      </c>
      <c r="BF55" s="14">
        <f t="shared" si="37"/>
        <v>43.172832424038276</v>
      </c>
      <c r="BG55" s="22">
        <f t="shared" si="7"/>
        <v>371.92005693853349</v>
      </c>
      <c r="BH55" s="60">
        <f t="shared" si="8"/>
        <v>628.35533640211679</v>
      </c>
      <c r="BI55" s="60">
        <f ca="1">AVERAGE(OFFSET($BH$3,0,0,'Données projet'!$E$11+1,1))-AVERAGE(OFFSET($H$3,0,0,'Données projet'!$E$11+1,1))</f>
        <v>336.25341821407534</v>
      </c>
      <c r="BJ55" s="60">
        <f t="shared" si="38"/>
        <v>360.3246221345039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156.53039999999999</v>
      </c>
      <c r="CA55" s="14">
        <f t="shared" si="39"/>
        <v>40.058941713182037</v>
      </c>
      <c r="CB55" s="22">
        <f t="shared" si="10"/>
        <v>342.393103483792</v>
      </c>
      <c r="CC55" s="60">
        <f t="shared" si="11"/>
        <v>598.8283829473753</v>
      </c>
      <c r="CD55" s="60">
        <f ca="1">AVERAGE(OFFSET($CC$3,0,0,'Données projet'!$E$12+1,1))-AVERAGE(OFFSET($H$3,0,0,'Données projet'!$E$12+1,1))</f>
        <v>469.67944008675863</v>
      </c>
      <c r="CE55" s="60">
        <f t="shared" si="40"/>
        <v>266.11908070867173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269.99999999999994</v>
      </c>
      <c r="CU55" s="18">
        <f>CT55*VLOOKUP('Données projet'!$B$13,Paramètres!$A$1:$I$89,3,0)*VLOOKUP('Données projet'!$B$13,Paramètres!$A$1:$I$89,5,0)</f>
        <v>210.59999999999997</v>
      </c>
      <c r="CV55" s="14">
        <f t="shared" si="41"/>
        <v>52.066679014659961</v>
      </c>
      <c r="CW55" s="22">
        <f t="shared" si="13"/>
        <v>457.47779928386598</v>
      </c>
      <c r="CX55" s="60">
        <f t="shared" si="14"/>
        <v>713.91307874744939</v>
      </c>
      <c r="CY55" s="60">
        <f ca="1">AVERAGE(OFFSET($CX$3,0,0,'Données projet'!$E$13+1,1))-AVERAGE(OFFSET($H$3,0,0,'Données projet'!$E$13+1,1))</f>
        <v>312.59632808777332</v>
      </c>
      <c r="CZ55" s="60">
        <f t="shared" si="42"/>
        <v>302.59481222418219</v>
      </c>
      <c r="DA55" s="16">
        <f>IF(ISNA(VLOOKUP(A55,'Données projet'!$A$139:$I$159,3,0)),0,VLOOKUP(A55,'Données projet'!$A$139:$I$159,3,0))</f>
        <v>5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5.2564102564102599</v>
      </c>
      <c r="DO55" s="13">
        <f>IF('Données projet'!$A$166&gt;35,DO54+DN55-DW54,IF(A55&lt;'Données projet'!$A$166,$DL$205^A55,IF(A55='Données projet'!$A$166,'Données projet'!$B$166,DO54+DN55-DW54)))</f>
        <v>159.87179487179486</v>
      </c>
      <c r="DP55" s="18">
        <f>DO55*VLOOKUP('Données projet'!$B$14,Paramètres!$A$1:$I$89,3,0)*VLOOKUP('Données projet'!$B$14,Paramètres!$A$1:$I$89,5,0)</f>
        <v>152.13399999999999</v>
      </c>
      <c r="DQ55" s="14">
        <f t="shared" si="43"/>
        <v>39.063145346110034</v>
      </c>
      <c r="DR55" s="22">
        <f t="shared" si="16"/>
        <v>333.00169481114159</v>
      </c>
      <c r="DS55" s="60">
        <f t="shared" si="17"/>
        <v>589.43697427472489</v>
      </c>
      <c r="DT55" s="60">
        <f ca="1">AVERAGE(OFFSET($DS$3,0,0,'Données projet'!$E$14+1,1))-AVERAGE(OFFSET($H$3,0,0,'Données projet'!$E$14+1,1))</f>
        <v>398.29746143975166</v>
      </c>
      <c r="DU55" s="60">
        <f t="shared" si="44"/>
        <v>300.63705521148802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173</v>
      </c>
      <c r="EK55" s="18">
        <f>EJ55*VLOOKUP('Données projet'!$B$15,Paramètres!$A$1:$I$89,3,0)*VLOOKUP('Données projet'!$B$15,Paramètres!$A$1:$I$89,5,0)</f>
        <v>167.32560000000001</v>
      </c>
      <c r="EL55" s="14">
        <f t="shared" si="45"/>
        <v>42.490495297127609</v>
      </c>
      <c r="EM55" s="22">
        <f t="shared" si="19"/>
        <v>365.42969930916388</v>
      </c>
      <c r="EN55" s="60">
        <f t="shared" si="20"/>
        <v>621.86497877274724</v>
      </c>
      <c r="EO55" s="60">
        <f ca="1">AVERAGE(OFFSET($EN$3,0,0,'Données projet'!$E$15+1,1))-AVERAGE(OFFSET($H$3,0,0,'Données projet'!$E$15+1,1))</f>
        <v>496.33873798282525</v>
      </c>
      <c r="EP55" s="60">
        <f t="shared" si="46"/>
        <v>280.25465074992246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6.119999999999993</v>
      </c>
      <c r="FE55" s="13">
        <f>IF('Données projet'!$A$218&gt;35,FE54+FD55-FM54,IF(A55&lt;'Données projet'!$A$218,$FB$205^A55,IF(A55='Données projet'!$A$218,'Données projet'!$B$218,FE54+FD55-FM54)))</f>
        <v>214.1400000000001</v>
      </c>
      <c r="FF55" s="18">
        <f>FE55*VLOOKUP('Données projet'!$B$16,Paramètres!$A$1:$I$89,3,0)*VLOOKUP('Données projet'!$B$16,Paramètres!$A$1:$I$89,5,0)</f>
        <v>187.0727040000001</v>
      </c>
      <c r="FG55" s="14">
        <f t="shared" si="47"/>
        <v>46.892185598822181</v>
      </c>
      <c r="FH55" s="22">
        <f t="shared" si="22"/>
        <v>407.48884938461543</v>
      </c>
      <c r="FI55" s="60">
        <f t="shared" si="23"/>
        <v>663.92412884819873</v>
      </c>
      <c r="FJ55" s="60">
        <f ca="1">AVERAGE(OFFSET($FI$3,0,0,'Données projet'!$E$16+1,1))-AVERAGE(OFFSET($H$3,0,0,'Données projet'!$E$16+1,1))</f>
        <v>363.28611056308665</v>
      </c>
      <c r="FK55" s="60">
        <f t="shared" si="48"/>
        <v>389.43647559455974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5.7692307692307683</v>
      </c>
      <c r="FZ55" s="13">
        <f>IF('Données projet'!$A$244&gt;35,FZ54+FY55-GH54,IF(A55&lt;'Données projet'!$A$244,$FW$205^A55,IF(A55='Données projet'!$A$244,'Données projet'!$B$244,FZ54+FY55-GH54)))</f>
        <v>200.64102564102564</v>
      </c>
      <c r="GA55" s="18">
        <f>FZ55*VLOOKUP('Données projet'!$B$17,Paramètres!$A$1:$I$89,3,0)*VLOOKUP('Données projet'!$B$17,Paramètres!$A$1:$I$89,5,0)</f>
        <v>134.59</v>
      </c>
      <c r="GB55" s="14">
        <f t="shared" si="49"/>
        <v>35.054822215165878</v>
      </c>
      <c r="GC55" s="22">
        <f t="shared" si="25"/>
        <v>295.46473202474721</v>
      </c>
      <c r="GD55" s="60">
        <f t="shared" si="26"/>
        <v>551.90001148833062</v>
      </c>
      <c r="GE55" s="60">
        <f ca="1">AVERAGE(OFFSET($GD$3,0,0,'Données projet'!$E$17+1,1))-AVERAGE(OFFSET($H$3,0,0,'Données projet'!$E$17+1,1))</f>
        <v>344.62096650402731</v>
      </c>
      <c r="GF55" s="60">
        <f t="shared" si="50"/>
        <v>277.30931495079346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11</v>
      </c>
      <c r="N56" s="14">
        <f>IF('Données projet'!$A$36&gt;35,N55+M56-V55,IF(A56&lt;'Données projet'!$A$36,$K$205^A56,IF(A56='Données projet'!$A$36,'Données projet'!$B$36,N55+M56-V55)))</f>
        <v>250</v>
      </c>
      <c r="O56" s="14">
        <f>N56*VLOOKUP('Données projet'!$B$9,Paramètres!$A$1:$I$89,3,0)*VLOOKUP('Données projet'!$B$9,Paramètres!$A$1:$I$89,5,0)</f>
        <v>214.5</v>
      </c>
      <c r="P56" s="14">
        <f t="shared" si="33"/>
        <v>52.917732192436588</v>
      </c>
      <c r="Q56" s="22">
        <f t="shared" si="53"/>
        <v>465.7525502351603</v>
      </c>
      <c r="R56" s="60">
        <f t="shared" si="0"/>
        <v>722.82792844169353</v>
      </c>
      <c r="S56" s="60">
        <f ca="1">AVERAGE(OFFSET($R$3,0,0,'Données projet'!$E$9+1,1))-AVERAGE(OFFSET($H$3,0,0,'Données projet'!$E$9+1,1))</f>
        <v>632.26350546340541</v>
      </c>
      <c r="T56" s="60">
        <f t="shared" si="34"/>
        <v>340.45335016367915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6.119999999999993</v>
      </c>
      <c r="AI56" s="14">
        <f>IF('Données projet'!$A$62&gt;35,AI55+AH56-AQ55,IF(A56&lt;'Données projet'!$A$62,$AF$205^A56,IF(A56='Données projet'!$A$62,'Données projet'!$B$62,AI55+AH56-AQ55)))</f>
        <v>220.2600000000001</v>
      </c>
      <c r="AJ56" s="14">
        <f>AI56*VLOOKUP('Données projet'!$B$10,Paramètres!$A$1:$I$89,3,0)*VLOOKUP('Données projet'!$B$10,Paramètres!$A$1:$I$89,5,0)</f>
        <v>175.23885600000008</v>
      </c>
      <c r="AK56" s="14">
        <f t="shared" si="35"/>
        <v>44.261272391866463</v>
      </c>
      <c r="AL56" s="22">
        <f t="shared" si="4"/>
        <v>382.29605694916751</v>
      </c>
      <c r="AM56" s="60">
        <f t="shared" si="5"/>
        <v>639.37143515570074</v>
      </c>
      <c r="AN56" s="60">
        <f ca="1">AVERAGE(OFFSET($AM$3,0,0,'Données projet'!$E$10+1,1))-AVERAGE(OFFSET($H$3,0,0,'Données projet'!$E$10+1,1))</f>
        <v>336.25341821407534</v>
      </c>
      <c r="AO56" s="60">
        <f t="shared" si="36"/>
        <v>360.3246221345039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6.119999999999993</v>
      </c>
      <c r="BD56" s="13">
        <f>IF('Données projet'!$A$88&gt;35,BD55+BC56-BL55,IF(A56&lt;'Données projet'!$A$88,$BA$205^A56,IF(A56='Données projet'!$A$88,'Données projet'!$B$88,BD55+BC56-BL55)))</f>
        <v>220.2600000000001</v>
      </c>
      <c r="BE56" s="14">
        <f>BD56*VLOOKUP('Données projet'!$B$11,Paramètres!$A$1:$I$89,3,0)*VLOOKUP('Données projet'!$B$11,Paramètres!$A$1:$I$89,5,0)</f>
        <v>175.23885600000008</v>
      </c>
      <c r="BF56" s="14">
        <f t="shared" si="37"/>
        <v>44.261272391866463</v>
      </c>
      <c r="BG56" s="22">
        <f t="shared" si="7"/>
        <v>382.29605694916751</v>
      </c>
      <c r="BH56" s="60">
        <f t="shared" si="8"/>
        <v>639.37143515570074</v>
      </c>
      <c r="BI56" s="60">
        <f ca="1">AVERAGE(OFFSET($BH$3,0,0,'Données projet'!$E$11+1,1))-AVERAGE(OFFSET($H$3,0,0,'Données projet'!$E$11+1,1))</f>
        <v>336.25341821407534</v>
      </c>
      <c r="BJ56" s="60">
        <f t="shared" si="38"/>
        <v>360.3246221345039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163.7688</v>
      </c>
      <c r="CA56" s="14">
        <f t="shared" si="39"/>
        <v>41.691423503509803</v>
      </c>
      <c r="CB56" s="22">
        <f t="shared" si="10"/>
        <v>357.84322260194625</v>
      </c>
      <c r="CC56" s="60">
        <f t="shared" si="11"/>
        <v>614.91860080847948</v>
      </c>
      <c r="CD56" s="60">
        <f ca="1">AVERAGE(OFFSET($CC$3,0,0,'Données projet'!$E$12+1,1))-AVERAGE(OFFSET($H$3,0,0,'Données projet'!$E$12+1,1))</f>
        <v>469.67944008675863</v>
      </c>
      <c r="CE56" s="60">
        <f t="shared" si="40"/>
        <v>266.11908070867173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231.37499999999994</v>
      </c>
      <c r="CU56" s="18">
        <f>CT56*VLOOKUP('Données projet'!$B$13,Paramètres!$A$1:$I$89,3,0)*VLOOKUP('Données projet'!$B$13,Paramètres!$A$1:$I$89,5,0)</f>
        <v>180.47249999999997</v>
      </c>
      <c r="CV56" s="14">
        <f t="shared" si="41"/>
        <v>45.427292666837829</v>
      </c>
      <c r="CW56" s="22">
        <f t="shared" si="13"/>
        <v>393.44213889474253</v>
      </c>
      <c r="CX56" s="60">
        <f t="shared" si="14"/>
        <v>650.51751710127576</v>
      </c>
      <c r="CY56" s="60">
        <f ca="1">AVERAGE(OFFSET($CX$3,0,0,'Données projet'!$E$13+1,1))-AVERAGE(OFFSET($H$3,0,0,'Données projet'!$E$13+1,1))</f>
        <v>312.59632808777332</v>
      </c>
      <c r="CZ56" s="60">
        <f t="shared" si="42"/>
        <v>302.59481222418219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5.2564102564102599</v>
      </c>
      <c r="DO56" s="13">
        <f>IF('Données projet'!$A$166&gt;35,DO55+DN56-DW55,IF(A56&lt;'Données projet'!$A$166,$DL$205^A56,IF(A56='Données projet'!$A$166,'Données projet'!$B$166,DO55+DN56-DW55)))</f>
        <v>165.12820512820511</v>
      </c>
      <c r="DP56" s="18">
        <f>DO56*VLOOKUP('Données projet'!$B$14,Paramètres!$A$1:$I$89,3,0)*VLOOKUP('Données projet'!$B$14,Paramètres!$A$1:$I$89,5,0)</f>
        <v>157.136</v>
      </c>
      <c r="DQ56" s="14">
        <f t="shared" si="43"/>
        <v>40.195854714214285</v>
      </c>
      <c r="DR56" s="22">
        <f t="shared" si="16"/>
        <v>343.68631362725654</v>
      </c>
      <c r="DS56" s="60">
        <f t="shared" si="17"/>
        <v>600.76169183378977</v>
      </c>
      <c r="DT56" s="60">
        <f ca="1">AVERAGE(OFFSET($DS$3,0,0,'Données projet'!$E$14+1,1))-AVERAGE(OFFSET($H$3,0,0,'Données projet'!$E$14+1,1))</f>
        <v>398.29746143975166</v>
      </c>
      <c r="DU56" s="60">
        <f t="shared" si="44"/>
        <v>300.63705521148802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181</v>
      </c>
      <c r="EK56" s="18">
        <f>EJ56*VLOOKUP('Données projet'!$B$15,Paramètres!$A$1:$I$89,3,0)*VLOOKUP('Données projet'!$B$15,Paramètres!$A$1:$I$89,5,0)</f>
        <v>175.06319999999999</v>
      </c>
      <c r="EL56" s="14">
        <f t="shared" si="45"/>
        <v>44.22206774682472</v>
      </c>
      <c r="EM56" s="22">
        <f t="shared" si="19"/>
        <v>381.9218413257197</v>
      </c>
      <c r="EN56" s="60">
        <f t="shared" si="20"/>
        <v>638.99721953225298</v>
      </c>
      <c r="EO56" s="60">
        <f ca="1">AVERAGE(OFFSET($EN$3,0,0,'Données projet'!$E$15+1,1))-AVERAGE(OFFSET($H$3,0,0,'Données projet'!$E$15+1,1))</f>
        <v>496.33873798282525</v>
      </c>
      <c r="EP56" s="60">
        <f t="shared" si="46"/>
        <v>280.25465074992246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6.119999999999993</v>
      </c>
      <c r="FE56" s="13">
        <f>IF('Données projet'!$A$218&gt;35,FE55+FD56-FM55,IF(A56&lt;'Données projet'!$A$218,$FB$205^A56,IF(A56='Données projet'!$A$218,'Données projet'!$B$218,FE55+FD56-FM55)))</f>
        <v>220.2600000000001</v>
      </c>
      <c r="FF56" s="18">
        <f>FE56*VLOOKUP('Données projet'!$B$16,Paramètres!$A$1:$I$89,3,0)*VLOOKUP('Données projet'!$B$16,Paramètres!$A$1:$I$89,5,0)</f>
        <v>192.41913600000012</v>
      </c>
      <c r="FG56" s="14">
        <f t="shared" si="47"/>
        <v>48.074395014300762</v>
      </c>
      <c r="FH56" s="22">
        <f t="shared" si="22"/>
        <v>418.85956651657403</v>
      </c>
      <c r="FI56" s="60">
        <f t="shared" si="23"/>
        <v>675.93494472310726</v>
      </c>
      <c r="FJ56" s="60">
        <f ca="1">AVERAGE(OFFSET($FI$3,0,0,'Données projet'!$E$16+1,1))-AVERAGE(OFFSET($H$3,0,0,'Données projet'!$E$16+1,1))</f>
        <v>363.28611056308665</v>
      </c>
      <c r="FK56" s="60">
        <f t="shared" si="48"/>
        <v>389.43647559455974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5.7692307692307683</v>
      </c>
      <c r="FZ56" s="13">
        <f>IF('Données projet'!$A$244&gt;35,FZ55+FY56-GH55,IF(A56&lt;'Données projet'!$A$244,$FW$205^A56,IF(A56='Données projet'!$A$244,'Données projet'!$B$244,FZ55+FY56-GH55)))</f>
        <v>206.41025641025641</v>
      </c>
      <c r="GA56" s="18">
        <f>FZ56*VLOOKUP('Données projet'!$B$17,Paramètres!$A$1:$I$89,3,0)*VLOOKUP('Données projet'!$B$17,Paramètres!$A$1:$I$89,5,0)</f>
        <v>138.45999999999998</v>
      </c>
      <c r="GB56" s="14">
        <f t="shared" si="49"/>
        <v>35.943986332761526</v>
      </c>
      <c r="GC56" s="22">
        <f t="shared" si="25"/>
        <v>303.75360952955964</v>
      </c>
      <c r="GD56" s="60">
        <f t="shared" si="26"/>
        <v>560.82898773609281</v>
      </c>
      <c r="GE56" s="60">
        <f ca="1">AVERAGE(OFFSET($GD$3,0,0,'Données projet'!$E$17+1,1))-AVERAGE(OFFSET($H$3,0,0,'Données projet'!$E$17+1,1))</f>
        <v>344.62096650402731</v>
      </c>
      <c r="GF56" s="60">
        <f t="shared" si="50"/>
        <v>277.30931495079346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11</v>
      </c>
      <c r="N57" s="14">
        <f>IF('Données projet'!$A$36&gt;35,N56+M57-V56,IF(A57&lt;'Données projet'!$A$36,$K$205^A57,IF(A57='Données projet'!$A$36,'Données projet'!$B$36,N56+M57-V56)))</f>
        <v>261</v>
      </c>
      <c r="O57" s="14">
        <f>N57*VLOOKUP('Données projet'!$B$9,Paramètres!$A$1:$I$89,3,0)*VLOOKUP('Données projet'!$B$9,Paramètres!$A$1:$I$89,5,0)</f>
        <v>223.93800000000002</v>
      </c>
      <c r="P57" s="14">
        <f t="shared" si="33"/>
        <v>54.969904783066404</v>
      </c>
      <c r="Q57" s="22">
        <f t="shared" si="53"/>
        <v>485.76460083050733</v>
      </c>
      <c r="R57" s="60">
        <f t="shared" si="0"/>
        <v>743.46897349784672</v>
      </c>
      <c r="S57" s="60">
        <f ca="1">AVERAGE(OFFSET($R$3,0,0,'Données projet'!$E$9+1,1))-AVERAGE(OFFSET($H$3,0,0,'Données projet'!$E$9+1,1))</f>
        <v>632.26350546340541</v>
      </c>
      <c r="T57" s="60">
        <f t="shared" si="34"/>
        <v>340.45335016367915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6.119999999999993</v>
      </c>
      <c r="AI57" s="14">
        <f>IF('Données projet'!$A$62&gt;35,AI56+AH57-AQ56,IF(A57&lt;'Données projet'!$A$62,$AF$205^A57,IF(A57='Données projet'!$A$62,'Données projet'!$B$62,AI56+AH57-AQ56)))</f>
        <v>226.38000000000011</v>
      </c>
      <c r="AJ57" s="14">
        <f>AI57*VLOOKUP('Données projet'!$B$10,Paramètres!$A$1:$I$89,3,0)*VLOOKUP('Données projet'!$B$10,Paramètres!$A$1:$I$89,5,0)</f>
        <v>180.1079280000001</v>
      </c>
      <c r="AK57" s="14">
        <f t="shared" si="35"/>
        <v>45.34619732035577</v>
      </c>
      <c r="AL57" s="22">
        <f t="shared" si="4"/>
        <v>392.66593493295318</v>
      </c>
      <c r="AM57" s="60">
        <f t="shared" si="5"/>
        <v>650.37030760029256</v>
      </c>
      <c r="AN57" s="60">
        <f ca="1">AVERAGE(OFFSET($AM$3,0,0,'Données projet'!$E$10+1,1))-AVERAGE(OFFSET($H$3,0,0,'Données projet'!$E$10+1,1))</f>
        <v>336.25341821407534</v>
      </c>
      <c r="AO57" s="60">
        <f t="shared" si="36"/>
        <v>360.3246221345039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6.119999999999993</v>
      </c>
      <c r="BD57" s="13">
        <f>IF('Données projet'!$A$88&gt;35,BD56+BC57-BL56,IF(A57&lt;'Données projet'!$A$88,$BA$205^A57,IF(A57='Données projet'!$A$88,'Données projet'!$B$88,BD56+BC57-BL56)))</f>
        <v>226.38000000000011</v>
      </c>
      <c r="BE57" s="14">
        <f>BD57*VLOOKUP('Données projet'!$B$11,Paramètres!$A$1:$I$89,3,0)*VLOOKUP('Données projet'!$B$11,Paramètres!$A$1:$I$89,5,0)</f>
        <v>180.1079280000001</v>
      </c>
      <c r="BF57" s="14">
        <f t="shared" si="37"/>
        <v>45.34619732035577</v>
      </c>
      <c r="BG57" s="22">
        <f t="shared" si="7"/>
        <v>392.66593493295318</v>
      </c>
      <c r="BH57" s="60">
        <f t="shared" si="8"/>
        <v>650.37030760029256</v>
      </c>
      <c r="BI57" s="60">
        <f ca="1">AVERAGE(OFFSET($BH$3,0,0,'Données projet'!$E$11+1,1))-AVERAGE(OFFSET($H$3,0,0,'Données projet'!$E$11+1,1))</f>
        <v>336.25341821407534</v>
      </c>
      <c r="BJ57" s="60">
        <f t="shared" si="38"/>
        <v>360.3246221345039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171.00719999999998</v>
      </c>
      <c r="CA57" s="14">
        <f t="shared" si="39"/>
        <v>43.315525267338089</v>
      </c>
      <c r="CB57" s="22">
        <f t="shared" si="10"/>
        <v>373.27874650728046</v>
      </c>
      <c r="CC57" s="60">
        <f t="shared" si="11"/>
        <v>630.98311917461979</v>
      </c>
      <c r="CD57" s="60">
        <f ca="1">AVERAGE(OFFSET($CC$3,0,0,'Données projet'!$E$12+1,1))-AVERAGE(OFFSET($H$3,0,0,'Données projet'!$E$12+1,1))</f>
        <v>469.67944008675863</v>
      </c>
      <c r="CE57" s="60">
        <f t="shared" si="40"/>
        <v>266.11908070867173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240.74999999999994</v>
      </c>
      <c r="CU57" s="18">
        <f>CT57*VLOOKUP('Données projet'!$B$13,Paramètres!$A$1:$I$89,3,0)*VLOOKUP('Données projet'!$B$13,Paramètres!$A$1:$I$89,5,0)</f>
        <v>187.78499999999997</v>
      </c>
      <c r="CV57" s="14">
        <f t="shared" si="41"/>
        <v>47.049914090154054</v>
      </c>
      <c r="CW57" s="22">
        <f t="shared" si="13"/>
        <v>409.00414204035161</v>
      </c>
      <c r="CX57" s="60">
        <f t="shared" si="14"/>
        <v>666.70851470769094</v>
      </c>
      <c r="CY57" s="60">
        <f ca="1">AVERAGE(OFFSET($CX$3,0,0,'Données projet'!$E$13+1,1))-AVERAGE(OFFSET($H$3,0,0,'Données projet'!$E$13+1,1))</f>
        <v>312.59632808777332</v>
      </c>
      <c r="CZ57" s="60">
        <f t="shared" si="42"/>
        <v>302.59481222418219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5.2564102564102599</v>
      </c>
      <c r="DO57" s="13">
        <f>IF('Données projet'!$A$166&gt;35,DO56+DN57-DW56,IF(A57&lt;'Données projet'!$A$166,$DL$205^A57,IF(A57='Données projet'!$A$166,'Données projet'!$B$166,DO56+DN57-DW56)))</f>
        <v>170.38461538461536</v>
      </c>
      <c r="DP57" s="18">
        <f>DO57*VLOOKUP('Données projet'!$B$14,Paramètres!$A$1:$I$89,3,0)*VLOOKUP('Données projet'!$B$14,Paramètres!$A$1:$I$89,5,0)</f>
        <v>162.13799999999998</v>
      </c>
      <c r="DQ57" s="14">
        <f t="shared" si="43"/>
        <v>41.324374095861224</v>
      </c>
      <c r="DR57" s="22">
        <f t="shared" si="16"/>
        <v>354.36363488362491</v>
      </c>
      <c r="DS57" s="60">
        <f t="shared" si="17"/>
        <v>612.06800755096424</v>
      </c>
      <c r="DT57" s="60">
        <f ca="1">AVERAGE(OFFSET($DS$3,0,0,'Données projet'!$E$14+1,1))-AVERAGE(OFFSET($H$3,0,0,'Données projet'!$E$14+1,1))</f>
        <v>398.29746143975166</v>
      </c>
      <c r="DU57" s="60">
        <f t="shared" si="44"/>
        <v>300.63705521148802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189</v>
      </c>
      <c r="EK57" s="18">
        <f>EJ57*VLOOKUP('Données projet'!$B$15,Paramètres!$A$1:$I$89,3,0)*VLOOKUP('Données projet'!$B$15,Paramètres!$A$1:$I$89,5,0)</f>
        <v>182.80079999999998</v>
      </c>
      <c r="EL57" s="14">
        <f t="shared" si="45"/>
        <v>45.944751507471658</v>
      </c>
      <c r="EM57" s="22">
        <f t="shared" si="19"/>
        <v>398.39850220884642</v>
      </c>
      <c r="EN57" s="60">
        <f t="shared" si="20"/>
        <v>656.10287487618575</v>
      </c>
      <c r="EO57" s="60">
        <f ca="1">AVERAGE(OFFSET($EN$3,0,0,'Données projet'!$E$15+1,1))-AVERAGE(OFFSET($H$3,0,0,'Données projet'!$E$15+1,1))</f>
        <v>496.33873798282525</v>
      </c>
      <c r="EP57" s="60">
        <f t="shared" si="46"/>
        <v>280.25465074992246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6.119999999999993</v>
      </c>
      <c r="FE57" s="13">
        <f>IF('Données projet'!$A$218&gt;35,FE56+FD57-FM56,IF(A57&lt;'Données projet'!$A$218,$FB$205^A57,IF(A57='Données projet'!$A$218,'Données projet'!$B$218,FE56+FD57-FM56)))</f>
        <v>226.38000000000011</v>
      </c>
      <c r="FF57" s="18">
        <f>FE57*VLOOKUP('Données projet'!$B$16,Paramètres!$A$1:$I$89,3,0)*VLOOKUP('Données projet'!$B$16,Paramètres!$A$1:$I$89,5,0)</f>
        <v>197.76556800000012</v>
      </c>
      <c r="FG57" s="14">
        <f t="shared" si="47"/>
        <v>49.252786568689096</v>
      </c>
      <c r="FH57" s="22">
        <f t="shared" si="22"/>
        <v>430.22363420713367</v>
      </c>
      <c r="FI57" s="60">
        <f t="shared" si="23"/>
        <v>687.928006874473</v>
      </c>
      <c r="FJ57" s="60">
        <f ca="1">AVERAGE(OFFSET($FI$3,0,0,'Données projet'!$E$16+1,1))-AVERAGE(OFFSET($H$3,0,0,'Données projet'!$E$16+1,1))</f>
        <v>363.28611056308665</v>
      </c>
      <c r="FK57" s="60">
        <f t="shared" si="48"/>
        <v>389.43647559455974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5.7692307692307683</v>
      </c>
      <c r="FZ57" s="13">
        <f>IF('Données projet'!$A$244&gt;35,FZ56+FY57-GH56,IF(A57&lt;'Données projet'!$A$244,$FW$205^A57,IF(A57='Données projet'!$A$244,'Données projet'!$B$244,FZ56+FY57-GH56)))</f>
        <v>212.17948717948718</v>
      </c>
      <c r="GA57" s="18">
        <f>FZ57*VLOOKUP('Données projet'!$B$17,Paramètres!$A$1:$I$89,3,0)*VLOOKUP('Données projet'!$B$17,Paramètres!$A$1:$I$89,5,0)</f>
        <v>142.33000000000001</v>
      </c>
      <c r="GB57" s="14">
        <f t="shared" si="49"/>
        <v>36.830261932722308</v>
      </c>
      <c r="GC57" s="22">
        <f t="shared" si="25"/>
        <v>312.03745619949137</v>
      </c>
      <c r="GD57" s="60">
        <f t="shared" si="26"/>
        <v>569.7418288668307</v>
      </c>
      <c r="GE57" s="60">
        <f ca="1">AVERAGE(OFFSET($GD$3,0,0,'Données projet'!$E$17+1,1))-AVERAGE(OFFSET($H$3,0,0,'Données projet'!$E$17+1,1))</f>
        <v>344.62096650402731</v>
      </c>
      <c r="GF57" s="60">
        <f t="shared" si="50"/>
        <v>277.30931495079346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272</v>
      </c>
      <c r="L58" s="13">
        <f>VLOOKUP(A58,'Données projet'!$A$35:$I$55,9,0)</f>
        <v>11</v>
      </c>
      <c r="M58" s="13">
        <f t="array" ref="M58">INDEX(L:L,MIN(IF(ISNUMBER(L58:L254),ROW(L58:L254),"")))</f>
        <v>11</v>
      </c>
      <c r="N58" s="14">
        <f>IF('Données projet'!$A$36&gt;35,N57+M58-V57,IF(A58&lt;'Données projet'!$A$36,$K$205^A58,IF(A58='Données projet'!$A$36,'Données projet'!$B$36,N57+M58-V57)))</f>
        <v>272</v>
      </c>
      <c r="O58" s="14">
        <f>N58*VLOOKUP('Données projet'!$B$9,Paramètres!$A$1:$I$89,3,0)*VLOOKUP('Données projet'!$B$9,Paramètres!$A$1:$I$89,5,0)</f>
        <v>233.37600000000003</v>
      </c>
      <c r="P58" s="14">
        <f t="shared" si="33"/>
        <v>57.012031446990107</v>
      </c>
      <c r="Q58" s="22">
        <f t="shared" si="53"/>
        <v>505.75915477017446</v>
      </c>
      <c r="R58" s="60">
        <f t="shared" si="0"/>
        <v>764.08161025064578</v>
      </c>
      <c r="S58" s="60">
        <f ca="1">AVERAGE(OFFSET($R$3,0,0,'Données projet'!$E$9+1,1))-AVERAGE(OFFSET($H$3,0,0,'Données projet'!$E$9+1,1))</f>
        <v>632.26350546340541</v>
      </c>
      <c r="T58" s="60">
        <f t="shared" si="34"/>
        <v>340.45335016367915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232.5</v>
      </c>
      <c r="AG58" s="13">
        <f>VLOOKUP(A58,'Données projet'!$A$61:$I$81,9,0)</f>
        <v>6.119999999999993</v>
      </c>
      <c r="AH58" s="13">
        <f t="array" ref="AH58">INDEX(AG:AG,MIN(IF(ISNUMBER(AG58:AG254),ROW(AG58:AG254),"")))</f>
        <v>6.119999999999993</v>
      </c>
      <c r="AI58" s="14">
        <f>IF('Données projet'!$A$62&gt;35,AI57+AH58-AQ57,IF(A58&lt;'Données projet'!$A$62,$AF$205^A58,IF(A58='Données projet'!$A$62,'Données projet'!$B$62,AI57+AH58-AQ57)))</f>
        <v>232.50000000000011</v>
      </c>
      <c r="AJ58" s="14">
        <f>AI58*VLOOKUP('Données projet'!$B$10,Paramètres!$A$1:$I$89,3,0)*VLOOKUP('Données projet'!$B$10,Paramètres!$A$1:$I$89,5,0)</f>
        <v>184.97700000000009</v>
      </c>
      <c r="AK58" s="14">
        <f t="shared" si="35"/>
        <v>46.427713156194159</v>
      </c>
      <c r="AL58" s="22">
        <f t="shared" si="4"/>
        <v>403.02987541370499</v>
      </c>
      <c r="AM58" s="60">
        <f t="shared" si="5"/>
        <v>661.35233089417636</v>
      </c>
      <c r="AN58" s="60">
        <f ca="1">AVERAGE(OFFSET($AM$3,0,0,'Données projet'!$E$10+1,1))-AVERAGE(OFFSET($H$3,0,0,'Données projet'!$E$10+1,1))</f>
        <v>336.25341821407534</v>
      </c>
      <c r="AO58" s="60">
        <f t="shared" si="36"/>
        <v>360.3246221345039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232.5</v>
      </c>
      <c r="BB58" s="13">
        <f>VLOOKUP(A58,'Données projet'!$A$87:$I$107,9,0)</f>
        <v>6.119999999999993</v>
      </c>
      <c r="BC58" s="13">
        <f t="array" ref="BC58">INDEX(BB:BB,MIN(IF(ISNUMBER(BB58:BB254),ROW(BB58:BB254),"")))</f>
        <v>6.119999999999993</v>
      </c>
      <c r="BD58" s="13">
        <f>IF('Données projet'!$A$88&gt;35,BD57+BC58-BL57,IF(A58&lt;'Données projet'!$A$88,$BA$205^A58,IF(A58='Données projet'!$A$88,'Données projet'!$B$88,BD57+BC58-BL57)))</f>
        <v>232.50000000000011</v>
      </c>
      <c r="BE58" s="14">
        <f>BD58*VLOOKUP('Données projet'!$B$11,Paramètres!$A$1:$I$89,3,0)*VLOOKUP('Données projet'!$B$11,Paramètres!$A$1:$I$89,5,0)</f>
        <v>184.97700000000009</v>
      </c>
      <c r="BF58" s="14">
        <f t="shared" si="37"/>
        <v>46.427713156194159</v>
      </c>
      <c r="BG58" s="22">
        <f t="shared" si="7"/>
        <v>403.02987541370499</v>
      </c>
      <c r="BH58" s="60">
        <f t="shared" si="8"/>
        <v>661.35233089417636</v>
      </c>
      <c r="BI58" s="60">
        <f ca="1">AVERAGE(OFFSET($BH$3,0,0,'Données projet'!$E$11+1,1))-AVERAGE(OFFSET($H$3,0,0,'Données projet'!$E$11+1,1))</f>
        <v>336.25341821407534</v>
      </c>
      <c r="BJ58" s="60">
        <f t="shared" si="38"/>
        <v>360.3246221345039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178.2456</v>
      </c>
      <c r="CA58" s="14">
        <f t="shared" si="39"/>
        <v>44.931642269910427</v>
      </c>
      <c r="CB58" s="22">
        <f t="shared" si="10"/>
        <v>388.70036362009404</v>
      </c>
      <c r="CC58" s="60">
        <f t="shared" si="11"/>
        <v>647.02281910056536</v>
      </c>
      <c r="CD58" s="60">
        <f ca="1">AVERAGE(OFFSET($CC$3,0,0,'Données projet'!$E$12+1,1))-AVERAGE(OFFSET($H$3,0,0,'Données projet'!$E$12+1,1))</f>
        <v>469.67944008675863</v>
      </c>
      <c r="CE58" s="60">
        <f t="shared" si="40"/>
        <v>266.11908070867173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250.12499999999994</v>
      </c>
      <c r="CU58" s="18">
        <f>CT58*VLOOKUP('Données projet'!$B$13,Paramètres!$A$1:$I$89,3,0)*VLOOKUP('Données projet'!$B$13,Paramètres!$A$1:$I$89,5,0)</f>
        <v>195.09749999999997</v>
      </c>
      <c r="CV58" s="14">
        <f t="shared" si="41"/>
        <v>48.66519532492584</v>
      </c>
      <c r="CW58" s="22">
        <f t="shared" si="13"/>
        <v>424.55336102424576</v>
      </c>
      <c r="CX58" s="60">
        <f t="shared" si="14"/>
        <v>682.87581650471714</v>
      </c>
      <c r="CY58" s="60">
        <f ca="1">AVERAGE(OFFSET($CX$3,0,0,'Données projet'!$E$13+1,1))-AVERAGE(OFFSET($H$3,0,0,'Données projet'!$E$13+1,1))</f>
        <v>312.59632808777332</v>
      </c>
      <c r="CZ58" s="60">
        <f t="shared" si="42"/>
        <v>302.59481222418219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175.64102564102564</v>
      </c>
      <c r="DM58" s="13">
        <f>VLOOKUP(A58,'Données projet'!$A$165:$I$185,9,0)</f>
        <v>5.2564102564102599</v>
      </c>
      <c r="DN58" s="13">
        <f t="array" ref="DN58">INDEX(DM:DM,MIN(IF(ISNUMBER(DM58:DM254),ROW(DM58:DM254),"")))</f>
        <v>5.2564102564102599</v>
      </c>
      <c r="DO58" s="13">
        <f>IF('Données projet'!$A$166&gt;35,DO57+DN58-DW57,IF(A58&lt;'Données projet'!$A$166,$DL$205^A58,IF(A58='Données projet'!$A$166,'Données projet'!$B$166,DO57+DN58-DW57)))</f>
        <v>175.64102564102561</v>
      </c>
      <c r="DP58" s="18">
        <f>DO58*VLOOKUP('Données projet'!$B$14,Paramètres!$A$1:$I$89,3,0)*VLOOKUP('Données projet'!$B$14,Paramètres!$A$1:$I$89,5,0)</f>
        <v>167.14</v>
      </c>
      <c r="DQ58" s="14">
        <f t="shared" si="43"/>
        <v>42.448847586931429</v>
      </c>
      <c r="DR58" s="22">
        <f t="shared" si="16"/>
        <v>365.03390954723886</v>
      </c>
      <c r="DS58" s="60">
        <f t="shared" si="17"/>
        <v>623.35636502771024</v>
      </c>
      <c r="DT58" s="60">
        <f ca="1">AVERAGE(OFFSET($DS$3,0,0,'Données projet'!$E$14+1,1))-AVERAGE(OFFSET($H$3,0,0,'Données projet'!$E$14+1,1))</f>
        <v>398.29746143975166</v>
      </c>
      <c r="DU58" s="60">
        <f t="shared" si="44"/>
        <v>300.63705521148802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197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197</v>
      </c>
      <c r="EK58" s="18">
        <f>EJ58*VLOOKUP('Données projet'!$B$15,Paramètres!$A$1:$I$89,3,0)*VLOOKUP('Données projet'!$B$15,Paramètres!$A$1:$I$89,5,0)</f>
        <v>190.5384</v>
      </c>
      <c r="EL58" s="14">
        <f t="shared" si="45"/>
        <v>47.658965836673829</v>
      </c>
      <c r="EM58" s="22">
        <f t="shared" si="19"/>
        <v>414.86041216554025</v>
      </c>
      <c r="EN58" s="60">
        <f t="shared" si="20"/>
        <v>673.18286764601157</v>
      </c>
      <c r="EO58" s="60">
        <f ca="1">AVERAGE(OFFSET($EN$3,0,0,'Données projet'!$E$15+1,1))-AVERAGE(OFFSET($H$3,0,0,'Données projet'!$E$15+1,1))</f>
        <v>496.33873798282525</v>
      </c>
      <c r="EP58" s="60">
        <f t="shared" si="46"/>
        <v>280.25465074992246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232.5</v>
      </c>
      <c r="FC58" s="13">
        <f>VLOOKUP(A58,'Données projet'!$A$217:$I$237,9,0)</f>
        <v>6.119999999999993</v>
      </c>
      <c r="FD58" s="13">
        <f t="array" ref="FD58">INDEX(FC:FC,MIN(IF(ISNUMBER(FC58:FC254),ROW(FC58:FC254),"")))</f>
        <v>6.119999999999993</v>
      </c>
      <c r="FE58" s="13">
        <f>IF('Données projet'!$A$218&gt;35,FE57+FD58-FM57,IF(A58&lt;'Données projet'!$A$218,$FB$205^A58,IF(A58='Données projet'!$A$218,'Données projet'!$B$218,FE57+FD58-FM57)))</f>
        <v>232.50000000000011</v>
      </c>
      <c r="FF58" s="18">
        <f>FE58*VLOOKUP('Données projet'!$B$16,Paramètres!$A$1:$I$89,3,0)*VLOOKUP('Données projet'!$B$16,Paramètres!$A$1:$I$89,5,0)</f>
        <v>203.11200000000011</v>
      </c>
      <c r="FG58" s="14">
        <f t="shared" si="47"/>
        <v>50.427475336015824</v>
      </c>
      <c r="FH58" s="22">
        <f t="shared" si="22"/>
        <v>441.58125287689433</v>
      </c>
      <c r="FI58" s="60">
        <f t="shared" si="23"/>
        <v>699.90370835736576</v>
      </c>
      <c r="FJ58" s="60">
        <f ca="1">AVERAGE(OFFSET($FI$3,0,0,'Données projet'!$E$16+1,1))-AVERAGE(OFFSET($H$3,0,0,'Données projet'!$E$16+1,1))</f>
        <v>363.28611056308665</v>
      </c>
      <c r="FK58" s="60">
        <f t="shared" si="48"/>
        <v>389.43647559455974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217.94871794871793</v>
      </c>
      <c r="FX58" s="13">
        <f>VLOOKUP(A58,'Données projet'!$A$243:$I$263,9,0)</f>
        <v>5.7692307692307683</v>
      </c>
      <c r="FY58" s="13">
        <f t="array" ref="FY58">INDEX(FX:FX,MIN(IF(ISNUMBER(FX58:FX254),ROW(FX58:FX254),"")))</f>
        <v>5.7692307692307683</v>
      </c>
      <c r="FZ58" s="13">
        <f>IF('Données projet'!$A$244&gt;35,FZ57+FY58-GH57,IF(A58&lt;'Données projet'!$A$244,$FW$205^A58,IF(A58='Données projet'!$A$244,'Données projet'!$B$244,FZ57+FY58-GH57)))</f>
        <v>217.94871794871796</v>
      </c>
      <c r="GA58" s="18">
        <f>FZ58*VLOOKUP('Données projet'!$B$17,Paramètres!$A$1:$I$89,3,0)*VLOOKUP('Données projet'!$B$17,Paramètres!$A$1:$I$89,5,0)</f>
        <v>146.19999999999999</v>
      </c>
      <c r="GB58" s="14">
        <f t="shared" si="49"/>
        <v>37.713736580072478</v>
      </c>
      <c r="GC58" s="22">
        <f t="shared" si="25"/>
        <v>320.31642454362617</v>
      </c>
      <c r="GD58" s="60">
        <f t="shared" si="26"/>
        <v>578.63888002409749</v>
      </c>
      <c r="GE58" s="60">
        <f ca="1">AVERAGE(OFFSET($GD$3,0,0,'Données projet'!$E$17+1,1))-AVERAGE(OFFSET($H$3,0,0,'Données projet'!$E$17+1,1))</f>
        <v>344.62096650402731</v>
      </c>
      <c r="GF58" s="60">
        <f t="shared" si="50"/>
        <v>277.30931495079346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10.8</v>
      </c>
      <c r="N59" s="14">
        <f>IF('Données projet'!$A$36&gt;35,N58+M59-V58,IF(A59&lt;'Données projet'!$A$36,$K$205^A59,IF(A59='Données projet'!$A$36,'Données projet'!$B$36,N58+M59-V58)))</f>
        <v>282.8</v>
      </c>
      <c r="O59" s="14">
        <f>N59*VLOOKUP('Données projet'!$B$9,Paramètres!$A$1:$I$89,3,0)*VLOOKUP('Données projet'!$B$9,Paramètres!$A$1:$I$89,5,0)</f>
        <v>242.64240000000004</v>
      </c>
      <c r="P59" s="14">
        <f t="shared" si="33"/>
        <v>59.007692897618249</v>
      </c>
      <c r="Q59" s="22">
        <f t="shared" si="53"/>
        <v>525.37391179668509</v>
      </c>
      <c r="R59" s="60">
        <f t="shared" si="0"/>
        <v>784.30372773530689</v>
      </c>
      <c r="S59" s="60">
        <f ca="1">AVERAGE(OFFSET($R$3,0,0,'Données projet'!$E$9+1,1))-AVERAGE(OFFSET($H$3,0,0,'Données projet'!$E$9+1,1))</f>
        <v>632.26350546340541</v>
      </c>
      <c r="T59" s="60">
        <f t="shared" si="34"/>
        <v>340.45335016367915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5.1600000000000019</v>
      </c>
      <c r="AI59" s="14">
        <f>IF('Données projet'!$A$62&gt;35,AI58+AH59-AQ58,IF(A59&lt;'Données projet'!$A$62,$AF$205^A59,IF(A59='Données projet'!$A$62,'Données projet'!$B$62,AI58+AH59-AQ58)))</f>
        <v>237.66000000000011</v>
      </c>
      <c r="AJ59" s="14">
        <f>AI59*VLOOKUP('Données projet'!$B$10,Paramètres!$A$1:$I$89,3,0)*VLOOKUP('Données projet'!$B$10,Paramètres!$A$1:$I$89,5,0)</f>
        <v>189.0822960000001</v>
      </c>
      <c r="AK59" s="14">
        <f t="shared" si="35"/>
        <v>47.337004389591748</v>
      </c>
      <c r="AL59" s="22">
        <f t="shared" si="4"/>
        <v>411.76361484520572</v>
      </c>
      <c r="AM59" s="60">
        <f t="shared" si="5"/>
        <v>670.69343078382747</v>
      </c>
      <c r="AN59" s="60">
        <f ca="1">AVERAGE(OFFSET($AM$3,0,0,'Données projet'!$E$10+1,1))-AVERAGE(OFFSET($H$3,0,0,'Données projet'!$E$10+1,1))</f>
        <v>336.25341821407534</v>
      </c>
      <c r="AO59" s="60">
        <f t="shared" si="36"/>
        <v>360.3246221345039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237.66000000000011</v>
      </c>
      <c r="BE59" s="14">
        <f>BD59*VLOOKUP('Données projet'!$B$11,Paramètres!$A$1:$I$89,3,0)*VLOOKUP('Données projet'!$B$11,Paramètres!$A$1:$I$89,5,0)</f>
        <v>189.0822960000001</v>
      </c>
      <c r="BF59" s="14">
        <f t="shared" si="37"/>
        <v>47.337004389591748</v>
      </c>
      <c r="BG59" s="22">
        <f t="shared" si="7"/>
        <v>411.76361484520572</v>
      </c>
      <c r="BH59" s="60">
        <f t="shared" si="8"/>
        <v>670.69343078382747</v>
      </c>
      <c r="BI59" s="60">
        <f ca="1">AVERAGE(OFFSET($BH$3,0,0,'Données projet'!$E$11+1,1))-AVERAGE(OFFSET($H$3,0,0,'Données projet'!$E$11+1,1))</f>
        <v>336.25341821407534</v>
      </c>
      <c r="BJ59" s="60">
        <f t="shared" si="38"/>
        <v>360.3246221345039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185.12207999999998</v>
      </c>
      <c r="CA59" s="14">
        <f t="shared" si="39"/>
        <v>46.459887003478677</v>
      </c>
      <c r="CB59" s="22">
        <f t="shared" si="10"/>
        <v>403.33859253105862</v>
      </c>
      <c r="CC59" s="60">
        <f t="shared" si="11"/>
        <v>662.26840846968037</v>
      </c>
      <c r="CD59" s="60">
        <f ca="1">AVERAGE(OFFSET($CC$3,0,0,'Données projet'!$E$12+1,1))-AVERAGE(OFFSET($H$3,0,0,'Données projet'!$E$12+1,1))</f>
        <v>469.67944008675863</v>
      </c>
      <c r="CE59" s="60">
        <f t="shared" si="40"/>
        <v>266.11908070867173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259.49999999999994</v>
      </c>
      <c r="CU59" s="18">
        <f>CT59*VLOOKUP('Données projet'!$B$13,Paramètres!$A$1:$I$89,3,0)*VLOOKUP('Données projet'!$B$13,Paramètres!$A$1:$I$89,5,0)</f>
        <v>202.40999999999997</v>
      </c>
      <c r="CV59" s="14">
        <f t="shared" si="41"/>
        <v>50.273442991661867</v>
      </c>
      <c r="CW59" s="22">
        <f t="shared" si="13"/>
        <v>440.09032987714431</v>
      </c>
      <c r="CX59" s="60">
        <f t="shared" si="14"/>
        <v>699.020145815766</v>
      </c>
      <c r="CY59" s="60">
        <f ca="1">AVERAGE(OFFSET($CX$3,0,0,'Données projet'!$E$13+1,1))-AVERAGE(OFFSET($H$3,0,0,'Données projet'!$E$13+1,1))</f>
        <v>312.59632808777332</v>
      </c>
      <c r="CZ59" s="60">
        <f t="shared" si="42"/>
        <v>302.59481222418219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4.8717948717948731</v>
      </c>
      <c r="DO59" s="13">
        <f>IF('Données projet'!$A$166&gt;35,DO58+DN59-DW58,IF(A59&lt;'Données projet'!$A$166,$DL$205^A59,IF(A59='Données projet'!$A$166,'Données projet'!$B$166,DO58+DN59-DW58)))</f>
        <v>180.51282051282047</v>
      </c>
      <c r="DP59" s="18">
        <f>DO59*VLOOKUP('Données projet'!$B$14,Paramètres!$A$1:$I$89,3,0)*VLOOKUP('Données projet'!$B$14,Paramètres!$A$1:$I$89,5,0)</f>
        <v>171.77599999999995</v>
      </c>
      <c r="DQ59" s="14">
        <f t="shared" si="43"/>
        <v>43.48754759203468</v>
      </c>
      <c r="DR59" s="22">
        <f t="shared" si="16"/>
        <v>374.91734538946031</v>
      </c>
      <c r="DS59" s="60">
        <f t="shared" si="17"/>
        <v>633.84716132808205</v>
      </c>
      <c r="DT59" s="60">
        <f ca="1">AVERAGE(OFFSET($DS$3,0,0,'Données projet'!$E$14+1,1))-AVERAGE(OFFSET($H$3,0,0,'Données projet'!$E$14+1,1))</f>
        <v>398.29746143975166</v>
      </c>
      <c r="DU59" s="60">
        <f t="shared" si="44"/>
        <v>300.63705521148802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204.6</v>
      </c>
      <c r="EK59" s="18">
        <f>EJ59*VLOOKUP('Données projet'!$B$15,Paramètres!$A$1:$I$89,3,0)*VLOOKUP('Données projet'!$B$15,Paramètres!$A$1:$I$89,5,0)</f>
        <v>197.88911999999999</v>
      </c>
      <c r="EL59" s="14">
        <f t="shared" si="45"/>
        <v>49.279974103179534</v>
      </c>
      <c r="EM59" s="22">
        <f t="shared" si="19"/>
        <v>430.48617222970438</v>
      </c>
      <c r="EN59" s="60">
        <f t="shared" si="20"/>
        <v>689.41598816832607</v>
      </c>
      <c r="EO59" s="60">
        <f ca="1">AVERAGE(OFFSET($EN$3,0,0,'Données projet'!$E$15+1,1))-AVERAGE(OFFSET($H$3,0,0,'Données projet'!$E$15+1,1))</f>
        <v>496.33873798282525</v>
      </c>
      <c r="EP59" s="60">
        <f t="shared" si="46"/>
        <v>280.25465074992246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5.1600000000000019</v>
      </c>
      <c r="FE59" s="13">
        <f>IF('Données projet'!$A$218&gt;35,FE58+FD59-FM58,IF(A59&lt;'Données projet'!$A$218,$FB$205^A59,IF(A59='Données projet'!$A$218,'Données projet'!$B$218,FE58+FD59-FM58)))</f>
        <v>237.66000000000011</v>
      </c>
      <c r="FF59" s="18">
        <f>FE59*VLOOKUP('Données projet'!$B$16,Paramètres!$A$1:$I$89,3,0)*VLOOKUP('Données projet'!$B$16,Paramètres!$A$1:$I$89,5,0)</f>
        <v>207.61977600000012</v>
      </c>
      <c r="FG59" s="14">
        <f t="shared" si="47"/>
        <v>51.415102296903406</v>
      </c>
      <c r="FH59" s="22">
        <f t="shared" si="22"/>
        <v>451.1524130337736</v>
      </c>
      <c r="FI59" s="60">
        <f t="shared" si="23"/>
        <v>710.08222897239534</v>
      </c>
      <c r="FJ59" s="60">
        <f ca="1">AVERAGE(OFFSET($FI$3,0,0,'Données projet'!$E$16+1,1))-AVERAGE(OFFSET($H$3,0,0,'Données projet'!$E$16+1,1))</f>
        <v>363.28611056308665</v>
      </c>
      <c r="FK59" s="60">
        <f t="shared" si="48"/>
        <v>389.43647559455974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5.3846153846153868</v>
      </c>
      <c r="FZ59" s="13">
        <f>IF('Données projet'!$A$244&gt;35,FZ58+FY59-GH58,IF(A59&lt;'Données projet'!$A$244,$FW$205^A59,IF(A59='Données projet'!$A$244,'Données projet'!$B$244,FZ58+FY59-GH58)))</f>
        <v>223.33333333333334</v>
      </c>
      <c r="GA59" s="18">
        <f>FZ59*VLOOKUP('Données projet'!$B$17,Paramètres!$A$1:$I$89,3,0)*VLOOKUP('Données projet'!$B$17,Paramètres!$A$1:$I$89,5,0)</f>
        <v>149.81200000000001</v>
      </c>
      <c r="GB59" s="14">
        <f t="shared" si="49"/>
        <v>38.535858828351053</v>
      </c>
      <c r="GC59" s="22">
        <f t="shared" si="25"/>
        <v>328.03918745937807</v>
      </c>
      <c r="GD59" s="60">
        <f t="shared" si="26"/>
        <v>586.96900339799981</v>
      </c>
      <c r="GE59" s="60">
        <f ca="1">AVERAGE(OFFSET($GD$3,0,0,'Données projet'!$E$17+1,1))-AVERAGE(OFFSET($H$3,0,0,'Données projet'!$E$17+1,1))</f>
        <v>344.62096650402731</v>
      </c>
      <c r="GF59" s="60">
        <f t="shared" si="50"/>
        <v>277.30931495079346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10.8</v>
      </c>
      <c r="N60" s="14">
        <f>IF('Données projet'!$A$36&gt;35,N59+M60-V59,IF(A60&lt;'Données projet'!$A$36,$K$205^A60,IF(A60='Données projet'!$A$36,'Données projet'!$B$36,N59+M60-V59)))</f>
        <v>293.60000000000002</v>
      </c>
      <c r="O60" s="14">
        <f>N60*VLOOKUP('Données projet'!$B$9,Paramètres!$A$1:$I$89,3,0)*VLOOKUP('Données projet'!$B$9,Paramètres!$A$1:$I$89,5,0)</f>
        <v>251.90880000000004</v>
      </c>
      <c r="P60" s="14">
        <f t="shared" si="33"/>
        <v>60.99450052606884</v>
      </c>
      <c r="Q60" s="22">
        <f t="shared" si="53"/>
        <v>544.97324841623663</v>
      </c>
      <c r="R60" s="60">
        <f t="shared" si="0"/>
        <v>804.4998884669144</v>
      </c>
      <c r="S60" s="60">
        <f ca="1">AVERAGE(OFFSET($R$3,0,0,'Données projet'!$E$9+1,1))-AVERAGE(OFFSET($H$3,0,0,'Données projet'!$E$9+1,1))</f>
        <v>632.26350546340541</v>
      </c>
      <c r="T60" s="60">
        <f t="shared" si="34"/>
        <v>340.45335016367915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5.1600000000000019</v>
      </c>
      <c r="AI60" s="14">
        <f>IF('Données projet'!$A$62&gt;35,AI59+AH60-AQ59,IF(A60&lt;'Données projet'!$A$62,$AF$205^A60,IF(A60='Données projet'!$A$62,'Données projet'!$B$62,AI59+AH60-AQ59)))</f>
        <v>242.82000000000011</v>
      </c>
      <c r="AJ60" s="14">
        <f>AI60*VLOOKUP('Données projet'!$B$10,Paramètres!$A$1:$I$89,3,0)*VLOOKUP('Données projet'!$B$10,Paramètres!$A$1:$I$89,5,0)</f>
        <v>193.18759200000011</v>
      </c>
      <c r="AK60" s="14">
        <f t="shared" si="35"/>
        <v>48.244000336014693</v>
      </c>
      <c r="AL60" s="22">
        <f t="shared" si="4"/>
        <v>420.49335665189238</v>
      </c>
      <c r="AM60" s="60">
        <f t="shared" si="5"/>
        <v>680.0199967025701</v>
      </c>
      <c r="AN60" s="60">
        <f ca="1">AVERAGE(OFFSET($AM$3,0,0,'Données projet'!$E$10+1,1))-AVERAGE(OFFSET($H$3,0,0,'Données projet'!$E$10+1,1))</f>
        <v>336.25341821407534</v>
      </c>
      <c r="AO60" s="60">
        <f t="shared" si="36"/>
        <v>360.3246221345039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242.82000000000011</v>
      </c>
      <c r="BE60" s="14">
        <f>BD60*VLOOKUP('Données projet'!$B$11,Paramètres!$A$1:$I$89,3,0)*VLOOKUP('Données projet'!$B$11,Paramètres!$A$1:$I$89,5,0)</f>
        <v>193.18759200000011</v>
      </c>
      <c r="BF60" s="14">
        <f t="shared" si="37"/>
        <v>48.244000336014693</v>
      </c>
      <c r="BG60" s="22">
        <f t="shared" si="7"/>
        <v>420.49335665189238</v>
      </c>
      <c r="BH60" s="60">
        <f t="shared" si="8"/>
        <v>680.0199967025701</v>
      </c>
      <c r="BI60" s="60">
        <f ca="1">AVERAGE(OFFSET($BH$3,0,0,'Données projet'!$E$11+1,1))-AVERAGE(OFFSET($H$3,0,0,'Données projet'!$E$11+1,1))</f>
        <v>336.25341821407534</v>
      </c>
      <c r="BJ60" s="60">
        <f t="shared" si="38"/>
        <v>360.3246221345039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191.99855999999997</v>
      </c>
      <c r="CA60" s="14">
        <f t="shared" si="39"/>
        <v>47.981536645873334</v>
      </c>
      <c r="CB60" s="22">
        <f t="shared" si="10"/>
        <v>417.96533499156266</v>
      </c>
      <c r="CC60" s="60">
        <f t="shared" si="11"/>
        <v>677.49197504224037</v>
      </c>
      <c r="CD60" s="60">
        <f ca="1">AVERAGE(OFFSET($CC$3,0,0,'Données projet'!$E$12+1,1))-AVERAGE(OFFSET($H$3,0,0,'Données projet'!$E$12+1,1))</f>
        <v>469.67944008675863</v>
      </c>
      <c r="CE60" s="60">
        <f t="shared" si="40"/>
        <v>266.11908070867173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268.87499999999994</v>
      </c>
      <c r="CU60" s="18">
        <f>CT60*VLOOKUP('Données projet'!$B$13,Paramètres!$A$1:$I$89,3,0)*VLOOKUP('Données projet'!$B$13,Paramètres!$A$1:$I$89,5,0)</f>
        <v>209.72249999999997</v>
      </c>
      <c r="CV60" s="14">
        <f t="shared" si="41"/>
        <v>51.874940300502296</v>
      </c>
      <c r="CW60" s="22">
        <f t="shared" si="13"/>
        <v>455.61554185670815</v>
      </c>
      <c r="CX60" s="60">
        <f t="shared" si="14"/>
        <v>715.14218190738586</v>
      </c>
      <c r="CY60" s="60">
        <f ca="1">AVERAGE(OFFSET($CX$3,0,0,'Données projet'!$E$13+1,1))-AVERAGE(OFFSET($H$3,0,0,'Données projet'!$E$13+1,1))</f>
        <v>312.59632808777332</v>
      </c>
      <c r="CZ60" s="60">
        <f t="shared" si="42"/>
        <v>302.59481222418219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4.8717948717948731</v>
      </c>
      <c r="DO60" s="13">
        <f>IF('Données projet'!$A$166&gt;35,DO59+DN60-DW59,IF(A60&lt;'Données projet'!$A$166,$DL$205^A60,IF(A60='Données projet'!$A$166,'Données projet'!$B$166,DO59+DN60-DW59)))</f>
        <v>185.38461538461533</v>
      </c>
      <c r="DP60" s="18">
        <f>DO60*VLOOKUP('Données projet'!$B$14,Paramètres!$A$1:$I$89,3,0)*VLOOKUP('Données projet'!$B$14,Paramètres!$A$1:$I$89,5,0)</f>
        <v>176.41199999999995</v>
      </c>
      <c r="DQ60" s="14">
        <f t="shared" si="43"/>
        <v>44.522989246723967</v>
      </c>
      <c r="DR60" s="22">
        <f t="shared" si="16"/>
        <v>384.79510627137751</v>
      </c>
      <c r="DS60" s="60">
        <f t="shared" si="17"/>
        <v>644.32174632205522</v>
      </c>
      <c r="DT60" s="60">
        <f ca="1">AVERAGE(OFFSET($DS$3,0,0,'Données projet'!$E$14+1,1))-AVERAGE(OFFSET($H$3,0,0,'Données projet'!$E$14+1,1))</f>
        <v>398.29746143975166</v>
      </c>
      <c r="DU60" s="60">
        <f t="shared" si="44"/>
        <v>300.63705521148802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212.2</v>
      </c>
      <c r="EK60" s="18">
        <f>EJ60*VLOOKUP('Données projet'!$B$15,Paramètres!$A$1:$I$89,3,0)*VLOOKUP('Données projet'!$B$15,Paramètres!$A$1:$I$89,5,0)</f>
        <v>205.23983999999999</v>
      </c>
      <c r="EL60" s="14">
        <f t="shared" si="45"/>
        <v>50.893986960458122</v>
      </c>
      <c r="EM60" s="22">
        <f t="shared" si="19"/>
        <v>446.0997486227979</v>
      </c>
      <c r="EN60" s="60">
        <f t="shared" si="20"/>
        <v>705.62638867347562</v>
      </c>
      <c r="EO60" s="60">
        <f ca="1">AVERAGE(OFFSET($EN$3,0,0,'Données projet'!$E$15+1,1))-AVERAGE(OFFSET($H$3,0,0,'Données projet'!$E$15+1,1))</f>
        <v>496.33873798282525</v>
      </c>
      <c r="EP60" s="60">
        <f t="shared" si="46"/>
        <v>280.25465074992246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5.1600000000000019</v>
      </c>
      <c r="FE60" s="13">
        <f>IF('Données projet'!$A$218&gt;35,FE59+FD60-FM59,IF(A60&lt;'Données projet'!$A$218,$FB$205^A60,IF(A60='Données projet'!$A$218,'Données projet'!$B$218,FE59+FD60-FM59)))</f>
        <v>242.82000000000011</v>
      </c>
      <c r="FF60" s="18">
        <f>FE60*VLOOKUP('Données projet'!$B$16,Paramètres!$A$1:$I$89,3,0)*VLOOKUP('Données projet'!$B$16,Paramètres!$A$1:$I$89,5,0)</f>
        <v>212.12755200000012</v>
      </c>
      <c r="FG60" s="14">
        <f t="shared" si="47"/>
        <v>52.400236231117169</v>
      </c>
      <c r="FH60" s="22">
        <f t="shared" si="22"/>
        <v>460.71923116919589</v>
      </c>
      <c r="FI60" s="60">
        <f t="shared" si="23"/>
        <v>720.24587121987361</v>
      </c>
      <c r="FJ60" s="60">
        <f ca="1">AVERAGE(OFFSET($FI$3,0,0,'Données projet'!$E$16+1,1))-AVERAGE(OFFSET($H$3,0,0,'Données projet'!$E$16+1,1))</f>
        <v>363.28611056308665</v>
      </c>
      <c r="FK60" s="60">
        <f t="shared" si="48"/>
        <v>389.43647559455974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5.3846153846153868</v>
      </c>
      <c r="FZ60" s="13">
        <f>IF('Données projet'!$A$244&gt;35,FZ59+FY60-GH59,IF(A60&lt;'Données projet'!$A$244,$FW$205^A60,IF(A60='Données projet'!$A$244,'Données projet'!$B$244,FZ59+FY60-GH59)))</f>
        <v>228.71794871794873</v>
      </c>
      <c r="GA60" s="18">
        <f>FZ60*VLOOKUP('Données projet'!$B$17,Paramètres!$A$1:$I$89,3,0)*VLOOKUP('Données projet'!$B$17,Paramètres!$A$1:$I$89,5,0)</f>
        <v>153.42400000000001</v>
      </c>
      <c r="GB60" s="14">
        <f t="shared" si="49"/>
        <v>39.355676847161391</v>
      </c>
      <c r="GC60" s="22">
        <f t="shared" si="25"/>
        <v>335.75793717547276</v>
      </c>
      <c r="GD60" s="60">
        <f t="shared" si="26"/>
        <v>595.28457722615053</v>
      </c>
      <c r="GE60" s="60">
        <f ca="1">AVERAGE(OFFSET($GD$3,0,0,'Données projet'!$E$17+1,1))-AVERAGE(OFFSET($H$3,0,0,'Données projet'!$E$17+1,1))</f>
        <v>344.62096650402731</v>
      </c>
      <c r="GF60" s="60">
        <f t="shared" si="50"/>
        <v>277.30931495079346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10.8</v>
      </c>
      <c r="N61" s="14">
        <f>IF('Données projet'!$A$36&gt;35,N60+M61-V60,IF(A61&lt;'Données projet'!$A$36,$K$205^A61,IF(A61='Données projet'!$A$36,'Données projet'!$B$36,N60+M61-V60)))</f>
        <v>304.40000000000003</v>
      </c>
      <c r="O61" s="14">
        <f>N61*VLOOKUP('Données projet'!$B$9,Paramètres!$A$1:$I$89,3,0)*VLOOKUP('Données projet'!$B$9,Paramètres!$A$1:$I$89,5,0)</f>
        <v>261.17520000000007</v>
      </c>
      <c r="P61" s="14">
        <f t="shared" si="33"/>
        <v>62.972817316949076</v>
      </c>
      <c r="Q61" s="22">
        <f t="shared" si="53"/>
        <v>564.55779682701973</v>
      </c>
      <c r="R61" s="60">
        <f t="shared" si="0"/>
        <v>824.67090742570815</v>
      </c>
      <c r="S61" s="60">
        <f ca="1">AVERAGE(OFFSET($R$3,0,0,'Données projet'!$E$9+1,1))-AVERAGE(OFFSET($H$3,0,0,'Données projet'!$E$9+1,1))</f>
        <v>632.26350546340541</v>
      </c>
      <c r="T61" s="60">
        <f t="shared" si="34"/>
        <v>340.45335016367915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5.1600000000000019</v>
      </c>
      <c r="AI61" s="14">
        <f>IF('Données projet'!$A$62&gt;35,AI60+AH61-AQ60,IF(A61&lt;'Données projet'!$A$62,$AF$205^A61,IF(A61='Données projet'!$A$62,'Données projet'!$B$62,AI60+AH61-AQ60)))</f>
        <v>247.9800000000001</v>
      </c>
      <c r="AJ61" s="14">
        <f>AI61*VLOOKUP('Données projet'!$B$10,Paramètres!$A$1:$I$89,3,0)*VLOOKUP('Données projet'!$B$10,Paramètres!$A$1:$I$89,5,0)</f>
        <v>197.29288800000009</v>
      </c>
      <c r="AK61" s="14">
        <f t="shared" si="35"/>
        <v>49.148755389471887</v>
      </c>
      <c r="AL61" s="22">
        <f t="shared" si="4"/>
        <v>429.219195569997</v>
      </c>
      <c r="AM61" s="60">
        <f t="shared" si="5"/>
        <v>689.33230616868536</v>
      </c>
      <c r="AN61" s="60">
        <f ca="1">AVERAGE(OFFSET($AM$3,0,0,'Données projet'!$E$10+1,1))-AVERAGE(OFFSET($H$3,0,0,'Données projet'!$E$10+1,1))</f>
        <v>336.25341821407534</v>
      </c>
      <c r="AO61" s="60">
        <f t="shared" si="36"/>
        <v>360.3246221345039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247.9800000000001</v>
      </c>
      <c r="BE61" s="14">
        <f>BD61*VLOOKUP('Données projet'!$B$11,Paramètres!$A$1:$I$89,3,0)*VLOOKUP('Données projet'!$B$11,Paramètres!$A$1:$I$89,5,0)</f>
        <v>197.29288800000009</v>
      </c>
      <c r="BF61" s="14">
        <f t="shared" si="37"/>
        <v>49.148755389471887</v>
      </c>
      <c r="BG61" s="22">
        <f t="shared" si="7"/>
        <v>429.219195569997</v>
      </c>
      <c r="BH61" s="60">
        <f t="shared" si="8"/>
        <v>689.33230616868536</v>
      </c>
      <c r="BI61" s="60">
        <f ca="1">AVERAGE(OFFSET($BH$3,0,0,'Données projet'!$E$11+1,1))-AVERAGE(OFFSET($H$3,0,0,'Données projet'!$E$11+1,1))</f>
        <v>336.25341821407534</v>
      </c>
      <c r="BJ61" s="60">
        <f t="shared" si="38"/>
        <v>360.3246221345039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198.87503999999998</v>
      </c>
      <c r="CA61" s="14">
        <f t="shared" si="39"/>
        <v>49.496854461868558</v>
      </c>
      <c r="CB61" s="22">
        <f t="shared" si="10"/>
        <v>432.58104952108766</v>
      </c>
      <c r="CC61" s="60">
        <f t="shared" si="11"/>
        <v>692.69416011977614</v>
      </c>
      <c r="CD61" s="60">
        <f ca="1">AVERAGE(OFFSET($CC$3,0,0,'Données projet'!$E$12+1,1))-AVERAGE(OFFSET($H$3,0,0,'Données projet'!$E$12+1,1))</f>
        <v>469.67944008675863</v>
      </c>
      <c r="CE61" s="60">
        <f t="shared" si="40"/>
        <v>266.11908070867173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278.24999999999994</v>
      </c>
      <c r="CU61" s="18">
        <f>CT61*VLOOKUP('Données projet'!$B$13,Paramètres!$A$1:$I$89,3,0)*VLOOKUP('Données projet'!$B$13,Paramètres!$A$1:$I$89,5,0)</f>
        <v>217.03499999999997</v>
      </c>
      <c r="CV61" s="14">
        <f t="shared" si="41"/>
        <v>53.469949591969474</v>
      </c>
      <c r="CW61" s="22">
        <f t="shared" si="13"/>
        <v>471.12945387268002</v>
      </c>
      <c r="CX61" s="60">
        <f t="shared" si="14"/>
        <v>731.2425644713685</v>
      </c>
      <c r="CY61" s="60">
        <f ca="1">AVERAGE(OFFSET($CX$3,0,0,'Données projet'!$E$13+1,1))-AVERAGE(OFFSET($H$3,0,0,'Données projet'!$E$13+1,1))</f>
        <v>312.59632808777332</v>
      </c>
      <c r="CZ61" s="60">
        <f t="shared" si="42"/>
        <v>302.59481222418219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4.8717948717948731</v>
      </c>
      <c r="DO61" s="13">
        <f>IF('Données projet'!$A$166&gt;35,DO60+DN61-DW60,IF(A61&lt;'Données projet'!$A$166,$DL$205^A61,IF(A61='Données projet'!$A$166,'Données projet'!$B$166,DO60+DN61-DW60)))</f>
        <v>190.25641025641019</v>
      </c>
      <c r="DP61" s="18">
        <f>DO61*VLOOKUP('Données projet'!$B$14,Paramètres!$A$1:$I$89,3,0)*VLOOKUP('Données projet'!$B$14,Paramètres!$A$1:$I$89,5,0)</f>
        <v>181.04799999999994</v>
      </c>
      <c r="DQ61" s="14">
        <f t="shared" si="43"/>
        <v>45.555268021687233</v>
      </c>
      <c r="DR61" s="22">
        <f t="shared" si="16"/>
        <v>394.66735847110516</v>
      </c>
      <c r="DS61" s="60">
        <f t="shared" si="17"/>
        <v>654.78046906979353</v>
      </c>
      <c r="DT61" s="60">
        <f ca="1">AVERAGE(OFFSET($DS$3,0,0,'Données projet'!$E$14+1,1))-AVERAGE(OFFSET($H$3,0,0,'Données projet'!$E$14+1,1))</f>
        <v>398.29746143975166</v>
      </c>
      <c r="DU61" s="60">
        <f t="shared" si="44"/>
        <v>300.63705521148802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219.79999999999998</v>
      </c>
      <c r="EK61" s="18">
        <f>EJ61*VLOOKUP('Données projet'!$B$15,Paramètres!$A$1:$I$89,3,0)*VLOOKUP('Données projet'!$B$15,Paramètres!$A$1:$I$89,5,0)</f>
        <v>212.59055999999998</v>
      </c>
      <c r="EL61" s="14">
        <f t="shared" si="45"/>
        <v>52.501283653296404</v>
      </c>
      <c r="EM61" s="22">
        <f t="shared" si="19"/>
        <v>461.70162769615786</v>
      </c>
      <c r="EN61" s="60">
        <f t="shared" si="20"/>
        <v>721.81473829484628</v>
      </c>
      <c r="EO61" s="60">
        <f ca="1">AVERAGE(OFFSET($EN$3,0,0,'Données projet'!$E$15+1,1))-AVERAGE(OFFSET($H$3,0,0,'Données projet'!$E$15+1,1))</f>
        <v>496.33873798282525</v>
      </c>
      <c r="EP61" s="60">
        <f t="shared" si="46"/>
        <v>280.25465074992246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5.1600000000000019</v>
      </c>
      <c r="FE61" s="13">
        <f>IF('Données projet'!$A$218&gt;35,FE60+FD61-FM60,IF(A61&lt;'Données projet'!$A$218,$FB$205^A61,IF(A61='Données projet'!$A$218,'Données projet'!$B$218,FE60+FD61-FM60)))</f>
        <v>247.9800000000001</v>
      </c>
      <c r="FF61" s="18">
        <f>FE61*VLOOKUP('Données projet'!$B$16,Paramètres!$A$1:$I$89,3,0)*VLOOKUP('Données projet'!$B$16,Paramètres!$A$1:$I$89,5,0)</f>
        <v>216.63532800000013</v>
      </c>
      <c r="FG61" s="14">
        <f t="shared" si="47"/>
        <v>53.382936218727075</v>
      </c>
      <c r="FH61" s="22">
        <f t="shared" si="22"/>
        <v>470.28181018094989</v>
      </c>
      <c r="FI61" s="60">
        <f t="shared" si="23"/>
        <v>730.39492077963837</v>
      </c>
      <c r="FJ61" s="60">
        <f ca="1">AVERAGE(OFFSET($FI$3,0,0,'Données projet'!$E$16+1,1))-AVERAGE(OFFSET($H$3,0,0,'Données projet'!$E$16+1,1))</f>
        <v>363.28611056308665</v>
      </c>
      <c r="FK61" s="60">
        <f t="shared" si="48"/>
        <v>389.43647559455974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5.3846153846153868</v>
      </c>
      <c r="FZ61" s="13">
        <f>IF('Données projet'!$A$244&gt;35,FZ60+FY61-GH60,IF(A61&lt;'Données projet'!$A$244,$FW$205^A61,IF(A61='Données projet'!$A$244,'Données projet'!$B$244,FZ60+FY61-GH60)))</f>
        <v>234.10256410256412</v>
      </c>
      <c r="GA61" s="18">
        <f>FZ61*VLOOKUP('Données projet'!$B$17,Paramètres!$A$1:$I$89,3,0)*VLOOKUP('Données projet'!$B$17,Paramètres!$A$1:$I$89,5,0)</f>
        <v>157.036</v>
      </c>
      <c r="GB61" s="14">
        <f t="shared" si="49"/>
        <v>40.17325112686504</v>
      </c>
      <c r="GC61" s="22">
        <f t="shared" si="25"/>
        <v>343.47277904595654</v>
      </c>
      <c r="GD61" s="60">
        <f t="shared" si="26"/>
        <v>603.58588964464502</v>
      </c>
      <c r="GE61" s="60">
        <f ca="1">AVERAGE(OFFSET($GD$3,0,0,'Données projet'!$E$17+1,1))-AVERAGE(OFFSET($H$3,0,0,'Données projet'!$E$17+1,1))</f>
        <v>344.62096650402731</v>
      </c>
      <c r="GF61" s="60">
        <f t="shared" si="50"/>
        <v>277.30931495079346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10.8</v>
      </c>
      <c r="N62" s="14">
        <f>IF('Données projet'!$A$36&gt;35,N61+M62-V61,IF(A62&lt;'Données projet'!$A$36,$K$205^A62,IF(A62='Données projet'!$A$36,'Données projet'!$B$36,N61+M62-V61)))</f>
        <v>315.20000000000005</v>
      </c>
      <c r="O62" s="14">
        <f>N62*VLOOKUP('Données projet'!$B$9,Paramètres!$A$1:$I$89,3,0)*VLOOKUP('Données projet'!$B$9,Paramètres!$A$1:$I$89,5,0)</f>
        <v>270.44160000000005</v>
      </c>
      <c r="P62" s="14">
        <f t="shared" si="33"/>
        <v>64.942979037482601</v>
      </c>
      <c r="Q62" s="22">
        <f t="shared" si="53"/>
        <v>584.12814182361558</v>
      </c>
      <c r="R62" s="60">
        <f t="shared" si="0"/>
        <v>844.8175490174583</v>
      </c>
      <c r="S62" s="60">
        <f ca="1">AVERAGE(OFFSET($R$3,0,0,'Données projet'!$E$9+1,1))-AVERAGE(OFFSET($H$3,0,0,'Données projet'!$E$9+1,1))</f>
        <v>632.26350546340541</v>
      </c>
      <c r="T62" s="60">
        <f t="shared" si="34"/>
        <v>340.45335016367915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5.1600000000000019</v>
      </c>
      <c r="AI62" s="14">
        <f>IF('Données projet'!$A$62&gt;35,AI61+AH62-AQ61,IF(A62&lt;'Données projet'!$A$62,$AF$205^A62,IF(A62='Données projet'!$A$62,'Données projet'!$B$62,AI61+AH62-AQ61)))</f>
        <v>253.1400000000001</v>
      </c>
      <c r="AJ62" s="14">
        <f>AI62*VLOOKUP('Données projet'!$B$10,Paramètres!$A$1:$I$89,3,0)*VLOOKUP('Données projet'!$B$10,Paramètres!$A$1:$I$89,5,0)</f>
        <v>201.39818400000007</v>
      </c>
      <c r="AK62" s="14">
        <f t="shared" si="35"/>
        <v>50.051321550931391</v>
      </c>
      <c r="AL62" s="22">
        <f t="shared" si="4"/>
        <v>437.94122216787235</v>
      </c>
      <c r="AM62" s="60">
        <f t="shared" si="5"/>
        <v>698.63062936171514</v>
      </c>
      <c r="AN62" s="60">
        <f ca="1">AVERAGE(OFFSET($AM$3,0,0,'Données projet'!$E$10+1,1))-AVERAGE(OFFSET($H$3,0,0,'Données projet'!$E$10+1,1))</f>
        <v>336.25341821407534</v>
      </c>
      <c r="AO62" s="60">
        <f t="shared" si="36"/>
        <v>360.3246221345039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253.1400000000001</v>
      </c>
      <c r="BE62" s="14">
        <f>BD62*VLOOKUP('Données projet'!$B$11,Paramètres!$A$1:$I$89,3,0)*VLOOKUP('Données projet'!$B$11,Paramètres!$A$1:$I$89,5,0)</f>
        <v>201.39818400000007</v>
      </c>
      <c r="BF62" s="14">
        <f t="shared" si="37"/>
        <v>50.051321550931391</v>
      </c>
      <c r="BG62" s="22">
        <f t="shared" si="7"/>
        <v>437.94122216787235</v>
      </c>
      <c r="BH62" s="60">
        <f t="shared" si="8"/>
        <v>698.63062936171514</v>
      </c>
      <c r="BI62" s="60">
        <f ca="1">AVERAGE(OFFSET($BH$3,0,0,'Données projet'!$E$11+1,1))-AVERAGE(OFFSET($H$3,0,0,'Données projet'!$E$11+1,1))</f>
        <v>336.25341821407534</v>
      </c>
      <c r="BJ62" s="60">
        <f t="shared" si="38"/>
        <v>360.3246221345039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205.75151999999994</v>
      </c>
      <c r="CA62" s="14">
        <f t="shared" si="39"/>
        <v>51.006084477955554</v>
      </c>
      <c r="CB62" s="22">
        <f t="shared" si="10"/>
        <v>447.18616113243911</v>
      </c>
      <c r="CC62" s="60">
        <f t="shared" si="11"/>
        <v>707.87556832628184</v>
      </c>
      <c r="CD62" s="60">
        <f ca="1">AVERAGE(OFFSET($CC$3,0,0,'Données projet'!$E$12+1,1))-AVERAGE(OFFSET($H$3,0,0,'Données projet'!$E$12+1,1))</f>
        <v>469.67944008675863</v>
      </c>
      <c r="CE62" s="60">
        <f t="shared" si="40"/>
        <v>266.11908070867173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287.62499999999994</v>
      </c>
      <c r="CU62" s="18">
        <f>CT62*VLOOKUP('Données projet'!$B$13,Paramètres!$A$1:$I$89,3,0)*VLOOKUP('Données projet'!$B$13,Paramètres!$A$1:$I$89,5,0)</f>
        <v>224.34749999999997</v>
      </c>
      <c r="CV62" s="14">
        <f t="shared" si="41"/>
        <v>55.058714525680479</v>
      </c>
      <c r="CW62" s="22">
        <f t="shared" si="13"/>
        <v>486.63249029889352</v>
      </c>
      <c r="CX62" s="60">
        <f t="shared" si="14"/>
        <v>747.3218974927363</v>
      </c>
      <c r="CY62" s="60">
        <f ca="1">AVERAGE(OFFSET($CX$3,0,0,'Données projet'!$E$13+1,1))-AVERAGE(OFFSET($H$3,0,0,'Données projet'!$E$13+1,1))</f>
        <v>312.59632808777332</v>
      </c>
      <c r="CZ62" s="60">
        <f t="shared" si="42"/>
        <v>302.59481222418219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4.8717948717948731</v>
      </c>
      <c r="DO62" s="13">
        <f>IF('Données projet'!$A$166&gt;35,DO61+DN62-DW61,IF(A62&lt;'Données projet'!$A$166,$DL$205^A62,IF(A62='Données projet'!$A$166,'Données projet'!$B$166,DO61+DN62-DW61)))</f>
        <v>195.12820512820505</v>
      </c>
      <c r="DP62" s="18">
        <f>DO62*VLOOKUP('Données projet'!$B$14,Paramètres!$A$1:$I$89,3,0)*VLOOKUP('Données projet'!$B$14,Paramètres!$A$1:$I$89,5,0)</f>
        <v>185.68399999999991</v>
      </c>
      <c r="DQ62" s="14">
        <f t="shared" si="43"/>
        <v>46.584474219718061</v>
      </c>
      <c r="DR62" s="22">
        <f t="shared" si="16"/>
        <v>404.5342592660088</v>
      </c>
      <c r="DS62" s="60">
        <f t="shared" si="17"/>
        <v>665.22366645985153</v>
      </c>
      <c r="DT62" s="60">
        <f ca="1">AVERAGE(OFFSET($DS$3,0,0,'Données projet'!$E$14+1,1))-AVERAGE(OFFSET($H$3,0,0,'Données projet'!$E$14+1,1))</f>
        <v>398.29746143975166</v>
      </c>
      <c r="DU62" s="60">
        <f t="shared" si="44"/>
        <v>300.63705521148802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227.39999999999998</v>
      </c>
      <c r="EK62" s="18">
        <f>EJ62*VLOOKUP('Données projet'!$B$15,Paramètres!$A$1:$I$89,3,0)*VLOOKUP('Données projet'!$B$15,Paramètres!$A$1:$I$89,5,0)</f>
        <v>219.94127999999995</v>
      </c>
      <c r="EL62" s="14">
        <f t="shared" si="45"/>
        <v>54.102123020446285</v>
      </c>
      <c r="EM62" s="22">
        <f t="shared" si="19"/>
        <v>477.29226026061059</v>
      </c>
      <c r="EN62" s="60">
        <f t="shared" si="20"/>
        <v>737.98166745445337</v>
      </c>
      <c r="EO62" s="60">
        <f ca="1">AVERAGE(OFFSET($EN$3,0,0,'Données projet'!$E$15+1,1))-AVERAGE(OFFSET($H$3,0,0,'Données projet'!$E$15+1,1))</f>
        <v>496.33873798282525</v>
      </c>
      <c r="EP62" s="60">
        <f t="shared" si="46"/>
        <v>280.25465074992246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5.1600000000000019</v>
      </c>
      <c r="FE62" s="13">
        <f>IF('Données projet'!$A$218&gt;35,FE61+FD62-FM61,IF(A62&lt;'Données projet'!$A$218,$FB$205^A62,IF(A62='Données projet'!$A$218,'Données projet'!$B$218,FE61+FD62-FM61)))</f>
        <v>253.1400000000001</v>
      </c>
      <c r="FF62" s="18">
        <f>FE62*VLOOKUP('Données projet'!$B$16,Paramètres!$A$1:$I$89,3,0)*VLOOKUP('Données projet'!$B$16,Paramètres!$A$1:$I$89,5,0)</f>
        <v>221.14310400000014</v>
      </c>
      <c r="FG62" s="14">
        <f t="shared" si="47"/>
        <v>54.36325874060109</v>
      </c>
      <c r="FH62" s="22">
        <f t="shared" si="22"/>
        <v>479.84024843988044</v>
      </c>
      <c r="FI62" s="60">
        <f t="shared" si="23"/>
        <v>740.52965563372322</v>
      </c>
      <c r="FJ62" s="60">
        <f ca="1">AVERAGE(OFFSET($FI$3,0,0,'Données projet'!$E$16+1,1))-AVERAGE(OFFSET($H$3,0,0,'Données projet'!$E$16+1,1))</f>
        <v>363.28611056308665</v>
      </c>
      <c r="FK62" s="60">
        <f t="shared" si="48"/>
        <v>389.43647559455974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5.3846153846153868</v>
      </c>
      <c r="FZ62" s="13">
        <f>IF('Données projet'!$A$244&gt;35,FZ61+FY62-GH61,IF(A62&lt;'Données projet'!$A$244,$FW$205^A62,IF(A62='Données projet'!$A$244,'Données projet'!$B$244,FZ61+FY62-GH61)))</f>
        <v>239.4871794871795</v>
      </c>
      <c r="GA62" s="18">
        <f>FZ62*VLOOKUP('Données projet'!$B$17,Paramètres!$A$1:$I$89,3,0)*VLOOKUP('Données projet'!$B$17,Paramètres!$A$1:$I$89,5,0)</f>
        <v>160.648</v>
      </c>
      <c r="GB62" s="14">
        <f t="shared" si="49"/>
        <v>40.988639216339969</v>
      </c>
      <c r="GC62" s="22">
        <f t="shared" si="25"/>
        <v>351.1838133017921</v>
      </c>
      <c r="GD62" s="60">
        <f t="shared" si="26"/>
        <v>611.87322049563488</v>
      </c>
      <c r="GE62" s="60">
        <f ca="1">AVERAGE(OFFSET($GD$3,0,0,'Données projet'!$E$17+1,1))-AVERAGE(OFFSET($H$3,0,0,'Données projet'!$E$17+1,1))</f>
        <v>344.62096650402731</v>
      </c>
      <c r="GF62" s="60">
        <f t="shared" si="50"/>
        <v>277.30931495079346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326</v>
      </c>
      <c r="L63" s="13">
        <f>VLOOKUP(A63,'Données projet'!$A$35:$I$55,9,0)</f>
        <v>10.8</v>
      </c>
      <c r="M63" s="13">
        <f t="array" ref="M63">INDEX(L:L,MIN(IF(ISNUMBER(L63:L259),ROW(L63:L259),"")))</f>
        <v>10.8</v>
      </c>
      <c r="N63" s="14">
        <f>IF('Données projet'!$A$36&gt;35,N62+M63-V62,IF(A63&lt;'Données projet'!$A$36,$K$205^A63,IF(A63='Données projet'!$A$36,'Données projet'!$B$36,N62+M63-V62)))</f>
        <v>326.00000000000006</v>
      </c>
      <c r="O63" s="14">
        <f>N63*VLOOKUP('Données projet'!$B$9,Paramètres!$A$1:$I$89,3,0)*VLOOKUP('Données projet'!$B$9,Paramètres!$A$1:$I$89,5,0)</f>
        <v>279.70800000000008</v>
      </c>
      <c r="P63" s="14">
        <f t="shared" si="33"/>
        <v>66.905297140324564</v>
      </c>
      <c r="Q63" s="22">
        <f t="shared" si="53"/>
        <v>603.68482585273216</v>
      </c>
      <c r="R63" s="60">
        <f t="shared" si="0"/>
        <v>864.94053218420959</v>
      </c>
      <c r="S63" s="60">
        <f ca="1">AVERAGE(OFFSET($R$3,0,0,'Données projet'!$E$9+1,1))-AVERAGE(OFFSET($H$3,0,0,'Données projet'!$E$9+1,1))</f>
        <v>632.26350546340541</v>
      </c>
      <c r="T63" s="60">
        <f t="shared" si="34"/>
        <v>340.45335016367915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56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258.3</v>
      </c>
      <c r="AG63" s="13">
        <f>VLOOKUP(A63,'Données projet'!$A$61:$I$81,9,0)</f>
        <v>5.1600000000000019</v>
      </c>
      <c r="AH63" s="13">
        <f t="array" ref="AH63">INDEX(AG:AG,MIN(IF(ISNUMBER(AG63:AG259),ROW(AG63:AG259),"")))</f>
        <v>5.1600000000000019</v>
      </c>
      <c r="AI63" s="14">
        <f>IF('Données projet'!$A$62&gt;35,AI62+AH63-AQ62,IF(A63&lt;'Données projet'!$A$62,$AF$205^A63,IF(A63='Données projet'!$A$62,'Données projet'!$B$62,AI62+AH63-AQ62)))</f>
        <v>258.30000000000013</v>
      </c>
      <c r="AJ63" s="14">
        <f>AI63*VLOOKUP('Données projet'!$B$10,Paramètres!$A$1:$I$89,3,0)*VLOOKUP('Données projet'!$B$10,Paramètres!$A$1:$I$89,5,0)</f>
        <v>205.50348000000011</v>
      </c>
      <c r="AK63" s="14">
        <f t="shared" si="35"/>
        <v>50.951748580199457</v>
      </c>
      <c r="AL63" s="22">
        <f t="shared" si="4"/>
        <v>446.65952311051416</v>
      </c>
      <c r="AM63" s="60">
        <f t="shared" si="5"/>
        <v>707.91522944199164</v>
      </c>
      <c r="AN63" s="60">
        <f ca="1">AVERAGE(OFFSET($AM$3,0,0,'Données projet'!$E$10+1,1))-AVERAGE(OFFSET($H$3,0,0,'Données projet'!$E$10+1,1))</f>
        <v>336.25341821407534</v>
      </c>
      <c r="AO63" s="60">
        <f t="shared" si="36"/>
        <v>360.3246221345039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25.200000000000003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258.3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258.30000000000013</v>
      </c>
      <c r="BE63" s="14">
        <f>BD63*VLOOKUP('Données projet'!$B$11,Paramètres!$A$1:$I$89,3,0)*VLOOKUP('Données projet'!$B$11,Paramètres!$A$1:$I$89,5,0)</f>
        <v>205.50348000000011</v>
      </c>
      <c r="BF63" s="14">
        <f t="shared" si="37"/>
        <v>50.951748580199457</v>
      </c>
      <c r="BG63" s="22">
        <f t="shared" si="7"/>
        <v>446.65952311051416</v>
      </c>
      <c r="BH63" s="60">
        <f t="shared" si="8"/>
        <v>707.91522944199164</v>
      </c>
      <c r="BI63" s="60">
        <f ca="1">AVERAGE(OFFSET($BH$3,0,0,'Données projet'!$E$11+1,1))-AVERAGE(OFFSET($H$3,0,0,'Données projet'!$E$11+1,1))</f>
        <v>336.25341821407534</v>
      </c>
      <c r="BJ63" s="60">
        <f t="shared" si="38"/>
        <v>360.3246221345039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25.200000000000003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212.62799999999999</v>
      </c>
      <c r="CA63" s="14">
        <f t="shared" si="39"/>
        <v>52.509453483719035</v>
      </c>
      <c r="CB63" s="22">
        <f t="shared" si="10"/>
        <v>461.78106481747727</v>
      </c>
      <c r="CC63" s="60">
        <f t="shared" si="11"/>
        <v>723.03677114895481</v>
      </c>
      <c r="CD63" s="60">
        <f ca="1">AVERAGE(OFFSET($CC$3,0,0,'Données projet'!$E$12+1,1))-AVERAGE(OFFSET($H$3,0,0,'Données projet'!$E$12+1,1))</f>
        <v>469.67944008675863</v>
      </c>
      <c r="CE63" s="60">
        <f t="shared" si="40"/>
        <v>266.11908070867173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296.99999999999994</v>
      </c>
      <c r="CU63" s="18">
        <f>CT63*VLOOKUP('Données projet'!$B$13,Paramètres!$A$1:$I$89,3,0)*VLOOKUP('Données projet'!$B$13,Paramètres!$A$1:$I$89,5,0)</f>
        <v>231.65999999999997</v>
      </c>
      <c r="CV63" s="14">
        <f t="shared" si="41"/>
        <v>56.641461975682766</v>
      </c>
      <c r="CW63" s="22">
        <f t="shared" si="13"/>
        <v>502.12504627431412</v>
      </c>
      <c r="CX63" s="60">
        <f t="shared" si="14"/>
        <v>763.3807526057916</v>
      </c>
      <c r="CY63" s="60">
        <f ca="1">AVERAGE(OFFSET($CX$3,0,0,'Données projet'!$E$13+1,1))-AVERAGE(OFFSET($H$3,0,0,'Données projet'!$E$13+1,1))</f>
        <v>312.59632808777332</v>
      </c>
      <c r="CZ63" s="60">
        <f t="shared" si="42"/>
        <v>302.59481222418219</v>
      </c>
      <c r="DA63" s="16">
        <f>IF(ISNA(VLOOKUP(A63,'Données projet'!$A$139:$I$159,3,0)),0,VLOOKUP(A63,'Données projet'!$A$139:$I$159,3,0))</f>
        <v>6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200</v>
      </c>
      <c r="DM63" s="13">
        <f>VLOOKUP(A63,'Données projet'!$A$165:$I$185,9,0)</f>
        <v>4.8717948717948731</v>
      </c>
      <c r="DN63" s="13">
        <f t="array" ref="DN63">INDEX(DM:DM,MIN(IF(ISNUMBER(DM63:DM259),ROW(DM63:DM259),"")))</f>
        <v>4.8717948717948731</v>
      </c>
      <c r="DO63" s="13">
        <f>IF('Données projet'!$A$166&gt;35,DO62+DN63-DW62,IF(A63&lt;'Données projet'!$A$166,$DL$205^A63,IF(A63='Données projet'!$A$166,'Données projet'!$B$166,DO62+DN63-DW62)))</f>
        <v>199.99999999999991</v>
      </c>
      <c r="DP63" s="18">
        <f>DO63*VLOOKUP('Données projet'!$B$14,Paramètres!$A$1:$I$89,3,0)*VLOOKUP('Données projet'!$B$14,Paramètres!$A$1:$I$89,5,0)</f>
        <v>190.31999999999991</v>
      </c>
      <c r="DQ63" s="14">
        <f t="shared" si="43"/>
        <v>47.61069337740188</v>
      </c>
      <c r="DR63" s="22">
        <f t="shared" si="16"/>
        <v>414.39595763230813</v>
      </c>
      <c r="DS63" s="60">
        <f t="shared" si="17"/>
        <v>675.65166396378561</v>
      </c>
      <c r="DT63" s="60">
        <f ca="1">AVERAGE(OFFSET($DS$3,0,0,'Données projet'!$E$14+1,1))-AVERAGE(OFFSET($H$3,0,0,'Données projet'!$E$14+1,1))</f>
        <v>398.29746143975166</v>
      </c>
      <c r="DU63" s="60">
        <f t="shared" si="44"/>
        <v>300.63705521148802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29.487179487179485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235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234.99999999999997</v>
      </c>
      <c r="EK63" s="18">
        <f>EJ63*VLOOKUP('Données projet'!$B$15,Paramètres!$A$1:$I$89,3,0)*VLOOKUP('Données projet'!$B$15,Paramètres!$A$1:$I$89,5,0)</f>
        <v>227.292</v>
      </c>
      <c r="EL63" s="14">
        <f t="shared" si="45"/>
        <v>55.6967456174837</v>
      </c>
      <c r="EM63" s="22">
        <f t="shared" si="19"/>
        <v>492.87206528378402</v>
      </c>
      <c r="EN63" s="60">
        <f t="shared" si="20"/>
        <v>754.12777161526151</v>
      </c>
      <c r="EO63" s="60">
        <f ca="1">AVERAGE(OFFSET($EN$3,0,0,'Données projet'!$E$15+1,1))-AVERAGE(OFFSET($H$3,0,0,'Données projet'!$E$15+1,1))</f>
        <v>496.33873798282525</v>
      </c>
      <c r="EP63" s="60">
        <f t="shared" si="46"/>
        <v>280.25465074992246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42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258.3</v>
      </c>
      <c r="FC63" s="13">
        <f>VLOOKUP(A63,'Données projet'!$A$217:$I$237,9,0)</f>
        <v>5.1600000000000019</v>
      </c>
      <c r="FD63" s="13">
        <f t="array" ref="FD63">INDEX(FC:FC,MIN(IF(ISNUMBER(FC63:FC259),ROW(FC63:FC259),"")))</f>
        <v>5.1600000000000019</v>
      </c>
      <c r="FE63" s="13">
        <f>IF('Données projet'!$A$218&gt;35,FE62+FD63-FM62,IF(A63&lt;'Données projet'!$A$218,$FB$205^A63,IF(A63='Données projet'!$A$218,'Données projet'!$B$218,FE62+FD63-FM62)))</f>
        <v>258.30000000000013</v>
      </c>
      <c r="FF63" s="18">
        <f>FE63*VLOOKUP('Données projet'!$B$16,Paramètres!$A$1:$I$89,3,0)*VLOOKUP('Données projet'!$B$16,Paramètres!$A$1:$I$89,5,0)</f>
        <v>225.65088000000014</v>
      </c>
      <c r="FG63" s="14">
        <f t="shared" si="47"/>
        <v>55.341257843368382</v>
      </c>
      <c r="FH63" s="22">
        <f t="shared" si="22"/>
        <v>489.39464007720022</v>
      </c>
      <c r="FI63" s="60">
        <f t="shared" si="23"/>
        <v>750.65034640867771</v>
      </c>
      <c r="FJ63" s="60">
        <f ca="1">AVERAGE(OFFSET($FI$3,0,0,'Données projet'!$E$16+1,1))-AVERAGE(OFFSET($H$3,0,0,'Données projet'!$E$16+1,1))</f>
        <v>363.28611056308665</v>
      </c>
      <c r="FK63" s="60">
        <f t="shared" si="48"/>
        <v>389.43647559455974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25.200000000000003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244.87179487179486</v>
      </c>
      <c r="FX63" s="13">
        <f>VLOOKUP(A63,'Données projet'!$A$243:$I$263,9,0)</f>
        <v>5.3846153846153868</v>
      </c>
      <c r="FY63" s="13">
        <f t="array" ref="FY63">INDEX(FX:FX,MIN(IF(ISNUMBER(FX63:FX259),ROW(FX63:FX259),"")))</f>
        <v>5.3846153846153868</v>
      </c>
      <c r="FZ63" s="13">
        <f>IF('Données projet'!$A$244&gt;35,FZ62+FY63-GH62,IF(A63&lt;'Données projet'!$A$244,$FW$205^A63,IF(A63='Données projet'!$A$244,'Données projet'!$B$244,FZ62+FY63-GH62)))</f>
        <v>244.87179487179489</v>
      </c>
      <c r="GA63" s="18">
        <f>FZ63*VLOOKUP('Données projet'!$B$17,Paramètres!$A$1:$I$89,3,0)*VLOOKUP('Données projet'!$B$17,Paramètres!$A$1:$I$89,5,0)</f>
        <v>164.26000000000002</v>
      </c>
      <c r="GB63" s="14">
        <f t="shared" si="49"/>
        <v>41.801895928887475</v>
      </c>
      <c r="GC63" s="22">
        <f t="shared" si="25"/>
        <v>358.89113540947909</v>
      </c>
      <c r="GD63" s="60">
        <f t="shared" si="26"/>
        <v>620.14684174095657</v>
      </c>
      <c r="GE63" s="60">
        <f ca="1">AVERAGE(OFFSET($GD$3,0,0,'Données projet'!$E$17+1,1))-AVERAGE(OFFSET($H$3,0,0,'Données projet'!$E$17+1,1))</f>
        <v>344.62096650402731</v>
      </c>
      <c r="GF63" s="60">
        <f t="shared" si="50"/>
        <v>277.30931495079346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30.128205128205128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10.4</v>
      </c>
      <c r="N64" s="14">
        <f>IF('Données projet'!$A$36&gt;35,N63+M64-V63,IF(A64&lt;'Données projet'!$A$36,$K$205^A64,IF(A64='Données projet'!$A$36,'Données projet'!$B$36,N63+M64-V63)))</f>
        <v>280.40000000000003</v>
      </c>
      <c r="O64" s="14">
        <f>N64*VLOOKUP('Données projet'!$B$9,Paramètres!$A$1:$I$89,3,0)*VLOOKUP('Données projet'!$B$9,Paramètres!$A$1:$I$89,5,0)</f>
        <v>240.58320000000006</v>
      </c>
      <c r="P64" s="14">
        <f t="shared" si="33"/>
        <v>58.564991073340046</v>
      </c>
      <c r="Q64" s="22">
        <f t="shared" si="53"/>
        <v>521.01643278606741</v>
      </c>
      <c r="R64" s="60">
        <f t="shared" si="0"/>
        <v>782.82861423119675</v>
      </c>
      <c r="S64" s="60">
        <f ca="1">AVERAGE(OFFSET($R$3,0,0,'Données projet'!$E$9+1,1))-AVERAGE(OFFSET($H$3,0,0,'Données projet'!$E$9+1,1))</f>
        <v>632.26350546340541</v>
      </c>
      <c r="T64" s="60">
        <f t="shared" si="34"/>
        <v>340.45335016367915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4.3399999999999981</v>
      </c>
      <c r="AI64" s="14">
        <f>IF('Données projet'!$A$62&gt;35,AI63+AH64-AQ63,IF(A64&lt;'Données projet'!$A$62,$AF$205^A64,IF(A64='Données projet'!$A$62,'Données projet'!$B$62,AI63+AH64-AQ63)))</f>
        <v>237.44000000000011</v>
      </c>
      <c r="AJ64" s="14">
        <f>AI64*VLOOKUP('Données projet'!$B$10,Paramètres!$A$1:$I$89,3,0)*VLOOKUP('Données projet'!$B$10,Paramètres!$A$1:$I$89,5,0)</f>
        <v>188.90726400000011</v>
      </c>
      <c r="AK64" s="14">
        <f t="shared" si="35"/>
        <v>47.298283397901834</v>
      </c>
      <c r="AL64" s="22">
        <f t="shared" si="4"/>
        <v>411.39132838467918</v>
      </c>
      <c r="AM64" s="60">
        <f t="shared" si="5"/>
        <v>673.20350982980858</v>
      </c>
      <c r="AN64" s="60">
        <f ca="1">AVERAGE(OFFSET($AM$3,0,0,'Données projet'!$E$10+1,1))-AVERAGE(OFFSET($H$3,0,0,'Données projet'!$E$10+1,1))</f>
        <v>336.25341821407534</v>
      </c>
      <c r="AO64" s="60">
        <f t="shared" si="36"/>
        <v>360.3246221345039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4.3399999999999981</v>
      </c>
      <c r="BD64" s="13">
        <f>IF('Données projet'!$A$88&gt;35,BD63+BC64-BL63,IF(A64&lt;'Données projet'!$A$88,$BA$205^A64,IF(A64='Données projet'!$A$88,'Données projet'!$B$88,BD63+BC64-BL63)))</f>
        <v>237.44000000000011</v>
      </c>
      <c r="BE64" s="14">
        <f>BD64*VLOOKUP('Données projet'!$B$11,Paramètres!$A$1:$I$89,3,0)*VLOOKUP('Données projet'!$B$11,Paramètres!$A$1:$I$89,5,0)</f>
        <v>188.90726400000011</v>
      </c>
      <c r="BF64" s="14">
        <f t="shared" si="37"/>
        <v>47.298283397901834</v>
      </c>
      <c r="BG64" s="22">
        <f t="shared" si="7"/>
        <v>411.39132838467918</v>
      </c>
      <c r="BH64" s="60">
        <f t="shared" si="8"/>
        <v>673.20350982980858</v>
      </c>
      <c r="BI64" s="60">
        <f ca="1">AVERAGE(OFFSET($BH$3,0,0,'Données projet'!$E$11+1,1))-AVERAGE(OFFSET($H$3,0,0,'Données projet'!$E$11+1,1))</f>
        <v>336.25341821407534</v>
      </c>
      <c r="BJ64" s="60">
        <f t="shared" si="38"/>
        <v>360.3246221345039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181.14095999999995</v>
      </c>
      <c r="CA64" s="14">
        <f t="shared" si="39"/>
        <v>45.575935320610945</v>
      </c>
      <c r="CB64" s="22">
        <f t="shared" si="10"/>
        <v>394.86525935006392</v>
      </c>
      <c r="CC64" s="60">
        <f t="shared" si="11"/>
        <v>656.67744079519321</v>
      </c>
      <c r="CD64" s="60">
        <f ca="1">AVERAGE(OFFSET($CC$3,0,0,'Données projet'!$E$12+1,1))-AVERAGE(OFFSET($H$3,0,0,'Données projet'!$E$12+1,1))</f>
        <v>469.67944008675863</v>
      </c>
      <c r="CE64" s="60">
        <f t="shared" si="40"/>
        <v>266.11908070867173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258.66666666666663</v>
      </c>
      <c r="CU64" s="18">
        <f>CT64*VLOOKUP('Données projet'!$B$13,Paramètres!$A$1:$I$89,3,0)*VLOOKUP('Données projet'!$B$13,Paramètres!$A$1:$I$89,5,0)</f>
        <v>201.76</v>
      </c>
      <c r="CV64" s="14">
        <f t="shared" si="41"/>
        <v>50.130765000424212</v>
      </c>
      <c r="CW64" s="22">
        <f t="shared" si="13"/>
        <v>438.70974904240546</v>
      </c>
      <c r="CX64" s="60">
        <f t="shared" si="14"/>
        <v>700.52193048753475</v>
      </c>
      <c r="CY64" s="60">
        <f ca="1">AVERAGE(OFFSET($CX$3,0,0,'Données projet'!$E$13+1,1))-AVERAGE(OFFSET($H$3,0,0,'Données projet'!$E$13+1,1))</f>
        <v>312.59632808777332</v>
      </c>
      <c r="CZ64" s="60">
        <f t="shared" si="42"/>
        <v>302.59481222418219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4.6153846153846132</v>
      </c>
      <c r="DO64" s="13">
        <f>IF('Données projet'!$A$166&gt;35,DO63+DN64-DW63,IF(A64&lt;'Données projet'!$A$166,$DL$205^A64,IF(A64='Données projet'!$A$166,'Données projet'!$B$166,DO63+DN64-DW63)))</f>
        <v>175.12820512820505</v>
      </c>
      <c r="DP64" s="18">
        <f>DO64*VLOOKUP('Données projet'!$B$14,Paramètres!$A$1:$I$89,3,0)*VLOOKUP('Données projet'!$B$14,Paramètres!$A$1:$I$89,5,0)</f>
        <v>166.65199999999993</v>
      </c>
      <c r="DQ64" s="14">
        <f t="shared" si="43"/>
        <v>42.339317127801309</v>
      </c>
      <c r="DR64" s="22">
        <f t="shared" si="16"/>
        <v>363.99321066425381</v>
      </c>
      <c r="DS64" s="60">
        <f t="shared" si="17"/>
        <v>625.80539210938309</v>
      </c>
      <c r="DT64" s="60">
        <f ca="1">AVERAGE(OFFSET($DS$3,0,0,'Données projet'!$E$14+1,1))-AVERAGE(OFFSET($H$3,0,0,'Données projet'!$E$14+1,1))</f>
        <v>398.29746143975166</v>
      </c>
      <c r="DU64" s="60">
        <f t="shared" si="44"/>
        <v>300.63705521148802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200.19999999999996</v>
      </c>
      <c r="EK64" s="18">
        <f>EJ64*VLOOKUP('Données projet'!$B$15,Paramètres!$A$1:$I$89,3,0)*VLOOKUP('Données projet'!$B$15,Paramètres!$A$1:$I$89,5,0)</f>
        <v>193.63343999999998</v>
      </c>
      <c r="EL64" s="14">
        <f t="shared" si="45"/>
        <v>48.342367086681229</v>
      </c>
      <c r="EM64" s="22">
        <f t="shared" si="19"/>
        <v>421.44119734263637</v>
      </c>
      <c r="EN64" s="60">
        <f t="shared" si="20"/>
        <v>683.25337878776577</v>
      </c>
      <c r="EO64" s="60">
        <f ca="1">AVERAGE(OFFSET($EN$3,0,0,'Données projet'!$E$15+1,1))-AVERAGE(OFFSET($H$3,0,0,'Données projet'!$E$15+1,1))</f>
        <v>496.33873798282525</v>
      </c>
      <c r="EP64" s="60">
        <f t="shared" si="46"/>
        <v>280.25465074992246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4.3399999999999981</v>
      </c>
      <c r="FE64" s="13">
        <f>IF('Données projet'!$A$218&gt;35,FE63+FD64-FM63,IF(A64&lt;'Données projet'!$A$218,$FB$205^A64,IF(A64='Données projet'!$A$218,'Données projet'!$B$218,FE63+FD64-FM63)))</f>
        <v>237.44000000000011</v>
      </c>
      <c r="FF64" s="18">
        <f>FE64*VLOOKUP('Données projet'!$B$16,Paramètres!$A$1:$I$89,3,0)*VLOOKUP('Données projet'!$B$16,Paramètres!$A$1:$I$89,5,0)</f>
        <v>207.42758400000014</v>
      </c>
      <c r="FG64" s="14">
        <f t="shared" si="47"/>
        <v>51.373045479526681</v>
      </c>
      <c r="FH64" s="22">
        <f t="shared" si="22"/>
        <v>450.74442967684257</v>
      </c>
      <c r="FI64" s="60">
        <f t="shared" si="23"/>
        <v>712.55661112197186</v>
      </c>
      <c r="FJ64" s="60">
        <f ca="1">AVERAGE(OFFSET($FI$3,0,0,'Données projet'!$E$16+1,1))-AVERAGE(OFFSET($H$3,0,0,'Données projet'!$E$16+1,1))</f>
        <v>363.28611056308665</v>
      </c>
      <c r="FK64" s="60">
        <f t="shared" si="48"/>
        <v>389.43647559455974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5.1282051282051331</v>
      </c>
      <c r="FZ64" s="13">
        <f>IF('Données projet'!$A$244&gt;35,FZ63+FY64-GH63,IF(A64&lt;'Données projet'!$A$244,$FW$205^A64,IF(A64='Données projet'!$A$244,'Données projet'!$B$244,FZ63+FY64-GH63)))</f>
        <v>219.87179487179489</v>
      </c>
      <c r="GA64" s="18">
        <f>FZ64*VLOOKUP('Données projet'!$B$17,Paramètres!$A$1:$I$89,3,0)*VLOOKUP('Données projet'!$B$17,Paramètres!$A$1:$I$89,5,0)</f>
        <v>147.49</v>
      </c>
      <c r="GB64" s="14">
        <f t="shared" si="49"/>
        <v>38.007620116459833</v>
      </c>
      <c r="GC64" s="22">
        <f t="shared" si="25"/>
        <v>323.07502170283419</v>
      </c>
      <c r="GD64" s="60">
        <f t="shared" si="26"/>
        <v>584.88720314796353</v>
      </c>
      <c r="GE64" s="60">
        <f ca="1">AVERAGE(OFFSET($GD$3,0,0,'Données projet'!$E$17+1,1))-AVERAGE(OFFSET($H$3,0,0,'Données projet'!$E$17+1,1))</f>
        <v>344.62096650402731</v>
      </c>
      <c r="GF64" s="60">
        <f t="shared" si="50"/>
        <v>277.30931495079346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10.4</v>
      </c>
      <c r="N65" s="14">
        <f>IF('Données projet'!$A$36&gt;35,N64+M65-V64,IF(A65&lt;'Données projet'!$A$36,$K$205^A65,IF(A65='Données projet'!$A$36,'Données projet'!$B$36,N64+M65-V64)))</f>
        <v>290.8</v>
      </c>
      <c r="O65" s="14">
        <f>N65*VLOOKUP('Données projet'!$B$9,Paramètres!$A$1:$I$89,3,0)*VLOOKUP('Données projet'!$B$9,Paramètres!$A$1:$I$89,5,0)</f>
        <v>249.50640000000004</v>
      </c>
      <c r="P65" s="14">
        <f t="shared" si="33"/>
        <v>60.480231686761137</v>
      </c>
      <c r="Q65" s="22">
        <f t="shared" si="53"/>
        <v>539.89338352110906</v>
      </c>
      <c r="R65" s="60">
        <f t="shared" si="0"/>
        <v>802.25238648076038</v>
      </c>
      <c r="S65" s="60">
        <f ca="1">AVERAGE(OFFSET($R$3,0,0,'Données projet'!$E$9+1,1))-AVERAGE(OFFSET($H$3,0,0,'Données projet'!$E$9+1,1))</f>
        <v>632.26350546340541</v>
      </c>
      <c r="T65" s="60">
        <f t="shared" si="34"/>
        <v>340.45335016367915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4.3399999999999981</v>
      </c>
      <c r="AI65" s="14">
        <f>IF('Données projet'!$A$62&gt;35,AI64+AH65-AQ64,IF(A65&lt;'Données projet'!$A$62,$AF$205^A65,IF(A65='Données projet'!$A$62,'Données projet'!$B$62,AI64+AH65-AQ64)))</f>
        <v>241.78000000000011</v>
      </c>
      <c r="AJ65" s="14">
        <f>AI65*VLOOKUP('Données projet'!$B$10,Paramètres!$A$1:$I$89,3,0)*VLOOKUP('Données projet'!$B$10,Paramètres!$A$1:$I$89,5,0)</f>
        <v>192.3601680000001</v>
      </c>
      <c r="AK65" s="14">
        <f t="shared" si="35"/>
        <v>48.061376979759274</v>
      </c>
      <c r="AL65" s="22">
        <f t="shared" si="4"/>
        <v>418.73419083974755</v>
      </c>
      <c r="AM65" s="60">
        <f t="shared" si="5"/>
        <v>681.09319379939893</v>
      </c>
      <c r="AN65" s="60">
        <f ca="1">AVERAGE(OFFSET($AM$3,0,0,'Données projet'!$E$10+1,1))-AVERAGE(OFFSET($H$3,0,0,'Données projet'!$E$10+1,1))</f>
        <v>336.25341821407534</v>
      </c>
      <c r="AO65" s="60">
        <f t="shared" si="36"/>
        <v>360.3246221345039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4.3399999999999981</v>
      </c>
      <c r="BD65" s="13">
        <f>IF('Données projet'!$A$88&gt;35,BD64+BC65-BL64,IF(A65&lt;'Données projet'!$A$88,$BA$205^A65,IF(A65='Données projet'!$A$88,'Données projet'!$B$88,BD64+BC65-BL64)))</f>
        <v>241.78000000000011</v>
      </c>
      <c r="BE65" s="14">
        <f>BD65*VLOOKUP('Données projet'!$B$11,Paramètres!$A$1:$I$89,3,0)*VLOOKUP('Données projet'!$B$11,Paramètres!$A$1:$I$89,5,0)</f>
        <v>192.3601680000001</v>
      </c>
      <c r="BF65" s="14">
        <f t="shared" si="37"/>
        <v>48.061376979759274</v>
      </c>
      <c r="BG65" s="22">
        <f t="shared" si="7"/>
        <v>418.73419083974755</v>
      </c>
      <c r="BH65" s="60">
        <f t="shared" si="8"/>
        <v>681.09319379939893</v>
      </c>
      <c r="BI65" s="60">
        <f ca="1">AVERAGE(OFFSET($BH$3,0,0,'Données projet'!$E$11+1,1))-AVERAGE(OFFSET($H$3,0,0,'Données projet'!$E$11+1,1))</f>
        <v>336.25341821407534</v>
      </c>
      <c r="BJ65" s="60">
        <f t="shared" si="38"/>
        <v>360.3246221345039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187.65551999999994</v>
      </c>
      <c r="CA65" s="14">
        <f t="shared" si="39"/>
        <v>47.021247649900147</v>
      </c>
      <c r="CB65" s="22">
        <f t="shared" si="10"/>
        <v>408.72870365690932</v>
      </c>
      <c r="CC65" s="60">
        <f t="shared" si="11"/>
        <v>671.08770661656058</v>
      </c>
      <c r="CD65" s="60">
        <f ca="1">AVERAGE(OFFSET($CC$3,0,0,'Données projet'!$E$12+1,1))-AVERAGE(OFFSET($H$3,0,0,'Données projet'!$E$12+1,1))</f>
        <v>469.67944008675863</v>
      </c>
      <c r="CE65" s="60">
        <f t="shared" si="40"/>
        <v>266.11908070867173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267.33333333333331</v>
      </c>
      <c r="CU65" s="18">
        <f>CT65*VLOOKUP('Données projet'!$B$13,Paramètres!$A$1:$I$89,3,0)*VLOOKUP('Données projet'!$B$13,Paramètres!$A$1:$I$89,5,0)</f>
        <v>208.51999999999998</v>
      </c>
      <c r="CV65" s="14">
        <f t="shared" si="41"/>
        <v>51.612035456318509</v>
      </c>
      <c r="CW65" s="22">
        <f t="shared" si="13"/>
        <v>453.06329508642131</v>
      </c>
      <c r="CX65" s="60">
        <f t="shared" si="14"/>
        <v>715.42229804607268</v>
      </c>
      <c r="CY65" s="60">
        <f ca="1">AVERAGE(OFFSET($CX$3,0,0,'Données projet'!$E$13+1,1))-AVERAGE(OFFSET($H$3,0,0,'Données projet'!$E$13+1,1))</f>
        <v>312.59632808777332</v>
      </c>
      <c r="CZ65" s="60">
        <f t="shared" si="42"/>
        <v>302.59481222418219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4.6153846153846132</v>
      </c>
      <c r="DO65" s="13">
        <f>IF('Données projet'!$A$166&gt;35,DO64+DN65-DW64,IF(A65&lt;'Données projet'!$A$166,$DL$205^A65,IF(A65='Données projet'!$A$166,'Données projet'!$B$166,DO64+DN65-DW64)))</f>
        <v>179.74358974358967</v>
      </c>
      <c r="DP65" s="18">
        <f>DO65*VLOOKUP('Données projet'!$B$14,Paramètres!$A$1:$I$89,3,0)*VLOOKUP('Données projet'!$B$14,Paramètres!$A$1:$I$89,5,0)</f>
        <v>171.04399999999993</v>
      </c>
      <c r="DQ65" s="14">
        <f t="shared" si="43"/>
        <v>43.32376147477413</v>
      </c>
      <c r="DR65" s="22">
        <f t="shared" si="16"/>
        <v>373.35718456856483</v>
      </c>
      <c r="DS65" s="60">
        <f t="shared" si="17"/>
        <v>635.7161875282161</v>
      </c>
      <c r="DT65" s="60">
        <f ca="1">AVERAGE(OFFSET($DS$3,0,0,'Données projet'!$E$14+1,1))-AVERAGE(OFFSET($H$3,0,0,'Données projet'!$E$14+1,1))</f>
        <v>398.29746143975166</v>
      </c>
      <c r="DU65" s="60">
        <f t="shared" si="44"/>
        <v>300.63705521148802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207.39999999999995</v>
      </c>
      <c r="EK65" s="18">
        <f>EJ65*VLOOKUP('Données projet'!$B$15,Paramètres!$A$1:$I$89,3,0)*VLOOKUP('Données projet'!$B$15,Paramètres!$A$1:$I$89,5,0)</f>
        <v>200.59727999999996</v>
      </c>
      <c r="EL65" s="14">
        <f t="shared" si="45"/>
        <v>49.875409002022977</v>
      </c>
      <c r="EM65" s="22">
        <f t="shared" si="19"/>
        <v>436.23993334518991</v>
      </c>
      <c r="EN65" s="60">
        <f t="shared" si="20"/>
        <v>698.59893630484123</v>
      </c>
      <c r="EO65" s="60">
        <f ca="1">AVERAGE(OFFSET($EN$3,0,0,'Données projet'!$E$15+1,1))-AVERAGE(OFFSET($H$3,0,0,'Données projet'!$E$15+1,1))</f>
        <v>496.33873798282525</v>
      </c>
      <c r="EP65" s="60">
        <f t="shared" si="46"/>
        <v>280.25465074992246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4.3399999999999981</v>
      </c>
      <c r="FE65" s="13">
        <f>IF('Données projet'!$A$218&gt;35,FE64+FD65-FM64,IF(A65&lt;'Données projet'!$A$218,$FB$205^A65,IF(A65='Données projet'!$A$218,'Données projet'!$B$218,FE64+FD65-FM64)))</f>
        <v>241.78000000000011</v>
      </c>
      <c r="FF65" s="18">
        <f>FE65*VLOOKUP('Données projet'!$B$16,Paramètres!$A$1:$I$89,3,0)*VLOOKUP('Données projet'!$B$16,Paramètres!$A$1:$I$89,5,0)</f>
        <v>211.21900800000012</v>
      </c>
      <c r="FG65" s="14">
        <f t="shared" si="47"/>
        <v>52.201879814931679</v>
      </c>
      <c r="FH65" s="22">
        <f t="shared" si="22"/>
        <v>458.79137961100622</v>
      </c>
      <c r="FI65" s="60">
        <f t="shared" si="23"/>
        <v>721.15038257065748</v>
      </c>
      <c r="FJ65" s="60">
        <f ca="1">AVERAGE(OFFSET($FI$3,0,0,'Données projet'!$E$16+1,1))-AVERAGE(OFFSET($H$3,0,0,'Données projet'!$E$16+1,1))</f>
        <v>363.28611056308665</v>
      </c>
      <c r="FK65" s="60">
        <f t="shared" si="48"/>
        <v>389.43647559455974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5.1282051282051331</v>
      </c>
      <c r="FZ65" s="13">
        <f>IF('Données projet'!$A$244&gt;35,FZ64+FY65-GH64,IF(A65&lt;'Données projet'!$A$244,$FW$205^A65,IF(A65='Données projet'!$A$244,'Données projet'!$B$244,FZ64+FY65-GH64)))</f>
        <v>225.00000000000003</v>
      </c>
      <c r="GA65" s="18">
        <f>FZ65*VLOOKUP('Données projet'!$B$17,Paramètres!$A$1:$I$89,3,0)*VLOOKUP('Données projet'!$B$17,Paramètres!$A$1:$I$89,5,0)</f>
        <v>150.93000000000004</v>
      </c>
      <c r="GB65" s="14">
        <f t="shared" si="49"/>
        <v>38.789855371379076</v>
      </c>
      <c r="GC65" s="22">
        <f t="shared" si="25"/>
        <v>330.42874810515195</v>
      </c>
      <c r="GD65" s="60">
        <f t="shared" si="26"/>
        <v>592.78775106480327</v>
      </c>
      <c r="GE65" s="60">
        <f ca="1">AVERAGE(OFFSET($GD$3,0,0,'Données projet'!$E$17+1,1))-AVERAGE(OFFSET($H$3,0,0,'Données projet'!$E$17+1,1))</f>
        <v>344.62096650402731</v>
      </c>
      <c r="GF65" s="60">
        <f t="shared" si="50"/>
        <v>277.30931495079346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10.4</v>
      </c>
      <c r="N66" s="14">
        <f>IF('Données projet'!$A$36&gt;35,N65+M66-V65,IF(A66&lt;'Données projet'!$A$36,$K$205^A66,IF(A66='Données projet'!$A$36,'Données projet'!$B$36,N65+M66-V65)))</f>
        <v>301.2</v>
      </c>
      <c r="O66" s="14">
        <f>N66*VLOOKUP('Données projet'!$B$9,Paramètres!$A$1:$I$89,3,0)*VLOOKUP('Données projet'!$B$9,Paramètres!$A$1:$I$89,5,0)</f>
        <v>258.42959999999999</v>
      </c>
      <c r="P66" s="14">
        <f t="shared" si="33"/>
        <v>62.387514199596417</v>
      </c>
      <c r="Q66" s="22">
        <f t="shared" si="53"/>
        <v>558.75647389763037</v>
      </c>
      <c r="R66" s="60">
        <f t="shared" si="0"/>
        <v>821.65281224103649</v>
      </c>
      <c r="S66" s="60">
        <f ca="1">AVERAGE(OFFSET($R$3,0,0,'Données projet'!$E$9+1,1))-AVERAGE(OFFSET($H$3,0,0,'Données projet'!$E$9+1,1))</f>
        <v>632.26350546340541</v>
      </c>
      <c r="T66" s="60">
        <f t="shared" si="34"/>
        <v>340.45335016367915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4.3399999999999981</v>
      </c>
      <c r="AI66" s="14">
        <f>IF('Données projet'!$A$62&gt;35,AI65+AH66-AQ65,IF(A66&lt;'Données projet'!$A$62,$AF$205^A66,IF(A66='Données projet'!$A$62,'Données projet'!$B$62,AI65+AH66-AQ65)))</f>
        <v>246.12000000000012</v>
      </c>
      <c r="AJ66" s="14">
        <f>AI66*VLOOKUP('Données projet'!$B$10,Paramètres!$A$1:$I$89,3,0)*VLOOKUP('Données projet'!$B$10,Paramètres!$A$1:$I$89,5,0)</f>
        <v>195.81307200000012</v>
      </c>
      <c r="AK66" s="14">
        <f t="shared" si="35"/>
        <v>48.822877725242478</v>
      </c>
      <c r="AL66" s="22">
        <f t="shared" si="4"/>
        <v>426.07427910479754</v>
      </c>
      <c r="AM66" s="60">
        <f t="shared" si="5"/>
        <v>688.97061744820371</v>
      </c>
      <c r="AN66" s="60">
        <f ca="1">AVERAGE(OFFSET($AM$3,0,0,'Données projet'!$E$10+1,1))-AVERAGE(OFFSET($H$3,0,0,'Données projet'!$E$10+1,1))</f>
        <v>336.25341821407534</v>
      </c>
      <c r="AO66" s="60">
        <f t="shared" si="36"/>
        <v>360.3246221345039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4.3399999999999981</v>
      </c>
      <c r="BD66" s="13">
        <f>IF('Données projet'!$A$88&gt;35,BD65+BC66-BL65,IF(A66&lt;'Données projet'!$A$88,$BA$205^A66,IF(A66='Données projet'!$A$88,'Données projet'!$B$88,BD65+BC66-BL65)))</f>
        <v>246.12000000000012</v>
      </c>
      <c r="BE66" s="14">
        <f>BD66*VLOOKUP('Données projet'!$B$11,Paramètres!$A$1:$I$89,3,0)*VLOOKUP('Données projet'!$B$11,Paramètres!$A$1:$I$89,5,0)</f>
        <v>195.81307200000012</v>
      </c>
      <c r="BF66" s="14">
        <f t="shared" si="37"/>
        <v>48.822877725242478</v>
      </c>
      <c r="BG66" s="22">
        <f t="shared" si="7"/>
        <v>426.07427910479754</v>
      </c>
      <c r="BH66" s="60">
        <f t="shared" si="8"/>
        <v>688.97061744820371</v>
      </c>
      <c r="BI66" s="60">
        <f ca="1">AVERAGE(OFFSET($BH$3,0,0,'Données projet'!$E$11+1,1))-AVERAGE(OFFSET($H$3,0,0,'Données projet'!$E$11+1,1))</f>
        <v>336.25341821407534</v>
      </c>
      <c r="BJ66" s="60">
        <f t="shared" si="38"/>
        <v>360.3246221345039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194.17007999999996</v>
      </c>
      <c r="CA66" s="14">
        <f t="shared" si="39"/>
        <v>48.460730182351035</v>
      </c>
      <c r="CB66" s="22">
        <f t="shared" si="10"/>
        <v>422.5819944009279</v>
      </c>
      <c r="CC66" s="60">
        <f t="shared" si="11"/>
        <v>685.47833274433401</v>
      </c>
      <c r="CD66" s="60">
        <f ca="1">AVERAGE(OFFSET($CC$3,0,0,'Données projet'!$E$12+1,1))-AVERAGE(OFFSET($H$3,0,0,'Données projet'!$E$12+1,1))</f>
        <v>469.67944008675863</v>
      </c>
      <c r="CE66" s="60">
        <f t="shared" si="40"/>
        <v>266.11908070867173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276</v>
      </c>
      <c r="CU66" s="18">
        <f>CT66*VLOOKUP('Données projet'!$B$13,Paramètres!$A$1:$I$89,3,0)*VLOOKUP('Données projet'!$B$13,Paramètres!$A$1:$I$89,5,0)</f>
        <v>215.28</v>
      </c>
      <c r="CV66" s="14">
        <f t="shared" si="41"/>
        <v>53.087725740853138</v>
      </c>
      <c r="CW66" s="22">
        <f t="shared" si="13"/>
        <v>467.40712233198587</v>
      </c>
      <c r="CX66" s="60">
        <f t="shared" si="14"/>
        <v>730.30346067539199</v>
      </c>
      <c r="CY66" s="60">
        <f ca="1">AVERAGE(OFFSET($CX$3,0,0,'Données projet'!$E$13+1,1))-AVERAGE(OFFSET($H$3,0,0,'Données projet'!$E$13+1,1))</f>
        <v>312.59632808777332</v>
      </c>
      <c r="CZ66" s="60">
        <f t="shared" si="42"/>
        <v>302.59481222418219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4.6153846153846132</v>
      </c>
      <c r="DO66" s="13">
        <f>IF('Données projet'!$A$166&gt;35,DO65+DN66-DW65,IF(A66&lt;'Données projet'!$A$166,$DL$205^A66,IF(A66='Données projet'!$A$166,'Données projet'!$B$166,DO65+DN66-DW65)))</f>
        <v>184.35897435897428</v>
      </c>
      <c r="DP66" s="18">
        <f>DO66*VLOOKUP('Données projet'!$B$14,Paramètres!$A$1:$I$89,3,0)*VLOOKUP('Données projet'!$B$14,Paramètres!$A$1:$I$89,5,0)</f>
        <v>175.43599999999992</v>
      </c>
      <c r="DQ66" s="14">
        <f t="shared" si="43"/>
        <v>44.305267494172632</v>
      </c>
      <c r="DR66" s="22">
        <f t="shared" si="16"/>
        <v>382.71604088568387</v>
      </c>
      <c r="DS66" s="60">
        <f t="shared" si="17"/>
        <v>645.61237922909004</v>
      </c>
      <c r="DT66" s="60">
        <f ca="1">AVERAGE(OFFSET($DS$3,0,0,'Données projet'!$E$14+1,1))-AVERAGE(OFFSET($H$3,0,0,'Données projet'!$E$14+1,1))</f>
        <v>398.29746143975166</v>
      </c>
      <c r="DU66" s="60">
        <f t="shared" si="44"/>
        <v>300.63705521148802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214.59999999999994</v>
      </c>
      <c r="EK66" s="18">
        <f>EJ66*VLOOKUP('Données projet'!$B$15,Paramètres!$A$1:$I$89,3,0)*VLOOKUP('Données projet'!$B$15,Paramètres!$A$1:$I$89,5,0)</f>
        <v>207.56111999999996</v>
      </c>
      <c r="EL66" s="14">
        <f t="shared" si="45"/>
        <v>51.40226725537714</v>
      </c>
      <c r="EM66" s="22">
        <f t="shared" si="19"/>
        <v>451.02789946978169</v>
      </c>
      <c r="EN66" s="60">
        <f t="shared" si="20"/>
        <v>713.9242378131878</v>
      </c>
      <c r="EO66" s="60">
        <f ca="1">AVERAGE(OFFSET($EN$3,0,0,'Données projet'!$E$15+1,1))-AVERAGE(OFFSET($H$3,0,0,'Données projet'!$E$15+1,1))</f>
        <v>496.33873798282525</v>
      </c>
      <c r="EP66" s="60">
        <f t="shared" si="46"/>
        <v>280.25465074992246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4.3399999999999981</v>
      </c>
      <c r="FE66" s="13">
        <f>IF('Données projet'!$A$218&gt;35,FE65+FD66-FM65,IF(A66&lt;'Données projet'!$A$218,$FB$205^A66,IF(A66='Données projet'!$A$218,'Données projet'!$B$218,FE65+FD66-FM65)))</f>
        <v>246.12000000000012</v>
      </c>
      <c r="FF66" s="18">
        <f>FE66*VLOOKUP('Données projet'!$B$16,Paramètres!$A$1:$I$89,3,0)*VLOOKUP('Données projet'!$B$16,Paramètres!$A$1:$I$89,5,0)</f>
        <v>215.01043200000015</v>
      </c>
      <c r="FG66" s="14">
        <f t="shared" si="47"/>
        <v>53.028984090604766</v>
      </c>
      <c r="FH66" s="22">
        <f t="shared" si="22"/>
        <v>466.83531635780349</v>
      </c>
      <c r="FI66" s="60">
        <f t="shared" si="23"/>
        <v>729.73165470120966</v>
      </c>
      <c r="FJ66" s="60">
        <f ca="1">AVERAGE(OFFSET($FI$3,0,0,'Données projet'!$E$16+1,1))-AVERAGE(OFFSET($H$3,0,0,'Données projet'!$E$16+1,1))</f>
        <v>363.28611056308665</v>
      </c>
      <c r="FK66" s="60">
        <f t="shared" si="48"/>
        <v>389.43647559455974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5.1282051282051331</v>
      </c>
      <c r="FZ66" s="13">
        <f>IF('Données projet'!$A$244&gt;35,FZ65+FY66-GH65,IF(A66&lt;'Données projet'!$A$244,$FW$205^A66,IF(A66='Données projet'!$A$244,'Données projet'!$B$244,FZ65+FY66-GH65)))</f>
        <v>230.12820512820517</v>
      </c>
      <c r="GA66" s="18">
        <f>FZ66*VLOOKUP('Données projet'!$B$17,Paramètres!$A$1:$I$89,3,0)*VLOOKUP('Données projet'!$B$17,Paramètres!$A$1:$I$89,5,0)</f>
        <v>154.37000000000003</v>
      </c>
      <c r="GB66" s="14">
        <f t="shared" si="49"/>
        <v>39.570017923578433</v>
      </c>
      <c r="GC66" s="22">
        <f t="shared" si="25"/>
        <v>337.77886455023247</v>
      </c>
      <c r="GD66" s="60">
        <f t="shared" si="26"/>
        <v>600.67520289363858</v>
      </c>
      <c r="GE66" s="60">
        <f ca="1">AVERAGE(OFFSET($GD$3,0,0,'Données projet'!$E$17+1,1))-AVERAGE(OFFSET($H$3,0,0,'Données projet'!$E$17+1,1))</f>
        <v>344.62096650402731</v>
      </c>
      <c r="GF66" s="60">
        <f t="shared" si="50"/>
        <v>277.30931495079346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10.4</v>
      </c>
      <c r="N67" s="14">
        <f>IF('Données projet'!$A$36&gt;35,N66+M67-V66,IF(A67&lt;'Données projet'!$A$36,$K$205^A67,IF(A67='Données projet'!$A$36,'Données projet'!$B$36,N66+M67-V66)))</f>
        <v>311.59999999999997</v>
      </c>
      <c r="O67" s="14">
        <f>N67*VLOOKUP('Données projet'!$B$9,Paramètres!$A$1:$I$89,3,0)*VLOOKUP('Données projet'!$B$9,Paramètres!$A$1:$I$89,5,0)</f>
        <v>267.3528</v>
      </c>
      <c r="P67" s="14">
        <f t="shared" si="33"/>
        <v>64.28714488617193</v>
      </c>
      <c r="Q67" s="22">
        <f t="shared" ref="Q67:Q98" si="54">(O67+P67)*0.475*44/12</f>
        <v>577.60623734341596</v>
      </c>
      <c r="R67" s="60">
        <f t="shared" ref="R67:R130" si="55">Q67+(I67+J67)*44/12</f>
        <v>841.03058950297077</v>
      </c>
      <c r="S67" s="60">
        <f ca="1">AVERAGE(OFFSET($R$3,0,0,'Données projet'!$E$9+1,1))-AVERAGE(OFFSET($H$3,0,0,'Données projet'!$E$9+1,1))</f>
        <v>632.26350546340541</v>
      </c>
      <c r="T67" s="60">
        <f t="shared" si="34"/>
        <v>340.45335016367915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4.3399999999999981</v>
      </c>
      <c r="AI67" s="14">
        <f>IF('Données projet'!$A$62&gt;35,AI66+AH67-AQ66,IF(A67&lt;'Données projet'!$A$62,$AF$205^A67,IF(A67='Données projet'!$A$62,'Données projet'!$B$62,AI66+AH67-AQ66)))</f>
        <v>250.46000000000012</v>
      </c>
      <c r="AJ67" s="14">
        <f>AI67*VLOOKUP('Données projet'!$B$10,Paramètres!$A$1:$I$89,3,0)*VLOOKUP('Données projet'!$B$10,Paramètres!$A$1:$I$89,5,0)</f>
        <v>199.26597600000011</v>
      </c>
      <c r="AK67" s="14">
        <f t="shared" si="35"/>
        <v>49.582816962415684</v>
      </c>
      <c r="AL67" s="22">
        <f t="shared" si="4"/>
        <v>433.4116477428741</v>
      </c>
      <c r="AM67" s="60">
        <f t="shared" si="5"/>
        <v>696.83599990242885</v>
      </c>
      <c r="AN67" s="60">
        <f ca="1">AVERAGE(OFFSET($AM$3,0,0,'Données projet'!$E$10+1,1))-AVERAGE(OFFSET($H$3,0,0,'Données projet'!$E$10+1,1))</f>
        <v>336.25341821407534</v>
      </c>
      <c r="AO67" s="60">
        <f t="shared" si="36"/>
        <v>360.3246221345039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4.3399999999999981</v>
      </c>
      <c r="BD67" s="13">
        <f>IF('Données projet'!$A$88&gt;35,BD66+BC67-BL66,IF(A67&lt;'Données projet'!$A$88,$BA$205^A67,IF(A67='Données projet'!$A$88,'Données projet'!$B$88,BD66+BC67-BL66)))</f>
        <v>250.46000000000012</v>
      </c>
      <c r="BE67" s="14">
        <f>BD67*VLOOKUP('Données projet'!$B$11,Paramètres!$A$1:$I$89,3,0)*VLOOKUP('Données projet'!$B$11,Paramètres!$A$1:$I$89,5,0)</f>
        <v>199.26597600000011</v>
      </c>
      <c r="BF67" s="14">
        <f t="shared" si="37"/>
        <v>49.582816962415684</v>
      </c>
      <c r="BG67" s="22">
        <f t="shared" si="7"/>
        <v>433.4116477428741</v>
      </c>
      <c r="BH67" s="60">
        <f t="shared" si="8"/>
        <v>696.83599990242885</v>
      </c>
      <c r="BI67" s="60">
        <f ca="1">AVERAGE(OFFSET($BH$3,0,0,'Données projet'!$E$11+1,1))-AVERAGE(OFFSET($H$3,0,0,'Données projet'!$E$11+1,1))</f>
        <v>336.25341821407534</v>
      </c>
      <c r="BJ67" s="60">
        <f t="shared" si="38"/>
        <v>360.3246221345039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200.68463999999992</v>
      </c>
      <c r="CA67" s="14">
        <f t="shared" si="39"/>
        <v>49.894600936700193</v>
      </c>
      <c r="CB67" s="22">
        <f t="shared" si="10"/>
        <v>436.42551129808606</v>
      </c>
      <c r="CC67" s="60">
        <f t="shared" si="11"/>
        <v>699.84986345764082</v>
      </c>
      <c r="CD67" s="60">
        <f ca="1">AVERAGE(OFFSET($CC$3,0,0,'Données projet'!$E$12+1,1))-AVERAGE(OFFSET($H$3,0,0,'Données projet'!$E$12+1,1))</f>
        <v>469.67944008675863</v>
      </c>
      <c r="CE67" s="60">
        <f t="shared" si="40"/>
        <v>266.11908070867173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284.66666666666669</v>
      </c>
      <c r="CU67" s="18">
        <f>CT67*VLOOKUP('Données projet'!$B$13,Paramètres!$A$1:$I$89,3,0)*VLOOKUP('Données projet'!$B$13,Paramètres!$A$1:$I$89,5,0)</f>
        <v>222.04000000000002</v>
      </c>
      <c r="CV67" s="14">
        <f t="shared" si="41"/>
        <v>54.558031180803596</v>
      </c>
      <c r="CW67" s="22">
        <f t="shared" si="13"/>
        <v>481.74157097323291</v>
      </c>
      <c r="CX67" s="60">
        <f t="shared" si="14"/>
        <v>745.16592313278761</v>
      </c>
      <c r="CY67" s="60">
        <f ca="1">AVERAGE(OFFSET($CX$3,0,0,'Données projet'!$E$13+1,1))-AVERAGE(OFFSET($H$3,0,0,'Données projet'!$E$13+1,1))</f>
        <v>312.59632808777332</v>
      </c>
      <c r="CZ67" s="60">
        <f t="shared" si="42"/>
        <v>302.59481222418219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4.6153846153846132</v>
      </c>
      <c r="DO67" s="13">
        <f>IF('Données projet'!$A$166&gt;35,DO66+DN67-DW66,IF(A67&lt;'Données projet'!$A$166,$DL$205^A67,IF(A67='Données projet'!$A$166,'Données projet'!$B$166,DO66+DN67-DW66)))</f>
        <v>188.97435897435889</v>
      </c>
      <c r="DP67" s="18">
        <f>DO67*VLOOKUP('Données projet'!$B$14,Paramètres!$A$1:$I$89,3,0)*VLOOKUP('Données projet'!$B$14,Paramètres!$A$1:$I$89,5,0)</f>
        <v>179.82799999999992</v>
      </c>
      <c r="DQ67" s="14">
        <f t="shared" si="43"/>
        <v>45.283917206572795</v>
      </c>
      <c r="DR67" s="22">
        <f t="shared" si="16"/>
        <v>392.0699224681141</v>
      </c>
      <c r="DS67" s="60">
        <f t="shared" si="17"/>
        <v>655.4942746276688</v>
      </c>
      <c r="DT67" s="60">
        <f ca="1">AVERAGE(OFFSET($DS$3,0,0,'Données projet'!$E$14+1,1))-AVERAGE(OFFSET($H$3,0,0,'Données projet'!$E$14+1,1))</f>
        <v>398.29746143975166</v>
      </c>
      <c r="DU67" s="60">
        <f t="shared" si="44"/>
        <v>300.63705521148802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221.79999999999993</v>
      </c>
      <c r="EK67" s="18">
        <f>EJ67*VLOOKUP('Données projet'!$B$15,Paramètres!$A$1:$I$89,3,0)*VLOOKUP('Données projet'!$B$15,Paramètres!$A$1:$I$89,5,0)</f>
        <v>214.52495999999994</v>
      </c>
      <c r="EL67" s="14">
        <f t="shared" si="45"/>
        <v>52.923173099085716</v>
      </c>
      <c r="EM67" s="22">
        <f t="shared" si="19"/>
        <v>465.80549848090754</v>
      </c>
      <c r="EN67" s="60">
        <f t="shared" si="20"/>
        <v>729.22985064046225</v>
      </c>
      <c r="EO67" s="60">
        <f ca="1">AVERAGE(OFFSET($EN$3,0,0,'Données projet'!$E$15+1,1))-AVERAGE(OFFSET($H$3,0,0,'Données projet'!$E$15+1,1))</f>
        <v>496.33873798282525</v>
      </c>
      <c r="EP67" s="60">
        <f t="shared" si="46"/>
        <v>280.25465074992246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4.3399999999999981</v>
      </c>
      <c r="FE67" s="13">
        <f>IF('Données projet'!$A$218&gt;35,FE66+FD67-FM66,IF(A67&lt;'Données projet'!$A$218,$FB$205^A67,IF(A67='Données projet'!$A$218,'Données projet'!$B$218,FE66+FD67-FM66)))</f>
        <v>250.46000000000012</v>
      </c>
      <c r="FF67" s="18">
        <f>FE67*VLOOKUP('Données projet'!$B$16,Paramètres!$A$1:$I$89,3,0)*VLOOKUP('Données projet'!$B$16,Paramètres!$A$1:$I$89,5,0)</f>
        <v>218.80185600000013</v>
      </c>
      <c r="FG67" s="14">
        <f t="shared" si="47"/>
        <v>53.854392333532836</v>
      </c>
      <c r="FH67" s="22">
        <f t="shared" si="22"/>
        <v>474.87629918090329</v>
      </c>
      <c r="FI67" s="60">
        <f t="shared" si="23"/>
        <v>738.30065134045799</v>
      </c>
      <c r="FJ67" s="60">
        <f ca="1">AVERAGE(OFFSET($FI$3,0,0,'Données projet'!$E$16+1,1))-AVERAGE(OFFSET($H$3,0,0,'Données projet'!$E$16+1,1))</f>
        <v>363.28611056308665</v>
      </c>
      <c r="FK67" s="60">
        <f t="shared" si="48"/>
        <v>389.43647559455974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5.1282051282051331</v>
      </c>
      <c r="FZ67" s="13">
        <f>IF('Données projet'!$A$244&gt;35,FZ66+FY67-GH66,IF(A67&lt;'Données projet'!$A$244,$FW$205^A67,IF(A67='Données projet'!$A$244,'Données projet'!$B$244,FZ66+FY67-GH66)))</f>
        <v>235.25641025641031</v>
      </c>
      <c r="GA67" s="18">
        <f>FZ67*VLOOKUP('Données projet'!$B$17,Paramètres!$A$1:$I$89,3,0)*VLOOKUP('Données projet'!$B$17,Paramètres!$A$1:$I$89,5,0)</f>
        <v>157.81000000000003</v>
      </c>
      <c r="GB67" s="14">
        <f t="shared" si="49"/>
        <v>40.348159279539125</v>
      </c>
      <c r="GC67" s="22">
        <f t="shared" si="25"/>
        <v>345.12546074519736</v>
      </c>
      <c r="GD67" s="60">
        <f t="shared" si="26"/>
        <v>608.54981290475212</v>
      </c>
      <c r="GE67" s="60">
        <f ca="1">AVERAGE(OFFSET($GD$3,0,0,'Données projet'!$E$17+1,1))-AVERAGE(OFFSET($H$3,0,0,'Données projet'!$E$17+1,1))</f>
        <v>344.62096650402731</v>
      </c>
      <c r="GF67" s="60">
        <f t="shared" si="50"/>
        <v>277.30931495079346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322</v>
      </c>
      <c r="L68" s="13">
        <f>VLOOKUP(A68,'Données projet'!$A$35:$I$55,9,0)</f>
        <v>10.4</v>
      </c>
      <c r="M68" s="13">
        <f t="array" ref="M68">INDEX(L:L,MIN(IF(ISNUMBER(L68:L264),ROW(L68:L264),"")))</f>
        <v>10.4</v>
      </c>
      <c r="N68" s="14">
        <f>IF('Données projet'!$A$36&gt;35,N67+M68-V67,IF(A68&lt;'Données projet'!$A$36,$K$205^A68,IF(A68='Données projet'!$A$36,'Données projet'!$B$36,N67+M68-V67)))</f>
        <v>321.99999999999994</v>
      </c>
      <c r="O68" s="14">
        <f>N68*VLOOKUP('Données projet'!$B$9,Paramètres!$A$1:$I$89,3,0)*VLOOKUP('Données projet'!$B$9,Paramètres!$A$1:$I$89,5,0)</f>
        <v>276.27600000000001</v>
      </c>
      <c r="P68" s="14">
        <f t="shared" si="33"/>
        <v>66.179408416217157</v>
      </c>
      <c r="Q68" s="22">
        <f t="shared" si="54"/>
        <v>596.44316965824487</v>
      </c>
      <c r="R68" s="60">
        <f t="shared" si="55"/>
        <v>860.38637577470013</v>
      </c>
      <c r="S68" s="60">
        <f ca="1">AVERAGE(OFFSET($R$3,0,0,'Données projet'!$E$9+1,1))-AVERAGE(OFFSET($H$3,0,0,'Données projet'!$E$9+1,1))</f>
        <v>632.26350546340541</v>
      </c>
      <c r="T68" s="60">
        <f t="shared" si="34"/>
        <v>340.45335016367915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254.8</v>
      </c>
      <c r="AG68" s="13">
        <f>VLOOKUP(A68,'Données projet'!$A$61:$I$81,9,0)</f>
        <v>4.3399999999999981</v>
      </c>
      <c r="AH68" s="13">
        <f t="array" ref="AH68">INDEX(AG:AG,MIN(IF(ISNUMBER(AG68:AG264),ROW(AG68:AG264),"")))</f>
        <v>4.3399999999999981</v>
      </c>
      <c r="AI68" s="14">
        <f>IF('Données projet'!$A$62&gt;35,AI67+AH68-AQ67,IF(A68&lt;'Données projet'!$A$62,$AF$205^A68,IF(A68='Données projet'!$A$62,'Données projet'!$B$62,AI67+AH68-AQ67)))</f>
        <v>254.80000000000013</v>
      </c>
      <c r="AJ68" s="14">
        <f>AI68*VLOOKUP('Données projet'!$B$10,Paramètres!$A$1:$I$89,3,0)*VLOOKUP('Données projet'!$B$10,Paramètres!$A$1:$I$89,5,0)</f>
        <v>202.7188800000001</v>
      </c>
      <c r="AK68" s="14">
        <f t="shared" si="35"/>
        <v>50.341224871428125</v>
      </c>
      <c r="AL68" s="22">
        <f t="shared" ref="AL68:AL131" si="58">(AJ68+AK68)*0.475*44/12</f>
        <v>440.7463493177375</v>
      </c>
      <c r="AM68" s="60">
        <f t="shared" ref="AM68:AM131" si="59">AL68+(AD68+AE68)*44/12</f>
        <v>704.6895554341927</v>
      </c>
      <c r="AN68" s="60">
        <f ca="1">AVERAGE(OFFSET($AM$3,0,0,'Données projet'!$E$10+1,1))-AVERAGE(OFFSET($H$3,0,0,'Données projet'!$E$10+1,1))</f>
        <v>336.25341821407534</v>
      </c>
      <c r="AO68" s="60">
        <f t="shared" si="36"/>
        <v>360.3246221345039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254.8</v>
      </c>
      <c r="BB68" s="13">
        <f>VLOOKUP(A68,'Données projet'!$A$87:$I$107,9,0)</f>
        <v>4.3399999999999981</v>
      </c>
      <c r="BC68" s="13">
        <f t="array" ref="BC68">INDEX(BB:BB,MIN(IF(ISNUMBER(BB68:BB264),ROW(BB68:BB264),"")))</f>
        <v>4.3399999999999981</v>
      </c>
      <c r="BD68" s="13">
        <f>IF('Données projet'!$A$88&gt;35,BD67+BC68-BL67,IF(A68&lt;'Données projet'!$A$88,$BA$205^A68,IF(A68='Données projet'!$A$88,'Données projet'!$B$88,BD67+BC68-BL67)))</f>
        <v>254.80000000000013</v>
      </c>
      <c r="BE68" s="14">
        <f>BD68*VLOOKUP('Données projet'!$B$11,Paramètres!$A$1:$I$89,3,0)*VLOOKUP('Données projet'!$B$11,Paramètres!$A$1:$I$89,5,0)</f>
        <v>202.7188800000001</v>
      </c>
      <c r="BF68" s="14">
        <f t="shared" si="37"/>
        <v>50.341224871428125</v>
      </c>
      <c r="BG68" s="22">
        <f t="shared" ref="BG68:BG131" si="61">(BE68+BF68)*0.475*44/12</f>
        <v>440.7463493177375</v>
      </c>
      <c r="BH68" s="60">
        <f t="shared" ref="BH68:BH131" si="62">BG68+(AY68+AZ68)*44/12</f>
        <v>704.6895554341927</v>
      </c>
      <c r="BI68" s="60">
        <f ca="1">AVERAGE(OFFSET($BH$3,0,0,'Données projet'!$E$11+1,1))-AVERAGE(OFFSET($H$3,0,0,'Données projet'!$E$11+1,1))</f>
        <v>336.25341821407534</v>
      </c>
      <c r="BJ68" s="60">
        <f t="shared" si="38"/>
        <v>360.3246221345039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207.19919999999991</v>
      </c>
      <c r="CA68" s="14">
        <f t="shared" si="39"/>
        <v>51.3230629736655</v>
      </c>
      <c r="CB68" s="22">
        <f t="shared" ref="CB68:CB131" si="64">(BZ68+CA68)*0.475*44/12</f>
        <v>450.25960801246725</v>
      </c>
      <c r="CC68" s="60">
        <f t="shared" ref="CC68:CC131" si="65">CB68+(BT68+BU68)*44/12</f>
        <v>714.20281412892245</v>
      </c>
      <c r="CD68" s="60">
        <f ca="1">AVERAGE(OFFSET($CC$3,0,0,'Données projet'!$E$12+1,1))-AVERAGE(OFFSET($H$3,0,0,'Données projet'!$E$12+1,1))</f>
        <v>469.67944008675863</v>
      </c>
      <c r="CE68" s="60">
        <f t="shared" si="40"/>
        <v>266.11908070867173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293.33333333333337</v>
      </c>
      <c r="CU68" s="18">
        <f>CT68*VLOOKUP('Données projet'!$B$13,Paramètres!$A$1:$I$89,3,0)*VLOOKUP('Données projet'!$B$13,Paramètres!$A$1:$I$89,5,0)</f>
        <v>228.80000000000004</v>
      </c>
      <c r="CV68" s="14">
        <f t="shared" si="41"/>
        <v>56.023134533701196</v>
      </c>
      <c r="CW68" s="22">
        <f t="shared" ref="CW68:CW131" si="67">(CU68+CV68)*0.475*44/12</f>
        <v>496.06695931286299</v>
      </c>
      <c r="CX68" s="60">
        <f t="shared" ref="CX68:CX131" si="68">CW68+(CO68+CP68)*44/12</f>
        <v>760.01016542931825</v>
      </c>
      <c r="CY68" s="60">
        <f ca="1">AVERAGE(OFFSET($CX$3,0,0,'Données projet'!$E$13+1,1))-AVERAGE(OFFSET($H$3,0,0,'Données projet'!$E$13+1,1))</f>
        <v>312.59632808777332</v>
      </c>
      <c r="CZ68" s="60">
        <f t="shared" si="42"/>
        <v>302.59481222418219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193.58974358974359</v>
      </c>
      <c r="DM68" s="13">
        <f>VLOOKUP(A68,'Données projet'!$A$165:$I$185,9,0)</f>
        <v>4.6153846153846132</v>
      </c>
      <c r="DN68" s="13">
        <f t="array" ref="DN68">INDEX(DM:DM,MIN(IF(ISNUMBER(DM68:DM264),ROW(DM68:DM264),"")))</f>
        <v>4.6153846153846132</v>
      </c>
      <c r="DO68" s="13">
        <f>IF('Données projet'!$A$166&gt;35,DO67+DN68-DW67,IF(A68&lt;'Données projet'!$A$166,$DL$205^A68,IF(A68='Données projet'!$A$166,'Données projet'!$B$166,DO67+DN68-DW67)))</f>
        <v>193.58974358974351</v>
      </c>
      <c r="DP68" s="18">
        <f>DO68*VLOOKUP('Données projet'!$B$14,Paramètres!$A$1:$I$89,3,0)*VLOOKUP('Données projet'!$B$14,Paramètres!$A$1:$I$89,5,0)</f>
        <v>184.21999999999991</v>
      </c>
      <c r="DQ68" s="14">
        <f t="shared" si="43"/>
        <v>46.259788397695985</v>
      </c>
      <c r="DR68" s="22">
        <f t="shared" ref="DR68:DR131" si="70">(DP68+DQ68)*0.475*44/12</f>
        <v>401.4189647926537</v>
      </c>
      <c r="DS68" s="60">
        <f t="shared" ref="DS68:DS131" si="71">DR68+(DJ68+DK68)*44/12</f>
        <v>665.36217090910895</v>
      </c>
      <c r="DT68" s="60">
        <f ca="1">AVERAGE(OFFSET($DS$3,0,0,'Données projet'!$E$14+1,1))-AVERAGE(OFFSET($H$3,0,0,'Données projet'!$E$14+1,1))</f>
        <v>398.29746143975166</v>
      </c>
      <c r="DU68" s="60">
        <f t="shared" si="44"/>
        <v>300.63705521148802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229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228.99999999999991</v>
      </c>
      <c r="EK68" s="18">
        <f>EJ68*VLOOKUP('Données projet'!$B$15,Paramètres!$A$1:$I$89,3,0)*VLOOKUP('Données projet'!$B$15,Paramètres!$A$1:$I$89,5,0)</f>
        <v>221.48879999999991</v>
      </c>
      <c r="EL68" s="14">
        <f t="shared" si="45"/>
        <v>54.43834191952984</v>
      </c>
      <c r="EM68" s="22">
        <f t="shared" ref="EM68:EM131" si="73">(EK68+EL68)*0.475*44/12</f>
        <v>480.57310550984766</v>
      </c>
      <c r="EN68" s="60">
        <f t="shared" ref="EN68:EN131" si="74">EM68+(EE68+EF68)*44/12</f>
        <v>744.51631162630292</v>
      </c>
      <c r="EO68" s="60">
        <f ca="1">AVERAGE(OFFSET($EN$3,0,0,'Données projet'!$E$15+1,1))-AVERAGE(OFFSET($H$3,0,0,'Données projet'!$E$15+1,1))</f>
        <v>496.33873798282525</v>
      </c>
      <c r="EP68" s="60">
        <f t="shared" si="46"/>
        <v>280.25465074992246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254.8</v>
      </c>
      <c r="FC68" s="13">
        <f>VLOOKUP(A68,'Données projet'!$A$217:$I$237,9,0)</f>
        <v>4.3399999999999981</v>
      </c>
      <c r="FD68" s="13">
        <f t="array" ref="FD68">INDEX(FC:FC,MIN(IF(ISNUMBER(FC68:FC264),ROW(FC68:FC264),"")))</f>
        <v>4.3399999999999981</v>
      </c>
      <c r="FE68" s="13">
        <f>IF('Données projet'!$A$218&gt;35,FE67+FD68-FM67,IF(A68&lt;'Données projet'!$A$218,$FB$205^A68,IF(A68='Données projet'!$A$218,'Données projet'!$B$218,FE67+FD68-FM67)))</f>
        <v>254.80000000000013</v>
      </c>
      <c r="FF68" s="18">
        <f>FE68*VLOOKUP('Données projet'!$B$16,Paramètres!$A$1:$I$89,3,0)*VLOOKUP('Données projet'!$B$16,Paramètres!$A$1:$I$89,5,0)</f>
        <v>222.59328000000014</v>
      </c>
      <c r="FG68" s="14">
        <f t="shared" si="47"/>
        <v>54.678137323894518</v>
      </c>
      <c r="FH68" s="22">
        <f t="shared" ref="FH68:FH131" si="76">(FF68+FG68)*0.475*44/12</f>
        <v>482.91438517244984</v>
      </c>
      <c r="FI68" s="60">
        <f t="shared" ref="FI68:FI131" si="77">FH68+(EZ68+FA68)*44/12</f>
        <v>746.85759128890504</v>
      </c>
      <c r="FJ68" s="60">
        <f ca="1">AVERAGE(OFFSET($FI$3,0,0,'Données projet'!$E$16+1,1))-AVERAGE(OFFSET($H$3,0,0,'Données projet'!$E$16+1,1))</f>
        <v>363.28611056308665</v>
      </c>
      <c r="FK68" s="60">
        <f t="shared" si="48"/>
        <v>389.43647559455974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240.38461538461539</v>
      </c>
      <c r="FX68" s="13">
        <f>VLOOKUP(A68,'Données projet'!$A$243:$I$263,9,0)</f>
        <v>5.1282051282051331</v>
      </c>
      <c r="FY68" s="13">
        <f t="array" ref="FY68">INDEX(FX:FX,MIN(IF(ISNUMBER(FX68:FX264),ROW(FX68:FX264),"")))</f>
        <v>5.1282051282051331</v>
      </c>
      <c r="FZ68" s="13">
        <f>IF('Données projet'!$A$244&gt;35,FZ67+FY68-GH67,IF(A68&lt;'Données projet'!$A$244,$FW$205^A68,IF(A68='Données projet'!$A$244,'Données projet'!$B$244,FZ67+FY68-GH67)))</f>
        <v>240.38461538461544</v>
      </c>
      <c r="GA68" s="18">
        <f>FZ68*VLOOKUP('Données projet'!$B$17,Paramètres!$A$1:$I$89,3,0)*VLOOKUP('Données projet'!$B$17,Paramètres!$A$1:$I$89,5,0)</f>
        <v>161.25000000000006</v>
      </c>
      <c r="GB68" s="14">
        <f t="shared" si="49"/>
        <v>41.124328571986439</v>
      </c>
      <c r="GC68" s="22">
        <f t="shared" ref="GC68:GC131" si="79">(GA68+GB68)*0.475*44/12</f>
        <v>352.46862226287652</v>
      </c>
      <c r="GD68" s="60">
        <f t="shared" ref="GD68:GD131" si="80">GC68+(FU68+FV68)*44/12</f>
        <v>616.41182837933172</v>
      </c>
      <c r="GE68" s="60">
        <f ca="1">AVERAGE(OFFSET($GD$3,0,0,'Données projet'!$E$17+1,1))-AVERAGE(OFFSET($H$3,0,0,'Données projet'!$E$17+1,1))</f>
        <v>344.62096650402731</v>
      </c>
      <c r="GF68" s="60">
        <f t="shared" si="50"/>
        <v>277.30931495079346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10</v>
      </c>
      <c r="N69" s="14">
        <f>IF('Données projet'!$A$36&gt;35,N68+M69-V68,IF(A69&lt;'Données projet'!$A$36,$K$205^A69,IF(A69='Données projet'!$A$36,'Données projet'!$B$36,N68+M69-V68)))</f>
        <v>331.99999999999994</v>
      </c>
      <c r="O69" s="14">
        <f>N69*VLOOKUP('Données projet'!$B$9,Paramètres!$A$1:$I$89,3,0)*VLOOKUP('Données projet'!$B$9,Paramètres!$A$1:$I$89,5,0)</f>
        <v>284.85599999999999</v>
      </c>
      <c r="P69" s="14">
        <f t="shared" ref="P69:P132" si="87">EXP(-1.0587+0.8836*LN(O69)+0.284)</f>
        <v>67.992192087001996</v>
      </c>
      <c r="Q69" s="22">
        <f t="shared" si="54"/>
        <v>614.54393455152842</v>
      </c>
      <c r="R69" s="60">
        <f t="shared" si="55"/>
        <v>878.9969936687155</v>
      </c>
      <c r="S69" s="60">
        <f ca="1">AVERAGE(OFFSET($R$3,0,0,'Données projet'!$E$9+1,1))-AVERAGE(OFFSET($H$3,0,0,'Données projet'!$E$9+1,1))</f>
        <v>632.26350546340541</v>
      </c>
      <c r="T69" s="60">
        <f t="shared" ref="T69:T132" si="88">$T$3</f>
        <v>340.45335016367915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3.7599999999999909</v>
      </c>
      <c r="AI69" s="14">
        <f>IF('Données projet'!$A$62&gt;35,AI68+AH69-AQ68,IF(A69&lt;'Données projet'!$A$62,$AF$205^A69,IF(A69='Données projet'!$A$62,'Données projet'!$B$62,AI68+AH69-AQ68)))</f>
        <v>258.56000000000012</v>
      </c>
      <c r="AJ69" s="14">
        <f>AI69*VLOOKUP('Données projet'!$B$10,Paramètres!$A$1:$I$89,3,0)*VLOOKUP('Données projet'!$B$10,Paramètres!$A$1:$I$89,5,0)</f>
        <v>205.7103360000001</v>
      </c>
      <c r="AK69" s="14">
        <f t="shared" ref="AK69:AK132" si="89">EXP(-1.0587+0.8836*LN(AJ69)+0.284)</f>
        <v>50.99706319664395</v>
      </c>
      <c r="AL69" s="22">
        <f t="shared" si="58"/>
        <v>447.09872026748832</v>
      </c>
      <c r="AM69" s="60">
        <f t="shared" si="59"/>
        <v>711.55177938467546</v>
      </c>
      <c r="AN69" s="60">
        <f ca="1">AVERAGE(OFFSET($AM$3,0,0,'Données projet'!$E$10+1,1))-AVERAGE(OFFSET($H$3,0,0,'Données projet'!$E$10+1,1))</f>
        <v>336.25341821407534</v>
      </c>
      <c r="AO69" s="60">
        <f t="shared" ref="AO69:AO132" si="90">$AO$3</f>
        <v>360.3246221345039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258.56000000000012</v>
      </c>
      <c r="BE69" s="14">
        <f>BD69*VLOOKUP('Données projet'!$B$11,Paramètres!$A$1:$I$89,3,0)*VLOOKUP('Données projet'!$B$11,Paramètres!$A$1:$I$89,5,0)</f>
        <v>205.7103360000001</v>
      </c>
      <c r="BF69" s="14">
        <f t="shared" ref="BF69:BF132" si="91">EXP(-1.0587+0.8836*LN(BE69)+0.284)</f>
        <v>50.99706319664395</v>
      </c>
      <c r="BG69" s="22">
        <f t="shared" si="61"/>
        <v>447.09872026748832</v>
      </c>
      <c r="BH69" s="60">
        <f t="shared" si="62"/>
        <v>711.55177938467546</v>
      </c>
      <c r="BI69" s="60">
        <f ca="1">AVERAGE(OFFSET($BH$3,0,0,'Données projet'!$E$11+1,1))-AVERAGE(OFFSET($H$3,0,0,'Données projet'!$E$11+1,1))</f>
        <v>336.25341821407534</v>
      </c>
      <c r="BJ69" s="60">
        <f t="shared" ref="BJ69:BJ132" si="92">$BJ$3</f>
        <v>360.3246221345039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213.35183999999992</v>
      </c>
      <c r="CA69" s="14">
        <f t="shared" ref="CA69:CA132" si="93">EXP(-1.0587+0.8836*LN(BZ69)+0.284)</f>
        <v>52.667370665417188</v>
      </c>
      <c r="CB69" s="22">
        <f t="shared" si="64"/>
        <v>463.31679190893482</v>
      </c>
      <c r="CC69" s="60">
        <f t="shared" si="65"/>
        <v>727.76985102612184</v>
      </c>
      <c r="CD69" s="60">
        <f ca="1">AVERAGE(OFFSET($CC$3,0,0,'Données projet'!$E$12+1,1))-AVERAGE(OFFSET($H$3,0,0,'Données projet'!$E$12+1,1))</f>
        <v>469.67944008675863</v>
      </c>
      <c r="CE69" s="60">
        <f t="shared" ref="CE69:CE132" si="94">$CE$3</f>
        <v>266.11908070867173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302.00000000000006</v>
      </c>
      <c r="CU69" s="18">
        <f>CT69*VLOOKUP('Données projet'!$B$13,Paramètres!$A$1:$I$89,3,0)*VLOOKUP('Données projet'!$B$13,Paramètres!$A$1:$I$89,5,0)</f>
        <v>235.56000000000006</v>
      </c>
      <c r="CV69" s="14">
        <f t="shared" ref="CV69:CV132" si="95">EXP(-1.0587+0.8836*LN(CU69)+0.284)</f>
        <v>57.483207143847771</v>
      </c>
      <c r="CW69" s="22">
        <f t="shared" si="67"/>
        <v>510.38358577553487</v>
      </c>
      <c r="CX69" s="60">
        <f t="shared" si="68"/>
        <v>774.83664489272201</v>
      </c>
      <c r="CY69" s="60">
        <f ca="1">AVERAGE(OFFSET($CX$3,0,0,'Données projet'!$E$13+1,1))-AVERAGE(OFFSET($H$3,0,0,'Données projet'!$E$13+1,1))</f>
        <v>312.59632808777332</v>
      </c>
      <c r="CZ69" s="60">
        <f t="shared" ref="CZ69:CZ132" si="96">$CZ$3</f>
        <v>302.59481222418219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4.3589743589743595</v>
      </c>
      <c r="DO69" s="13">
        <f>IF('Données projet'!$A$166&gt;35,DO68+DN69-DW68,IF(A69&lt;'Données projet'!$A$166,$DL$205^A69,IF(A69='Données projet'!$A$166,'Données projet'!$B$166,DO68+DN69-DW68)))</f>
        <v>197.94871794871787</v>
      </c>
      <c r="DP69" s="18">
        <f>DO69*VLOOKUP('Données projet'!$B$14,Paramètres!$A$1:$I$89,3,0)*VLOOKUP('Données projet'!$B$14,Paramètres!$A$1:$I$89,5,0)</f>
        <v>188.36799999999994</v>
      </c>
      <c r="DQ69" s="14">
        <f t="shared" ref="DQ69:DQ132" si="97">EXP(-1.0587+0.8836*LN(DP69)+0.284)</f>
        <v>47.17895987093894</v>
      </c>
      <c r="DR69" s="22">
        <f t="shared" si="70"/>
        <v>410.2442884418852</v>
      </c>
      <c r="DS69" s="60">
        <f t="shared" si="71"/>
        <v>674.69734755907234</v>
      </c>
      <c r="DT69" s="60">
        <f ca="1">AVERAGE(OFFSET($DS$3,0,0,'Données projet'!$E$14+1,1))-AVERAGE(OFFSET($H$3,0,0,'Données projet'!$E$14+1,1))</f>
        <v>398.29746143975166</v>
      </c>
      <c r="DU69" s="60">
        <f t="shared" ref="DU69:DU132" si="98">$DU$3</f>
        <v>300.63705521148802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235.79999999999993</v>
      </c>
      <c r="EK69" s="18">
        <f>EJ69*VLOOKUP('Données projet'!$B$15,Paramètres!$A$1:$I$89,3,0)*VLOOKUP('Données projet'!$B$15,Paramètres!$A$1:$I$89,5,0)</f>
        <v>228.06575999999993</v>
      </c>
      <c r="EL69" s="14">
        <f t="shared" ref="EL69:EL132" si="99">EXP(-1.0587+0.8836*LN(EK69)+0.284)</f>
        <v>55.864248276798108</v>
      </c>
      <c r="EM69" s="22">
        <f t="shared" si="73"/>
        <v>494.51143108208981</v>
      </c>
      <c r="EN69" s="60">
        <f t="shared" si="74"/>
        <v>758.96449019927695</v>
      </c>
      <c r="EO69" s="60">
        <f ca="1">AVERAGE(OFFSET($EN$3,0,0,'Données projet'!$E$15+1,1))-AVERAGE(OFFSET($H$3,0,0,'Données projet'!$E$15+1,1))</f>
        <v>496.33873798282525</v>
      </c>
      <c r="EP69" s="60">
        <f t="shared" ref="EP69:EP132" si="100">$EP$3</f>
        <v>280.25465074992246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3.7599999999999909</v>
      </c>
      <c r="FE69" s="13">
        <f>IF('Données projet'!$A$218&gt;35,FE68+FD69-FM68,IF(A69&lt;'Données projet'!$A$218,$FB$205^A69,IF(A69='Données projet'!$A$218,'Données projet'!$B$218,FE68+FD69-FM68)))</f>
        <v>258.56000000000012</v>
      </c>
      <c r="FF69" s="18">
        <f>FE69*VLOOKUP('Données projet'!$B$16,Paramètres!$A$1:$I$89,3,0)*VLOOKUP('Données projet'!$B$16,Paramètres!$A$1:$I$89,5,0)</f>
        <v>225.87801600000014</v>
      </c>
      <c r="FG69" s="14">
        <f t="shared" ref="FG69:FG132" si="101">EXP(-1.0587+0.8836*LN(FF69)+0.284)</f>
        <v>55.390476328358808</v>
      </c>
      <c r="FH69" s="22">
        <f t="shared" si="76"/>
        <v>489.87595747189181</v>
      </c>
      <c r="FI69" s="60">
        <f t="shared" si="77"/>
        <v>754.32901658907895</v>
      </c>
      <c r="FJ69" s="60">
        <f ca="1">AVERAGE(OFFSET($FI$3,0,0,'Données projet'!$E$16+1,1))-AVERAGE(OFFSET($H$3,0,0,'Données projet'!$E$16+1,1))</f>
        <v>363.28611056308665</v>
      </c>
      <c r="FK69" s="60">
        <f t="shared" ref="FK69:FK132" si="102">$FK$3</f>
        <v>389.43647559455974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4.9999999999999947</v>
      </c>
      <c r="FZ69" s="13">
        <f>IF('Données projet'!$A$244&gt;35,FZ68+FY69-GH68,IF(A69&lt;'Données projet'!$A$244,$FW$205^A69,IF(A69='Données projet'!$A$244,'Données projet'!$B$244,FZ68+FY69-GH68)))</f>
        <v>245.38461538461544</v>
      </c>
      <c r="GA69" s="18">
        <f>FZ69*VLOOKUP('Données projet'!$B$17,Paramètres!$A$1:$I$89,3,0)*VLOOKUP('Données projet'!$B$17,Paramètres!$A$1:$I$89,5,0)</f>
        <v>164.60400000000004</v>
      </c>
      <c r="GB69" s="14">
        <f t="shared" ref="GB69:GB132" si="103">EXP(-1.0587+0.8836*LN(GA69)+0.284)</f>
        <v>41.879239712742802</v>
      </c>
      <c r="GC69" s="22">
        <f t="shared" si="79"/>
        <v>359.62497583302707</v>
      </c>
      <c r="GD69" s="60">
        <f t="shared" si="80"/>
        <v>624.07803495021415</v>
      </c>
      <c r="GE69" s="60">
        <f ca="1">AVERAGE(OFFSET($GD$3,0,0,'Données projet'!$E$17+1,1))-AVERAGE(OFFSET($H$3,0,0,'Données projet'!$E$17+1,1))</f>
        <v>344.62096650402731</v>
      </c>
      <c r="GF69" s="60">
        <f t="shared" ref="GF69:GF132" si="104">$GF$3</f>
        <v>277.30931495079346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10</v>
      </c>
      <c r="N70" s="14">
        <f>IF('Données projet'!$A$36&gt;35,N69+M70-V69,IF(A70&lt;'Données projet'!$A$36,$K$205^A70,IF(A70='Données projet'!$A$36,'Données projet'!$B$36,N69+M70-V69)))</f>
        <v>341.99999999999994</v>
      </c>
      <c r="O70" s="14">
        <f>N70*VLOOKUP('Données projet'!$B$9,Paramètres!$A$1:$I$89,3,0)*VLOOKUP('Données projet'!$B$9,Paramètres!$A$1:$I$89,5,0)</f>
        <v>293.43599999999998</v>
      </c>
      <c r="P70" s="14">
        <f t="shared" si="87"/>
        <v>69.798630209320748</v>
      </c>
      <c r="Q70" s="22">
        <f t="shared" si="54"/>
        <v>632.63364761456694</v>
      </c>
      <c r="R70" s="60">
        <f t="shared" si="55"/>
        <v>897.58771492278379</v>
      </c>
      <c r="S70" s="60">
        <f ca="1">AVERAGE(OFFSET($R$3,0,0,'Données projet'!$E$9+1,1))-AVERAGE(OFFSET($H$3,0,0,'Données projet'!$E$9+1,1))</f>
        <v>632.26350546340541</v>
      </c>
      <c r="T70" s="60">
        <f t="shared" si="88"/>
        <v>340.45335016367915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3.7599999999999909</v>
      </c>
      <c r="AI70" s="14">
        <f>IF('Données projet'!$A$62&gt;35,AI69+AH70-AQ69,IF(A70&lt;'Données projet'!$A$62,$AF$205^A70,IF(A70='Données projet'!$A$62,'Données projet'!$B$62,AI69+AH70-AQ69)))</f>
        <v>262.32000000000011</v>
      </c>
      <c r="AJ70" s="14">
        <f>AI70*VLOOKUP('Données projet'!$B$10,Paramètres!$A$1:$I$89,3,0)*VLOOKUP('Données projet'!$B$10,Paramètres!$A$1:$I$89,5,0)</f>
        <v>208.7017920000001</v>
      </c>
      <c r="AK70" s="14">
        <f t="shared" si="89"/>
        <v>51.651792283320177</v>
      </c>
      <c r="AL70" s="22">
        <f t="shared" si="58"/>
        <v>453.44915929344944</v>
      </c>
      <c r="AM70" s="60">
        <f t="shared" si="59"/>
        <v>718.40322660166635</v>
      </c>
      <c r="AN70" s="60">
        <f ca="1">AVERAGE(OFFSET($AM$3,0,0,'Données projet'!$E$10+1,1))-AVERAGE(OFFSET($H$3,0,0,'Données projet'!$E$10+1,1))</f>
        <v>336.25341821407534</v>
      </c>
      <c r="AO70" s="60">
        <f t="shared" si="90"/>
        <v>360.3246221345039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262.32000000000011</v>
      </c>
      <c r="BE70" s="14">
        <f>BD70*VLOOKUP('Données projet'!$B$11,Paramètres!$A$1:$I$89,3,0)*VLOOKUP('Données projet'!$B$11,Paramètres!$A$1:$I$89,5,0)</f>
        <v>208.7017920000001</v>
      </c>
      <c r="BF70" s="14">
        <f t="shared" si="91"/>
        <v>51.651792283320177</v>
      </c>
      <c r="BG70" s="22">
        <f t="shared" si="61"/>
        <v>453.44915929344944</v>
      </c>
      <c r="BH70" s="60">
        <f t="shared" si="62"/>
        <v>718.40322660166635</v>
      </c>
      <c r="BI70" s="60">
        <f ca="1">AVERAGE(OFFSET($BH$3,0,0,'Données projet'!$E$11+1,1))-AVERAGE(OFFSET($H$3,0,0,'Données projet'!$E$11+1,1))</f>
        <v>336.25341821407534</v>
      </c>
      <c r="BJ70" s="60">
        <f t="shared" si="92"/>
        <v>360.3246221345039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219.50447999999992</v>
      </c>
      <c r="CA70" s="14">
        <f t="shared" si="93"/>
        <v>54.007172767040167</v>
      </c>
      <c r="CB70" s="22">
        <f t="shared" si="64"/>
        <v>476.36612856926143</v>
      </c>
      <c r="CC70" s="60">
        <f t="shared" si="65"/>
        <v>741.32019587747834</v>
      </c>
      <c r="CD70" s="60">
        <f ca="1">AVERAGE(OFFSET($CC$3,0,0,'Données projet'!$E$12+1,1))-AVERAGE(OFFSET($H$3,0,0,'Données projet'!$E$12+1,1))</f>
        <v>469.67944008675863</v>
      </c>
      <c r="CE70" s="60">
        <f t="shared" si="94"/>
        <v>266.11908070867173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310.66666666666674</v>
      </c>
      <c r="CU70" s="18">
        <f>CT70*VLOOKUP('Données projet'!$B$13,Paramètres!$A$1:$I$89,3,0)*VLOOKUP('Données projet'!$B$13,Paramètres!$A$1:$I$89,5,0)</f>
        <v>242.32000000000008</v>
      </c>
      <c r="CV70" s="14">
        <f t="shared" si="95"/>
        <v>58.938409961900909</v>
      </c>
      <c r="CW70" s="22">
        <f t="shared" si="67"/>
        <v>524.69173068364421</v>
      </c>
      <c r="CX70" s="60">
        <f t="shared" si="68"/>
        <v>789.64579799186117</v>
      </c>
      <c r="CY70" s="60">
        <f ca="1">AVERAGE(OFFSET($CX$3,0,0,'Données projet'!$E$13+1,1))-AVERAGE(OFFSET($H$3,0,0,'Données projet'!$E$13+1,1))</f>
        <v>312.59632808777332</v>
      </c>
      <c r="CZ70" s="60">
        <f t="shared" si="96"/>
        <v>302.59481222418219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4.3589743589743595</v>
      </c>
      <c r="DO70" s="13">
        <f>IF('Données projet'!$A$166&gt;35,DO69+DN70-DW69,IF(A70&lt;'Données projet'!$A$166,$DL$205^A70,IF(A70='Données projet'!$A$166,'Données projet'!$B$166,DO69+DN70-DW69)))</f>
        <v>202.30769230769224</v>
      </c>
      <c r="DP70" s="18">
        <f>DO70*VLOOKUP('Données projet'!$B$14,Paramètres!$A$1:$I$89,3,0)*VLOOKUP('Données projet'!$B$14,Paramètres!$A$1:$I$89,5,0)</f>
        <v>192.51599999999993</v>
      </c>
      <c r="DQ70" s="14">
        <f t="shared" si="97"/>
        <v>48.095778128339838</v>
      </c>
      <c r="DR70" s="22">
        <f t="shared" si="70"/>
        <v>419.0655135735251</v>
      </c>
      <c r="DS70" s="60">
        <f t="shared" si="71"/>
        <v>684.01958088174206</v>
      </c>
      <c r="DT70" s="60">
        <f ca="1">AVERAGE(OFFSET($DS$3,0,0,'Données projet'!$E$14+1,1))-AVERAGE(OFFSET($H$3,0,0,'Données projet'!$E$14+1,1))</f>
        <v>398.29746143975166</v>
      </c>
      <c r="DU70" s="60">
        <f t="shared" si="98"/>
        <v>300.63705521148802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242.59999999999994</v>
      </c>
      <c r="EK70" s="18">
        <f>EJ70*VLOOKUP('Données projet'!$B$15,Paramètres!$A$1:$I$89,3,0)*VLOOKUP('Données projet'!$B$15,Paramètres!$A$1:$I$89,5,0)</f>
        <v>234.64271999999994</v>
      </c>
      <c r="EL70" s="14">
        <f t="shared" si="99"/>
        <v>57.285375557336316</v>
      </c>
      <c r="EM70" s="22">
        <f t="shared" si="73"/>
        <v>508.44143309569387</v>
      </c>
      <c r="EN70" s="60">
        <f t="shared" si="74"/>
        <v>773.39550040391077</v>
      </c>
      <c r="EO70" s="60">
        <f ca="1">AVERAGE(OFFSET($EN$3,0,0,'Données projet'!$E$15+1,1))-AVERAGE(OFFSET($H$3,0,0,'Données projet'!$E$15+1,1))</f>
        <v>496.33873798282525</v>
      </c>
      <c r="EP70" s="60">
        <f t="shared" si="100"/>
        <v>280.25465074992246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3.7599999999999909</v>
      </c>
      <c r="FE70" s="13">
        <f>IF('Données projet'!$A$218&gt;35,FE69+FD70-FM69,IF(A70&lt;'Données projet'!$A$218,$FB$205^A70,IF(A70='Données projet'!$A$218,'Données projet'!$B$218,FE69+FD70-FM69)))</f>
        <v>262.32000000000011</v>
      </c>
      <c r="FF70" s="18">
        <f>FE70*VLOOKUP('Données projet'!$B$16,Paramètres!$A$1:$I$89,3,0)*VLOOKUP('Données projet'!$B$16,Paramètres!$A$1:$I$89,5,0)</f>
        <v>229.1627520000001</v>
      </c>
      <c r="FG70" s="14">
        <f t="shared" si="101"/>
        <v>56.101610533032222</v>
      </c>
      <c r="FH70" s="22">
        <f t="shared" si="76"/>
        <v>496.83543141169798</v>
      </c>
      <c r="FI70" s="60">
        <f t="shared" si="77"/>
        <v>761.78949871991495</v>
      </c>
      <c r="FJ70" s="60">
        <f ca="1">AVERAGE(OFFSET($FI$3,0,0,'Données projet'!$E$16+1,1))-AVERAGE(OFFSET($H$3,0,0,'Données projet'!$E$16+1,1))</f>
        <v>363.28611056308665</v>
      </c>
      <c r="FK70" s="60">
        <f t="shared" si="102"/>
        <v>389.43647559455974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4.9999999999999947</v>
      </c>
      <c r="FZ70" s="13">
        <f>IF('Données projet'!$A$244&gt;35,FZ69+FY70-GH69,IF(A70&lt;'Données projet'!$A$244,$FW$205^A70,IF(A70='Données projet'!$A$244,'Données projet'!$B$244,FZ69+FY70-GH69)))</f>
        <v>250.38461538461544</v>
      </c>
      <c r="GA70" s="18">
        <f>FZ70*VLOOKUP('Données projet'!$B$17,Paramètres!$A$1:$I$89,3,0)*VLOOKUP('Données projet'!$B$17,Paramètres!$A$1:$I$89,5,0)</f>
        <v>167.95800000000006</v>
      </c>
      <c r="GB70" s="14">
        <f t="shared" si="103"/>
        <v>42.632362356023975</v>
      </c>
      <c r="GC70" s="22">
        <f t="shared" si="79"/>
        <v>366.77821443674179</v>
      </c>
      <c r="GD70" s="60">
        <f t="shared" si="80"/>
        <v>631.73228174495875</v>
      </c>
      <c r="GE70" s="60">
        <f ca="1">AVERAGE(OFFSET($GD$3,0,0,'Données projet'!$E$17+1,1))-AVERAGE(OFFSET($H$3,0,0,'Données projet'!$E$17+1,1))</f>
        <v>344.62096650402731</v>
      </c>
      <c r="GF70" s="60">
        <f t="shared" si="104"/>
        <v>277.30931495079346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10</v>
      </c>
      <c r="N71" s="14">
        <f>IF('Données projet'!$A$36&gt;35,N70+M71-V70,IF(A71&lt;'Données projet'!$A$36,$K$205^A71,IF(A71='Données projet'!$A$36,'Données projet'!$B$36,N70+M71-V70)))</f>
        <v>351.99999999999994</v>
      </c>
      <c r="O71" s="14">
        <f>N71*VLOOKUP('Données projet'!$B$9,Paramètres!$A$1:$I$89,3,0)*VLOOKUP('Données projet'!$B$9,Paramètres!$A$1:$I$89,5,0)</f>
        <v>302.01600000000002</v>
      </c>
      <c r="P71" s="14">
        <f t="shared" si="87"/>
        <v>71.598929630303871</v>
      </c>
      <c r="Q71" s="22">
        <f t="shared" si="54"/>
        <v>650.71266910611257</v>
      </c>
      <c r="R71" s="60">
        <f t="shared" si="55"/>
        <v>916.15905323333141</v>
      </c>
      <c r="S71" s="60">
        <f ca="1">AVERAGE(OFFSET($R$3,0,0,'Données projet'!$E$9+1,1))-AVERAGE(OFFSET($H$3,0,0,'Données projet'!$E$9+1,1))</f>
        <v>632.26350546340541</v>
      </c>
      <c r="T71" s="60">
        <f t="shared" si="88"/>
        <v>340.45335016367915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3.7599999999999909</v>
      </c>
      <c r="AI71" s="14">
        <f>IF('Données projet'!$A$62&gt;35,AI70+AH71-AQ70,IF(A71&lt;'Données projet'!$A$62,$AF$205^A71,IF(A71='Données projet'!$A$62,'Données projet'!$B$62,AI70+AH71-AQ70)))</f>
        <v>266.0800000000001</v>
      </c>
      <c r="AJ71" s="14">
        <f>AI71*VLOOKUP('Données projet'!$B$10,Paramètres!$A$1:$I$89,3,0)*VLOOKUP('Données projet'!$B$10,Paramètres!$A$1:$I$89,5,0)</f>
        <v>211.69324800000007</v>
      </c>
      <c r="AK71" s="14">
        <f t="shared" si="89"/>
        <v>52.305429867997155</v>
      </c>
      <c r="AL71" s="22">
        <f t="shared" si="58"/>
        <v>459.79769728676183</v>
      </c>
      <c r="AM71" s="60">
        <f t="shared" si="59"/>
        <v>725.24408141398067</v>
      </c>
      <c r="AN71" s="60">
        <f ca="1">AVERAGE(OFFSET($AM$3,0,0,'Données projet'!$E$10+1,1))-AVERAGE(OFFSET($H$3,0,0,'Données projet'!$E$10+1,1))</f>
        <v>336.25341821407534</v>
      </c>
      <c r="AO71" s="60">
        <f t="shared" si="90"/>
        <v>360.3246221345039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266.0800000000001</v>
      </c>
      <c r="BE71" s="14">
        <f>BD71*VLOOKUP('Données projet'!$B$11,Paramètres!$A$1:$I$89,3,0)*VLOOKUP('Données projet'!$B$11,Paramètres!$A$1:$I$89,5,0)</f>
        <v>211.69324800000007</v>
      </c>
      <c r="BF71" s="14">
        <f t="shared" si="91"/>
        <v>52.305429867997155</v>
      </c>
      <c r="BG71" s="22">
        <f t="shared" si="61"/>
        <v>459.79769728676183</v>
      </c>
      <c r="BH71" s="60">
        <f t="shared" si="62"/>
        <v>725.24408141398067</v>
      </c>
      <c r="BI71" s="60">
        <f ca="1">AVERAGE(OFFSET($BH$3,0,0,'Données projet'!$E$11+1,1))-AVERAGE(OFFSET($H$3,0,0,'Données projet'!$E$11+1,1))</f>
        <v>336.25341821407534</v>
      </c>
      <c r="BJ71" s="60">
        <f t="shared" si="92"/>
        <v>360.3246221345039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225.65711999999994</v>
      </c>
      <c r="CA71" s="14">
        <f t="shared" si="93"/>
        <v>55.342610076561513</v>
      </c>
      <c r="CB71" s="22">
        <f t="shared" si="64"/>
        <v>489.40786321667775</v>
      </c>
      <c r="CC71" s="60">
        <f t="shared" si="65"/>
        <v>754.85424734389653</v>
      </c>
      <c r="CD71" s="60">
        <f ca="1">AVERAGE(OFFSET($CC$3,0,0,'Données projet'!$E$12+1,1))-AVERAGE(OFFSET($H$3,0,0,'Données projet'!$E$12+1,1))</f>
        <v>469.67944008675863</v>
      </c>
      <c r="CE71" s="60">
        <f t="shared" si="94"/>
        <v>266.11908070867173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319.33333333333343</v>
      </c>
      <c r="CU71" s="18">
        <f>CT71*VLOOKUP('Données projet'!$B$13,Paramètres!$A$1:$I$89,3,0)*VLOOKUP('Données projet'!$B$13,Paramètres!$A$1:$I$89,5,0)</f>
        <v>249.08000000000007</v>
      </c>
      <c r="CV71" s="14">
        <f t="shared" si="95"/>
        <v>60.388894447487807</v>
      </c>
      <c r="CW71" s="22">
        <f t="shared" si="67"/>
        <v>538.99165782937473</v>
      </c>
      <c r="CX71" s="60">
        <f t="shared" si="68"/>
        <v>804.43804195659357</v>
      </c>
      <c r="CY71" s="60">
        <f ca="1">AVERAGE(OFFSET($CX$3,0,0,'Données projet'!$E$13+1,1))-AVERAGE(OFFSET($H$3,0,0,'Données projet'!$E$13+1,1))</f>
        <v>312.59632808777332</v>
      </c>
      <c r="CZ71" s="60">
        <f t="shared" si="96"/>
        <v>302.59481222418219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4.3589743589743595</v>
      </c>
      <c r="DO71" s="13">
        <f>IF('Données projet'!$A$166&gt;35,DO70+DN71-DW70,IF(A71&lt;'Données projet'!$A$166,$DL$205^A71,IF(A71='Données projet'!$A$166,'Données projet'!$B$166,DO70+DN71-DW70)))</f>
        <v>206.6666666666666</v>
      </c>
      <c r="DP71" s="18">
        <f>DO71*VLOOKUP('Données projet'!$B$14,Paramètres!$A$1:$I$89,3,0)*VLOOKUP('Données projet'!$B$14,Paramètres!$A$1:$I$89,5,0)</f>
        <v>196.66399999999993</v>
      </c>
      <c r="DQ71" s="14">
        <f t="shared" si="97"/>
        <v>49.010299712644574</v>
      </c>
      <c r="DR71" s="22">
        <f t="shared" si="70"/>
        <v>427.8827386661892</v>
      </c>
      <c r="DS71" s="60">
        <f t="shared" si="71"/>
        <v>693.32912279340803</v>
      </c>
      <c r="DT71" s="60">
        <f ca="1">AVERAGE(OFFSET($DS$3,0,0,'Données projet'!$E$14+1,1))-AVERAGE(OFFSET($H$3,0,0,'Données projet'!$E$14+1,1))</f>
        <v>398.29746143975166</v>
      </c>
      <c r="DU71" s="60">
        <f t="shared" si="98"/>
        <v>300.63705521148802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249.39999999999995</v>
      </c>
      <c r="EK71" s="18">
        <f>EJ71*VLOOKUP('Données projet'!$B$15,Paramètres!$A$1:$I$89,3,0)*VLOOKUP('Données projet'!$B$15,Paramètres!$A$1:$I$89,5,0)</f>
        <v>241.21967999999995</v>
      </c>
      <c r="EL71" s="14">
        <f t="shared" si="99"/>
        <v>58.701873105526744</v>
      </c>
      <c r="EM71" s="22">
        <f t="shared" si="73"/>
        <v>522.36337165879229</v>
      </c>
      <c r="EN71" s="60">
        <f t="shared" si="74"/>
        <v>787.80975578601112</v>
      </c>
      <c r="EO71" s="60">
        <f ca="1">AVERAGE(OFFSET($EN$3,0,0,'Données projet'!$E$15+1,1))-AVERAGE(OFFSET($H$3,0,0,'Données projet'!$E$15+1,1))</f>
        <v>496.33873798282525</v>
      </c>
      <c r="EP71" s="60">
        <f t="shared" si="100"/>
        <v>280.25465074992246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3.7599999999999909</v>
      </c>
      <c r="FE71" s="13">
        <f>IF('Données projet'!$A$218&gt;35,FE70+FD71-FM70,IF(A71&lt;'Données projet'!$A$218,$FB$205^A71,IF(A71='Données projet'!$A$218,'Données projet'!$B$218,FE70+FD71-FM70)))</f>
        <v>266.0800000000001</v>
      </c>
      <c r="FF71" s="18">
        <f>FE71*VLOOKUP('Données projet'!$B$16,Paramètres!$A$1:$I$89,3,0)*VLOOKUP('Données projet'!$B$16,Paramètres!$A$1:$I$89,5,0)</f>
        <v>232.44748800000013</v>
      </c>
      <c r="FG71" s="14">
        <f t="shared" si="101"/>
        <v>56.811559202463812</v>
      </c>
      <c r="FH71" s="22">
        <f t="shared" si="76"/>
        <v>503.79284054429132</v>
      </c>
      <c r="FI71" s="60">
        <f t="shared" si="77"/>
        <v>769.2392246715101</v>
      </c>
      <c r="FJ71" s="60">
        <f ca="1">AVERAGE(OFFSET($FI$3,0,0,'Données projet'!$E$16+1,1))-AVERAGE(OFFSET($H$3,0,0,'Données projet'!$E$16+1,1))</f>
        <v>363.28611056308665</v>
      </c>
      <c r="FK71" s="60">
        <f t="shared" si="102"/>
        <v>389.43647559455974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4.9999999999999947</v>
      </c>
      <c r="FZ71" s="13">
        <f>IF('Données projet'!$A$244&gt;35,FZ70+FY71-GH70,IF(A71&lt;'Données projet'!$A$244,$FW$205^A71,IF(A71='Données projet'!$A$244,'Données projet'!$B$244,FZ70+FY71-GH70)))</f>
        <v>255.38461538461544</v>
      </c>
      <c r="GA71" s="18">
        <f>FZ71*VLOOKUP('Données projet'!$B$17,Paramètres!$A$1:$I$89,3,0)*VLOOKUP('Données projet'!$B$17,Paramètres!$A$1:$I$89,5,0)</f>
        <v>171.31200000000004</v>
      </c>
      <c r="GB71" s="14">
        <f t="shared" si="103"/>
        <v>43.383736333098376</v>
      </c>
      <c r="GC71" s="22">
        <f t="shared" si="79"/>
        <v>373.92840744681308</v>
      </c>
      <c r="GD71" s="60">
        <f t="shared" si="80"/>
        <v>639.37479157403186</v>
      </c>
      <c r="GE71" s="60">
        <f ca="1">AVERAGE(OFFSET($GD$3,0,0,'Données projet'!$E$17+1,1))-AVERAGE(OFFSET($H$3,0,0,'Données projet'!$E$17+1,1))</f>
        <v>344.62096650402731</v>
      </c>
      <c r="GF71" s="60">
        <f t="shared" si="104"/>
        <v>277.30931495079346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10</v>
      </c>
      <c r="N72" s="14">
        <f>IF('Données projet'!$A$36&gt;35,N71+M72-V71,IF(A72&lt;'Données projet'!$A$36,$K$205^A72,IF(A72='Données projet'!$A$36,'Données projet'!$B$36,N71+M72-V71)))</f>
        <v>361.99999999999994</v>
      </c>
      <c r="O72" s="14">
        <f>N72*VLOOKUP('Données projet'!$B$9,Paramètres!$A$1:$I$89,3,0)*VLOOKUP('Données projet'!$B$9,Paramètres!$A$1:$I$89,5,0)</f>
        <v>310.596</v>
      </c>
      <c r="P72" s="14">
        <f t="shared" si="87"/>
        <v>73.393284775883487</v>
      </c>
      <c r="Q72" s="22">
        <f t="shared" si="54"/>
        <v>668.78133765133043</v>
      </c>
      <c r="R72" s="60">
        <f t="shared" si="55"/>
        <v>934.71149800139699</v>
      </c>
      <c r="S72" s="60">
        <f ca="1">AVERAGE(OFFSET($R$3,0,0,'Données projet'!$E$9+1,1))-AVERAGE(OFFSET($H$3,0,0,'Données projet'!$E$9+1,1))</f>
        <v>632.26350546340541</v>
      </c>
      <c r="T72" s="60">
        <f t="shared" si="88"/>
        <v>340.45335016367915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3.7599999999999909</v>
      </c>
      <c r="AI72" s="14">
        <f>IF('Données projet'!$A$62&gt;35,AI71+AH72-AQ71,IF(A72&lt;'Données projet'!$A$62,$AF$205^A72,IF(A72='Données projet'!$A$62,'Données projet'!$B$62,AI71+AH72-AQ71)))</f>
        <v>269.84000000000009</v>
      </c>
      <c r="AJ72" s="14">
        <f>AI72*VLOOKUP('Données projet'!$B$10,Paramètres!$A$1:$I$89,3,0)*VLOOKUP('Données projet'!$B$10,Paramètres!$A$1:$I$89,5,0)</f>
        <v>214.68470400000007</v>
      </c>
      <c r="AK72" s="14">
        <f t="shared" si="89"/>
        <v>52.957993157151179</v>
      </c>
      <c r="AL72" s="22">
        <f t="shared" si="58"/>
        <v>466.14436421537175</v>
      </c>
      <c r="AM72" s="60">
        <f t="shared" si="59"/>
        <v>732.07452456543831</v>
      </c>
      <c r="AN72" s="60">
        <f ca="1">AVERAGE(OFFSET($AM$3,0,0,'Données projet'!$E$10+1,1))-AVERAGE(OFFSET($H$3,0,0,'Données projet'!$E$10+1,1))</f>
        <v>336.25341821407534</v>
      </c>
      <c r="AO72" s="60">
        <f t="shared" si="90"/>
        <v>360.3246221345039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269.84000000000009</v>
      </c>
      <c r="BE72" s="14">
        <f>BD72*VLOOKUP('Données projet'!$B$11,Paramètres!$A$1:$I$89,3,0)*VLOOKUP('Données projet'!$B$11,Paramètres!$A$1:$I$89,5,0)</f>
        <v>214.68470400000007</v>
      </c>
      <c r="BF72" s="14">
        <f t="shared" si="91"/>
        <v>52.957993157151179</v>
      </c>
      <c r="BG72" s="22">
        <f t="shared" si="61"/>
        <v>466.14436421537175</v>
      </c>
      <c r="BH72" s="60">
        <f t="shared" si="62"/>
        <v>732.07452456543831</v>
      </c>
      <c r="BI72" s="60">
        <f ca="1">AVERAGE(OFFSET($BH$3,0,0,'Données projet'!$E$11+1,1))-AVERAGE(OFFSET($H$3,0,0,'Données projet'!$E$11+1,1))</f>
        <v>336.25341821407534</v>
      </c>
      <c r="BJ72" s="60">
        <f t="shared" si="92"/>
        <v>360.3246221345039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231.80975999999993</v>
      </c>
      <c r="CA72" s="14">
        <f t="shared" si="93"/>
        <v>56.673815277159328</v>
      </c>
      <c r="CB72" s="22">
        <f t="shared" si="64"/>
        <v>502.44222694105241</v>
      </c>
      <c r="CC72" s="60">
        <f t="shared" si="65"/>
        <v>768.37238729111891</v>
      </c>
      <c r="CD72" s="60">
        <f ca="1">AVERAGE(OFFSET($CC$3,0,0,'Données projet'!$E$12+1,1))-AVERAGE(OFFSET($H$3,0,0,'Données projet'!$E$12+1,1))</f>
        <v>469.67944008675863</v>
      </c>
      <c r="CE72" s="60">
        <f t="shared" si="94"/>
        <v>266.11908070867173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328.00000000000011</v>
      </c>
      <c r="CU72" s="18">
        <f>CT72*VLOOKUP('Données projet'!$B$13,Paramètres!$A$1:$I$89,3,0)*VLOOKUP('Données projet'!$B$13,Paramètres!$A$1:$I$89,5,0)</f>
        <v>255.84000000000009</v>
      </c>
      <c r="CV72" s="14">
        <f t="shared" si="95"/>
        <v>61.834803371075836</v>
      </c>
      <c r="CW72" s="22">
        <f t="shared" si="67"/>
        <v>553.28361587129064</v>
      </c>
      <c r="CX72" s="60">
        <f t="shared" si="68"/>
        <v>819.21377622135719</v>
      </c>
      <c r="CY72" s="60">
        <f ca="1">AVERAGE(OFFSET($CX$3,0,0,'Données projet'!$E$13+1,1))-AVERAGE(OFFSET($H$3,0,0,'Données projet'!$E$13+1,1))</f>
        <v>312.59632808777332</v>
      </c>
      <c r="CZ72" s="60">
        <f t="shared" si="96"/>
        <v>302.59481222418219</v>
      </c>
      <c r="DA72" s="16">
        <f>IF(ISNA(VLOOKUP(A72,'Données projet'!$A$139:$I$159,3,0)),0,VLOOKUP(A72,'Données projet'!$A$139:$I$159,3,0))</f>
        <v>7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4.3589743589743595</v>
      </c>
      <c r="DO72" s="13">
        <f>IF('Données projet'!$A$166&gt;35,DO71+DN72-DW71,IF(A72&lt;'Données projet'!$A$166,$DL$205^A72,IF(A72='Données projet'!$A$166,'Données projet'!$B$166,DO71+DN72-DW71)))</f>
        <v>211.02564102564097</v>
      </c>
      <c r="DP72" s="18">
        <f>DO72*VLOOKUP('Données projet'!$B$14,Paramètres!$A$1:$I$89,3,0)*VLOOKUP('Données projet'!$B$14,Paramètres!$A$1:$I$89,5,0)</f>
        <v>200.81199999999993</v>
      </c>
      <c r="DQ72" s="14">
        <f t="shared" si="97"/>
        <v>49.922578645138138</v>
      </c>
      <c r="DR72" s="22">
        <f t="shared" si="70"/>
        <v>436.69605780694877</v>
      </c>
      <c r="DS72" s="60">
        <f t="shared" si="71"/>
        <v>702.62621815701527</v>
      </c>
      <c r="DT72" s="60">
        <f ca="1">AVERAGE(OFFSET($DS$3,0,0,'Données projet'!$E$14+1,1))-AVERAGE(OFFSET($H$3,0,0,'Données projet'!$E$14+1,1))</f>
        <v>398.29746143975166</v>
      </c>
      <c r="DU72" s="60">
        <f t="shared" si="98"/>
        <v>300.63705521148802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256.19999999999993</v>
      </c>
      <c r="EK72" s="18">
        <f>EJ72*VLOOKUP('Données projet'!$B$15,Paramètres!$A$1:$I$89,3,0)*VLOOKUP('Données projet'!$B$15,Paramètres!$A$1:$I$89,5,0)</f>
        <v>247.79663999999997</v>
      </c>
      <c r="EL72" s="14">
        <f t="shared" si="99"/>
        <v>60.113881658336368</v>
      </c>
      <c r="EM72" s="22">
        <f t="shared" si="73"/>
        <v>536.27749188826908</v>
      </c>
      <c r="EN72" s="60">
        <f t="shared" si="74"/>
        <v>802.20765223833564</v>
      </c>
      <c r="EO72" s="60">
        <f ca="1">AVERAGE(OFFSET($EN$3,0,0,'Données projet'!$E$15+1,1))-AVERAGE(OFFSET($H$3,0,0,'Données projet'!$E$15+1,1))</f>
        <v>496.33873798282525</v>
      </c>
      <c r="EP72" s="60">
        <f t="shared" si="100"/>
        <v>280.25465074992246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3.7599999999999909</v>
      </c>
      <c r="FE72" s="13">
        <f>IF('Données projet'!$A$218&gt;35,FE71+FD72-FM71,IF(A72&lt;'Données projet'!$A$218,$FB$205^A72,IF(A72='Données projet'!$A$218,'Données projet'!$B$218,FE71+FD72-FM71)))</f>
        <v>269.84000000000009</v>
      </c>
      <c r="FF72" s="18">
        <f>FE72*VLOOKUP('Données projet'!$B$16,Paramètres!$A$1:$I$89,3,0)*VLOOKUP('Données projet'!$B$16,Paramètres!$A$1:$I$89,5,0)</f>
        <v>235.73222400000009</v>
      </c>
      <c r="FG72" s="14">
        <f t="shared" si="101"/>
        <v>57.520341025473186</v>
      </c>
      <c r="FH72" s="22">
        <f t="shared" si="76"/>
        <v>510.7482174193658</v>
      </c>
      <c r="FI72" s="60">
        <f t="shared" si="77"/>
        <v>776.67837776943236</v>
      </c>
      <c r="FJ72" s="60">
        <f ca="1">AVERAGE(OFFSET($FI$3,0,0,'Données projet'!$E$16+1,1))-AVERAGE(OFFSET($H$3,0,0,'Données projet'!$E$16+1,1))</f>
        <v>363.28611056308665</v>
      </c>
      <c r="FK72" s="60">
        <f t="shared" si="102"/>
        <v>389.43647559455974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4.9999999999999947</v>
      </c>
      <c r="FZ72" s="13">
        <f>IF('Données projet'!$A$244&gt;35,FZ71+FY72-GH71,IF(A72&lt;'Données projet'!$A$244,$FW$205^A72,IF(A72='Données projet'!$A$244,'Données projet'!$B$244,FZ71+FY72-GH71)))</f>
        <v>260.38461538461542</v>
      </c>
      <c r="GA72" s="18">
        <f>FZ72*VLOOKUP('Données projet'!$B$17,Paramètres!$A$1:$I$89,3,0)*VLOOKUP('Données projet'!$B$17,Paramètres!$A$1:$I$89,5,0)</f>
        <v>174.66600000000003</v>
      </c>
      <c r="GB72" s="14">
        <f t="shared" si="103"/>
        <v>44.133399826367565</v>
      </c>
      <c r="GC72" s="22">
        <f t="shared" si="79"/>
        <v>381.0756213642569</v>
      </c>
      <c r="GD72" s="60">
        <f t="shared" si="80"/>
        <v>647.00578171432346</v>
      </c>
      <c r="GE72" s="60">
        <f ca="1">AVERAGE(OFFSET($GD$3,0,0,'Données projet'!$E$17+1,1))-AVERAGE(OFFSET($H$3,0,0,'Données projet'!$E$17+1,1))</f>
        <v>344.62096650402731</v>
      </c>
      <c r="GF72" s="60">
        <f t="shared" si="104"/>
        <v>277.30931495079346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372</v>
      </c>
      <c r="L73" s="13">
        <f>VLOOKUP(A73,'Données projet'!$A$35:$I$55,9,0)</f>
        <v>10</v>
      </c>
      <c r="M73" s="13">
        <f t="array" ref="M73">INDEX(L:L,MIN(IF(ISNUMBER(L73:L269),ROW(L73:L269),"")))</f>
        <v>10</v>
      </c>
      <c r="N73" s="14">
        <f>IF('Données projet'!$A$36&gt;35,N72+M73-V72,IF(A73&lt;'Données projet'!$A$36,$K$205^A73,IF(A73='Données projet'!$A$36,'Données projet'!$B$36,N72+M73-V72)))</f>
        <v>371.99999999999994</v>
      </c>
      <c r="O73" s="14">
        <f>N73*VLOOKUP('Données projet'!$B$9,Paramètres!$A$1:$I$89,3,0)*VLOOKUP('Données projet'!$B$9,Paramètres!$A$1:$I$89,5,0)</f>
        <v>319.17599999999999</v>
      </c>
      <c r="P73" s="14">
        <f t="shared" si="87"/>
        <v>75.181878718947672</v>
      </c>
      <c r="Q73" s="22">
        <f t="shared" si="54"/>
        <v>686.83997210216705</v>
      </c>
      <c r="R73" s="60">
        <f t="shared" si="55"/>
        <v>953.2455162391766</v>
      </c>
      <c r="S73" s="60">
        <f ca="1">AVERAGE(OFFSET($R$3,0,0,'Données projet'!$E$9+1,1))-AVERAGE(OFFSET($H$3,0,0,'Données projet'!$E$9+1,1))</f>
        <v>632.26350546340541</v>
      </c>
      <c r="T73" s="60">
        <f t="shared" si="88"/>
        <v>340.45335016367915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56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273.59999999999997</v>
      </c>
      <c r="AG73" s="13">
        <f>VLOOKUP(A73,'Données projet'!$A$61:$I$81,9,0)</f>
        <v>3.7599999999999909</v>
      </c>
      <c r="AH73" s="13">
        <f t="array" ref="AH73">INDEX(AG:AG,MIN(IF(ISNUMBER(AG73:AG269),ROW(AG73:AG269),"")))</f>
        <v>3.7599999999999909</v>
      </c>
      <c r="AI73" s="14">
        <f>IF('Données projet'!$A$62&gt;35,AI72+AH73-AQ72,IF(A73&lt;'Données projet'!$A$62,$AF$205^A73,IF(A73='Données projet'!$A$62,'Données projet'!$B$62,AI72+AH73-AQ72)))</f>
        <v>273.60000000000008</v>
      </c>
      <c r="AJ73" s="14">
        <f>AI73*VLOOKUP('Données projet'!$B$10,Paramètres!$A$1:$I$89,3,0)*VLOOKUP('Données projet'!$B$10,Paramètres!$A$1:$I$89,5,0)</f>
        <v>217.67616000000007</v>
      </c>
      <c r="AK73" s="14">
        <f t="shared" si="89"/>
        <v>53.609498850196708</v>
      </c>
      <c r="AL73" s="22">
        <f t="shared" si="58"/>
        <v>472.48918916409275</v>
      </c>
      <c r="AM73" s="60">
        <f t="shared" si="59"/>
        <v>738.89473330110218</v>
      </c>
      <c r="AN73" s="60">
        <f ca="1">AVERAGE(OFFSET($AM$3,0,0,'Données projet'!$E$10+1,1))-AVERAGE(OFFSET($H$3,0,0,'Données projet'!$E$10+1,1))</f>
        <v>336.25341821407534</v>
      </c>
      <c r="AO73" s="60">
        <f t="shared" si="90"/>
        <v>360.3246221345039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20.9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273.59999999999997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273.60000000000008</v>
      </c>
      <c r="BE73" s="14">
        <f>BD73*VLOOKUP('Données projet'!$B$11,Paramètres!$A$1:$I$89,3,0)*VLOOKUP('Données projet'!$B$11,Paramètres!$A$1:$I$89,5,0)</f>
        <v>217.67616000000007</v>
      </c>
      <c r="BF73" s="14">
        <f t="shared" si="91"/>
        <v>53.609498850196708</v>
      </c>
      <c r="BG73" s="22">
        <f t="shared" si="61"/>
        <v>472.48918916409275</v>
      </c>
      <c r="BH73" s="60">
        <f t="shared" si="62"/>
        <v>738.89473330110218</v>
      </c>
      <c r="BI73" s="60">
        <f ca="1">AVERAGE(OFFSET($BH$3,0,0,'Données projet'!$E$11+1,1))-AVERAGE(OFFSET($H$3,0,0,'Données projet'!$E$11+1,1))</f>
        <v>336.25341821407534</v>
      </c>
      <c r="BJ73" s="60">
        <f t="shared" si="92"/>
        <v>360.3246221345039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20.9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237.96239999999995</v>
      </c>
      <c r="CA73" s="14">
        <f t="shared" si="93"/>
        <v>58.00091360766335</v>
      </c>
      <c r="CB73" s="22">
        <f t="shared" si="64"/>
        <v>515.4694378666801</v>
      </c>
      <c r="CC73" s="60">
        <f t="shared" si="65"/>
        <v>781.87498200368964</v>
      </c>
      <c r="CD73" s="60">
        <f ca="1">AVERAGE(OFFSET($CC$3,0,0,'Données projet'!$E$12+1,1))-AVERAGE(OFFSET($H$3,0,0,'Données projet'!$E$12+1,1))</f>
        <v>469.67944008675863</v>
      </c>
      <c r="CE73" s="60">
        <f t="shared" si="94"/>
        <v>266.11908070867173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1.1368683772161603E-13</v>
      </c>
      <c r="CU73" s="18">
        <f>CT73*VLOOKUP('Données projet'!$B$13,Paramètres!$A$1:$I$89,3,0)*VLOOKUP('Données projet'!$B$13,Paramètres!$A$1:$I$89,5,0)</f>
        <v>8.8675733422860506E-14</v>
      </c>
      <c r="CV73" s="14">
        <f t="shared" si="95"/>
        <v>1.3509285393066301E-12</v>
      </c>
      <c r="CW73" s="22">
        <f t="shared" si="67"/>
        <v>2.5073107750038623E-12</v>
      </c>
      <c r="CX73" s="60">
        <f t="shared" si="68"/>
        <v>266.40554413701199</v>
      </c>
      <c r="CY73" s="60">
        <f ca="1">AVERAGE(OFFSET($CX$3,0,0,'Données projet'!$E$13+1,1))-AVERAGE(OFFSET($H$3,0,0,'Données projet'!$E$13+1,1))</f>
        <v>312.59632808777332</v>
      </c>
      <c r="CZ73" s="60">
        <f t="shared" si="96"/>
        <v>302.59481222418219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215.38461538461539</v>
      </c>
      <c r="DM73" s="13">
        <f>VLOOKUP(A73,'Données projet'!$A$165:$I$185,9,0)</f>
        <v>4.3589743589743595</v>
      </c>
      <c r="DN73" s="13">
        <f t="array" ref="DN73">INDEX(DM:DM,MIN(IF(ISNUMBER(DM73:DM269),ROW(DM73:DM269),"")))</f>
        <v>4.3589743589743595</v>
      </c>
      <c r="DO73" s="13">
        <f>IF('Données projet'!$A$166&gt;35,DO72+DN73-DW72,IF(A73&lt;'Données projet'!$A$166,$DL$205^A73,IF(A73='Données projet'!$A$166,'Données projet'!$B$166,DO72+DN73-DW72)))</f>
        <v>215.38461538461533</v>
      </c>
      <c r="DP73" s="18">
        <f>DO73*VLOOKUP('Données projet'!$B$14,Paramètres!$A$1:$I$89,3,0)*VLOOKUP('Données projet'!$B$14,Paramètres!$A$1:$I$89,5,0)</f>
        <v>204.95999999999998</v>
      </c>
      <c r="DQ73" s="14">
        <f t="shared" si="97"/>
        <v>50.832666587809335</v>
      </c>
      <c r="DR73" s="22">
        <f t="shared" si="70"/>
        <v>445.50556097376784</v>
      </c>
      <c r="DS73" s="60">
        <f t="shared" si="71"/>
        <v>711.91110511077727</v>
      </c>
      <c r="DT73" s="60">
        <f ca="1">AVERAGE(OFFSET($DS$3,0,0,'Données projet'!$E$14+1,1))-AVERAGE(OFFSET($H$3,0,0,'Données projet'!$E$14+1,1))</f>
        <v>398.29746143975166</v>
      </c>
      <c r="DU73" s="60">
        <f t="shared" si="98"/>
        <v>300.63705521148802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28.846153846153847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263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262.99999999999994</v>
      </c>
      <c r="EK73" s="18">
        <f>EJ73*VLOOKUP('Données projet'!$B$15,Paramètres!$A$1:$I$89,3,0)*VLOOKUP('Données projet'!$B$15,Paramètres!$A$1:$I$89,5,0)</f>
        <v>254.37359999999998</v>
      </c>
      <c r="EL73" s="14">
        <f t="shared" si="99"/>
        <v>61.521534056516209</v>
      </c>
      <c r="EM73" s="22">
        <f t="shared" si="73"/>
        <v>550.1840251484324</v>
      </c>
      <c r="EN73" s="60">
        <f t="shared" si="74"/>
        <v>816.58956928544194</v>
      </c>
      <c r="EO73" s="60">
        <f ca="1">AVERAGE(OFFSET($EN$3,0,0,'Données projet'!$E$15+1,1))-AVERAGE(OFFSET($H$3,0,0,'Données projet'!$E$15+1,1))</f>
        <v>496.33873798282525</v>
      </c>
      <c r="EP73" s="60">
        <f t="shared" si="100"/>
        <v>280.25465074992246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42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273.59999999999997</v>
      </c>
      <c r="FC73" s="13">
        <f>VLOOKUP(A73,'Données projet'!$A$217:$I$237,9,0)</f>
        <v>3.7599999999999909</v>
      </c>
      <c r="FD73" s="13">
        <f t="array" ref="FD73">INDEX(FC:FC,MIN(IF(ISNUMBER(FC73:FC269),ROW(FC73:FC269),"")))</f>
        <v>3.7599999999999909</v>
      </c>
      <c r="FE73" s="13">
        <f>IF('Données projet'!$A$218&gt;35,FE72+FD73-FM72,IF(A73&lt;'Données projet'!$A$218,$FB$205^A73,IF(A73='Données projet'!$A$218,'Données projet'!$B$218,FE72+FD73-FM72)))</f>
        <v>273.60000000000008</v>
      </c>
      <c r="FF73" s="18">
        <f>FE73*VLOOKUP('Données projet'!$B$16,Paramètres!$A$1:$I$89,3,0)*VLOOKUP('Données projet'!$B$16,Paramètres!$A$1:$I$89,5,0)</f>
        <v>239.0169600000001</v>
      </c>
      <c r="FG73" s="14">
        <f t="shared" si="101"/>
        <v>58.22797414013467</v>
      </c>
      <c r="FH73" s="22">
        <f t="shared" si="76"/>
        <v>517.70159362740139</v>
      </c>
      <c r="FI73" s="60">
        <f t="shared" si="77"/>
        <v>784.10713776441094</v>
      </c>
      <c r="FJ73" s="60">
        <f ca="1">AVERAGE(OFFSET($FI$3,0,0,'Données projet'!$E$16+1,1))-AVERAGE(OFFSET($H$3,0,0,'Données projet'!$E$16+1,1))</f>
        <v>363.28611056308665</v>
      </c>
      <c r="FK73" s="60">
        <f t="shared" si="102"/>
        <v>389.43647559455974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20.9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265.38461538461536</v>
      </c>
      <c r="FX73" s="13">
        <f>VLOOKUP(A73,'Données projet'!$A$243:$I$263,9,0)</f>
        <v>4.9999999999999947</v>
      </c>
      <c r="FY73" s="13">
        <f t="array" ref="FY73">INDEX(FX:FX,MIN(IF(ISNUMBER(FX73:FX269),ROW(FX73:FX269),"")))</f>
        <v>4.9999999999999947</v>
      </c>
      <c r="FZ73" s="13">
        <f>IF('Données projet'!$A$244&gt;35,FZ72+FY73-GH72,IF(A73&lt;'Données projet'!$A$244,$FW$205^A73,IF(A73='Données projet'!$A$244,'Données projet'!$B$244,FZ72+FY73-GH72)))</f>
        <v>265.38461538461542</v>
      </c>
      <c r="GA73" s="18">
        <f>FZ73*VLOOKUP('Données projet'!$B$17,Paramètres!$A$1:$I$89,3,0)*VLOOKUP('Données projet'!$B$17,Paramètres!$A$1:$I$89,5,0)</f>
        <v>178.02000000000004</v>
      </c>
      <c r="GB73" s="14">
        <f t="shared" si="103"/>
        <v>44.881389467952083</v>
      </c>
      <c r="GC73" s="22">
        <f t="shared" si="79"/>
        <v>388.21991999001654</v>
      </c>
      <c r="GD73" s="60">
        <f t="shared" si="80"/>
        <v>654.62546412702602</v>
      </c>
      <c r="GE73" s="60">
        <f ca="1">AVERAGE(OFFSET($GD$3,0,0,'Données projet'!$E$17+1,1))-AVERAGE(OFFSET($H$3,0,0,'Données projet'!$E$17+1,1))</f>
        <v>344.62096650402731</v>
      </c>
      <c r="GF73" s="60">
        <f t="shared" si="104"/>
        <v>277.30931495079346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27.564102564102562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9.4</v>
      </c>
      <c r="N74" s="14">
        <f>IF('Données projet'!$A$36&gt;35,N73+M74-V73,IF(A74&lt;'Données projet'!$A$36,$K$205^A74,IF(A74='Données projet'!$A$36,'Données projet'!$B$36,N73+M74-V73)))</f>
        <v>325.39999999999992</v>
      </c>
      <c r="O74" s="14">
        <f>N74*VLOOKUP('Données projet'!$B$9,Paramètres!$A$1:$I$89,3,0)*VLOOKUP('Données projet'!$B$9,Paramètres!$A$1:$I$89,5,0)</f>
        <v>279.19319999999999</v>
      </c>
      <c r="P74" s="14">
        <f t="shared" si="87"/>
        <v>66.796480224937582</v>
      </c>
      <c r="Q74" s="22">
        <f t="shared" si="54"/>
        <v>602.5986930584329</v>
      </c>
      <c r="R74" s="60">
        <f t="shared" si="55"/>
        <v>869.47137413648079</v>
      </c>
      <c r="S74" s="60">
        <f ca="1">AVERAGE(OFFSET($R$3,0,0,'Données projet'!$E$9+1,1))-AVERAGE(OFFSET($H$3,0,0,'Données projet'!$E$9+1,1))</f>
        <v>632.26350546340541</v>
      </c>
      <c r="T74" s="60">
        <f t="shared" si="88"/>
        <v>340.45335016367915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3.4000000000000172</v>
      </c>
      <c r="AI74" s="14">
        <f>IF('Données projet'!$A$62&gt;35,AI73+AH74-AQ73,IF(A74&lt;'Données projet'!$A$62,$AF$205^A74,IF(A74='Données projet'!$A$62,'Données projet'!$B$62,AI73+AH74-AQ73)))</f>
        <v>256.10000000000014</v>
      </c>
      <c r="AJ74" s="14">
        <f>AI74*VLOOKUP('Données projet'!$B$10,Paramètres!$A$1:$I$89,3,0)*VLOOKUP('Données projet'!$B$10,Paramètres!$A$1:$I$89,5,0)</f>
        <v>203.75316000000012</v>
      </c>
      <c r="AK74" s="14">
        <f t="shared" si="89"/>
        <v>50.568104070523368</v>
      </c>
      <c r="AL74" s="22">
        <f t="shared" si="58"/>
        <v>442.94286825616172</v>
      </c>
      <c r="AM74" s="60">
        <f t="shared" si="59"/>
        <v>709.81554933420966</v>
      </c>
      <c r="AN74" s="60">
        <f ca="1">AVERAGE(OFFSET($AM$3,0,0,'Données projet'!$E$10+1,1))-AVERAGE(OFFSET($H$3,0,0,'Données projet'!$E$10+1,1))</f>
        <v>336.25341821407534</v>
      </c>
      <c r="AO74" s="60">
        <f t="shared" si="90"/>
        <v>360.3246221345039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3.4000000000000172</v>
      </c>
      <c r="BD74" s="13">
        <f>IF('Données projet'!$A$88&gt;35,BD73+BC74-BL73,IF(A74&lt;'Données projet'!$A$88,$BA$205^A74,IF(A74='Données projet'!$A$88,'Données projet'!$B$88,BD73+BC74-BL73)))</f>
        <v>256.10000000000014</v>
      </c>
      <c r="BE74" s="14">
        <f>BD74*VLOOKUP('Données projet'!$B$11,Paramètres!$A$1:$I$89,3,0)*VLOOKUP('Données projet'!$B$11,Paramètres!$A$1:$I$89,5,0)</f>
        <v>203.75316000000012</v>
      </c>
      <c r="BF74" s="14">
        <f t="shared" si="91"/>
        <v>50.568104070523368</v>
      </c>
      <c r="BG74" s="22">
        <f t="shared" si="61"/>
        <v>442.94286825616172</v>
      </c>
      <c r="BH74" s="60">
        <f t="shared" si="62"/>
        <v>709.81554933420966</v>
      </c>
      <c r="BI74" s="60">
        <f ca="1">AVERAGE(OFFSET($BH$3,0,0,'Données projet'!$E$11+1,1))-AVERAGE(OFFSET($H$3,0,0,'Données projet'!$E$11+1,1))</f>
        <v>336.25341821407534</v>
      </c>
      <c r="BJ74" s="60">
        <f t="shared" si="92"/>
        <v>360.3246221345039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205.57055999999994</v>
      </c>
      <c r="CA74" s="14">
        <f t="shared" si="93"/>
        <v>50.966443946767392</v>
      </c>
      <c r="CB74" s="22">
        <f t="shared" si="64"/>
        <v>446.80194854061978</v>
      </c>
      <c r="CC74" s="60">
        <f t="shared" si="65"/>
        <v>713.67462961866772</v>
      </c>
      <c r="CD74" s="60">
        <f ca="1">AVERAGE(OFFSET($CC$3,0,0,'Données projet'!$E$12+1,1))-AVERAGE(OFFSET($H$3,0,0,'Données projet'!$E$12+1,1))</f>
        <v>469.67944008675863</v>
      </c>
      <c r="CE74" s="60">
        <f t="shared" si="94"/>
        <v>266.11908070867173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8.8675733422860506E-14</v>
      </c>
      <c r="CV74" s="14">
        <f t="shared" si="95"/>
        <v>1.3509285393066301E-12</v>
      </c>
      <c r="CW74" s="22">
        <f t="shared" si="67"/>
        <v>2.5073107750038623E-12</v>
      </c>
      <c r="CX74" s="60">
        <f t="shared" si="68"/>
        <v>266.87268107805045</v>
      </c>
      <c r="CY74" s="60">
        <f ca="1">AVERAGE(OFFSET($CX$3,0,0,'Données projet'!$E$13+1,1))-AVERAGE(OFFSET($H$3,0,0,'Données projet'!$E$13+1,1))</f>
        <v>312.59632808777332</v>
      </c>
      <c r="CZ74" s="60">
        <f t="shared" si="96"/>
        <v>302.59481222418219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4.2307692307692264</v>
      </c>
      <c r="DO74" s="13">
        <f>IF('Données projet'!$A$166&gt;35,DO73+DN74-DW73,IF(A74&lt;'Données projet'!$A$166,$DL$205^A74,IF(A74='Données projet'!$A$166,'Données projet'!$B$166,DO73+DN74-DW73)))</f>
        <v>190.76923076923072</v>
      </c>
      <c r="DP74" s="18">
        <f>DO74*VLOOKUP('Données projet'!$B$14,Paramètres!$A$1:$I$89,3,0)*VLOOKUP('Données projet'!$B$14,Paramètres!$A$1:$I$89,5,0)</f>
        <v>181.53599999999997</v>
      </c>
      <c r="DQ74" s="14">
        <f t="shared" si="97"/>
        <v>45.663748686335545</v>
      </c>
      <c r="DR74" s="22">
        <f t="shared" si="70"/>
        <v>395.70622896203434</v>
      </c>
      <c r="DS74" s="60">
        <f t="shared" si="71"/>
        <v>662.57891004008229</v>
      </c>
      <c r="DT74" s="60">
        <f ca="1">AVERAGE(OFFSET($DS$3,0,0,'Données projet'!$E$14+1,1))-AVERAGE(OFFSET($H$3,0,0,'Données projet'!$E$14+1,1))</f>
        <v>398.29746143975166</v>
      </c>
      <c r="DU74" s="60">
        <f t="shared" si="98"/>
        <v>300.63705521148802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227.19999999999993</v>
      </c>
      <c r="EK74" s="18">
        <f>EJ74*VLOOKUP('Données projet'!$B$15,Paramètres!$A$1:$I$89,3,0)*VLOOKUP('Données projet'!$B$15,Paramètres!$A$1:$I$89,5,0)</f>
        <v>219.74783999999994</v>
      </c>
      <c r="EL74" s="14">
        <f t="shared" si="99"/>
        <v>54.060076332940561</v>
      </c>
      <c r="EM74" s="22">
        <f t="shared" si="73"/>
        <v>476.88212094653812</v>
      </c>
      <c r="EN74" s="60">
        <f t="shared" si="74"/>
        <v>743.75480202458607</v>
      </c>
      <c r="EO74" s="60">
        <f ca="1">AVERAGE(OFFSET($EN$3,0,0,'Données projet'!$E$15+1,1))-AVERAGE(OFFSET($H$3,0,0,'Données projet'!$E$15+1,1))</f>
        <v>496.33873798282525</v>
      </c>
      <c r="EP74" s="60">
        <f t="shared" si="100"/>
        <v>280.25465074992246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3.4000000000000172</v>
      </c>
      <c r="FE74" s="13">
        <f>IF('Données projet'!$A$218&gt;35,FE73+FD74-FM73,IF(A74&lt;'Données projet'!$A$218,$FB$205^A74,IF(A74='Données projet'!$A$218,'Données projet'!$B$218,FE73+FD74-FM73)))</f>
        <v>256.10000000000014</v>
      </c>
      <c r="FF74" s="18">
        <f>FE74*VLOOKUP('Données projet'!$B$16,Paramètres!$A$1:$I$89,3,0)*VLOOKUP('Données projet'!$B$16,Paramètres!$A$1:$I$89,5,0)</f>
        <v>223.72896000000014</v>
      </c>
      <c r="FG74" s="14">
        <f t="shared" si="101"/>
        <v>54.924562237784642</v>
      </c>
      <c r="FH74" s="22">
        <f t="shared" si="76"/>
        <v>485.32155123080855</v>
      </c>
      <c r="FI74" s="60">
        <f t="shared" si="77"/>
        <v>752.1942323088565</v>
      </c>
      <c r="FJ74" s="60">
        <f ca="1">AVERAGE(OFFSET($FI$3,0,0,'Données projet'!$E$16+1,1))-AVERAGE(OFFSET($H$3,0,0,'Données projet'!$E$16+1,1))</f>
        <v>363.28611056308665</v>
      </c>
      <c r="FK74" s="60">
        <f t="shared" si="102"/>
        <v>389.43647559455974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4.6153846153846247</v>
      </c>
      <c r="FZ74" s="13">
        <f>IF('Données projet'!$A$244&gt;35,FZ73+FY74-GH73,IF(A74&lt;'Données projet'!$A$244,$FW$205^A74,IF(A74='Données projet'!$A$244,'Données projet'!$B$244,FZ73+FY74-GH73)))</f>
        <v>242.43589743589749</v>
      </c>
      <c r="GA74" s="18">
        <f>FZ74*VLOOKUP('Données projet'!$B$17,Paramètres!$A$1:$I$89,3,0)*VLOOKUP('Données projet'!$B$17,Paramètres!$A$1:$I$89,5,0)</f>
        <v>162.62600000000003</v>
      </c>
      <c r="GB74" s="14">
        <f t="shared" si="103"/>
        <v>41.43425469159893</v>
      </c>
      <c r="GC74" s="22">
        <f t="shared" si="79"/>
        <v>355.40494358786822</v>
      </c>
      <c r="GD74" s="60">
        <f t="shared" si="80"/>
        <v>622.27762466591616</v>
      </c>
      <c r="GE74" s="60">
        <f ca="1">AVERAGE(OFFSET($GD$3,0,0,'Données projet'!$E$17+1,1))-AVERAGE(OFFSET($H$3,0,0,'Données projet'!$E$17+1,1))</f>
        <v>344.62096650402731</v>
      </c>
      <c r="GF74" s="60">
        <f t="shared" si="104"/>
        <v>277.30931495079346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9.4</v>
      </c>
      <c r="N75" s="14">
        <f>IF('Données projet'!$A$36&gt;35,N74+M75-V74,IF(A75&lt;'Données projet'!$A$36,$K$205^A75,IF(A75='Données projet'!$A$36,'Données projet'!$B$36,N74+M75-V74)))</f>
        <v>334.7999999999999</v>
      </c>
      <c r="O75" s="14">
        <f>N75*VLOOKUP('Données projet'!$B$9,Paramètres!$A$1:$I$89,3,0)*VLOOKUP('Données projet'!$B$9,Paramètres!$A$1:$I$89,5,0)</f>
        <v>287.25839999999994</v>
      </c>
      <c r="P75" s="14">
        <f t="shared" si="87"/>
        <v>68.498625255186852</v>
      </c>
      <c r="Q75" s="22">
        <f t="shared" si="54"/>
        <v>619.61015231945032</v>
      </c>
      <c r="R75" s="60">
        <f t="shared" si="55"/>
        <v>886.94186655697149</v>
      </c>
      <c r="S75" s="60">
        <f ca="1">AVERAGE(OFFSET($R$3,0,0,'Données projet'!$E$9+1,1))-AVERAGE(OFFSET($H$3,0,0,'Données projet'!$E$9+1,1))</f>
        <v>632.26350546340541</v>
      </c>
      <c r="T75" s="60">
        <f t="shared" si="88"/>
        <v>340.45335016367915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3.4000000000000172</v>
      </c>
      <c r="AI75" s="14">
        <f>IF('Données projet'!$A$62&gt;35,AI74+AH75-AQ74,IF(A75&lt;'Données projet'!$A$62,$AF$205^A75,IF(A75='Données projet'!$A$62,'Données projet'!$B$62,AI74+AH75-AQ74)))</f>
        <v>259.50000000000017</v>
      </c>
      <c r="AJ75" s="14">
        <f>AI75*VLOOKUP('Données projet'!$B$10,Paramètres!$A$1:$I$89,3,0)*VLOOKUP('Données projet'!$B$10,Paramètres!$A$1:$I$89,5,0)</f>
        <v>206.45820000000015</v>
      </c>
      <c r="AK75" s="14">
        <f t="shared" si="89"/>
        <v>51.160848757309601</v>
      </c>
      <c r="AL75" s="22">
        <f t="shared" si="58"/>
        <v>448.68650991898113</v>
      </c>
      <c r="AM75" s="60">
        <f t="shared" si="59"/>
        <v>716.01822415650224</v>
      </c>
      <c r="AN75" s="60">
        <f ca="1">AVERAGE(OFFSET($AM$3,0,0,'Données projet'!$E$10+1,1))-AVERAGE(OFFSET($H$3,0,0,'Données projet'!$E$10+1,1))</f>
        <v>336.25341821407534</v>
      </c>
      <c r="AO75" s="60">
        <f t="shared" si="90"/>
        <v>360.3246221345039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3.4000000000000172</v>
      </c>
      <c r="BD75" s="13">
        <f>IF('Données projet'!$A$88&gt;35,BD74+BC75-BL74,IF(A75&lt;'Données projet'!$A$88,$BA$205^A75,IF(A75='Données projet'!$A$88,'Données projet'!$B$88,BD74+BC75-BL74)))</f>
        <v>259.50000000000017</v>
      </c>
      <c r="BE75" s="14">
        <f>BD75*VLOOKUP('Données projet'!$B$11,Paramètres!$A$1:$I$89,3,0)*VLOOKUP('Données projet'!$B$11,Paramètres!$A$1:$I$89,5,0)</f>
        <v>206.45820000000015</v>
      </c>
      <c r="BF75" s="14">
        <f t="shared" si="91"/>
        <v>51.160848757309601</v>
      </c>
      <c r="BG75" s="22">
        <f t="shared" si="61"/>
        <v>448.68650991898113</v>
      </c>
      <c r="BH75" s="60">
        <f t="shared" si="62"/>
        <v>716.01822415650224</v>
      </c>
      <c r="BI75" s="60">
        <f ca="1">AVERAGE(OFFSET($BH$3,0,0,'Données projet'!$E$11+1,1))-AVERAGE(OFFSET($H$3,0,0,'Données projet'!$E$11+1,1))</f>
        <v>336.25341821407534</v>
      </c>
      <c r="BJ75" s="60">
        <f t="shared" si="92"/>
        <v>360.3246221345039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211.18031999999994</v>
      </c>
      <c r="CA75" s="14">
        <f t="shared" si="93"/>
        <v>52.193431117443019</v>
      </c>
      <c r="CB75" s="22">
        <f t="shared" si="64"/>
        <v>458.70928319621316</v>
      </c>
      <c r="CC75" s="60">
        <f t="shared" si="65"/>
        <v>726.04099743373422</v>
      </c>
      <c r="CD75" s="60">
        <f ca="1">AVERAGE(OFFSET($CC$3,0,0,'Données projet'!$E$12+1,1))-AVERAGE(OFFSET($H$3,0,0,'Données projet'!$E$12+1,1))</f>
        <v>469.67944008675863</v>
      </c>
      <c r="CE75" s="60">
        <f t="shared" si="94"/>
        <v>266.11908070867173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8.8675733422860506E-14</v>
      </c>
      <c r="CV75" s="14">
        <f t="shared" si="95"/>
        <v>1.3509285393066301E-12</v>
      </c>
      <c r="CW75" s="22">
        <f t="shared" si="67"/>
        <v>2.5073107750038623E-12</v>
      </c>
      <c r="CX75" s="60">
        <f t="shared" si="68"/>
        <v>267.33171423752361</v>
      </c>
      <c r="CY75" s="60">
        <f ca="1">AVERAGE(OFFSET($CX$3,0,0,'Données projet'!$E$13+1,1))-AVERAGE(OFFSET($H$3,0,0,'Données projet'!$E$13+1,1))</f>
        <v>312.59632808777332</v>
      </c>
      <c r="CZ75" s="60">
        <f t="shared" si="96"/>
        <v>302.59481222418219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4.2307692307692264</v>
      </c>
      <c r="DO75" s="13">
        <f>IF('Données projet'!$A$166&gt;35,DO74+DN75-DW74,IF(A75&lt;'Données projet'!$A$166,$DL$205^A75,IF(A75='Données projet'!$A$166,'Données projet'!$B$166,DO74+DN75-DW74)))</f>
        <v>194.99999999999994</v>
      </c>
      <c r="DP75" s="18">
        <f>DO75*VLOOKUP('Données projet'!$B$14,Paramètres!$A$1:$I$89,3,0)*VLOOKUP('Données projet'!$B$14,Paramètres!$A$1:$I$89,5,0)</f>
        <v>185.56199999999995</v>
      </c>
      <c r="DQ75" s="14">
        <f t="shared" si="97"/>
        <v>46.557428480028591</v>
      </c>
      <c r="DR75" s="22">
        <f t="shared" si="70"/>
        <v>404.27467126938308</v>
      </c>
      <c r="DS75" s="60">
        <f t="shared" si="71"/>
        <v>671.60638550690419</v>
      </c>
      <c r="DT75" s="60">
        <f ca="1">AVERAGE(OFFSET($DS$3,0,0,'Données projet'!$E$14+1,1))-AVERAGE(OFFSET($H$3,0,0,'Données projet'!$E$14+1,1))</f>
        <v>398.29746143975166</v>
      </c>
      <c r="DU75" s="60">
        <f t="shared" si="98"/>
        <v>300.63705521148802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233.39999999999992</v>
      </c>
      <c r="EK75" s="18">
        <f>EJ75*VLOOKUP('Données projet'!$B$15,Paramètres!$A$1:$I$89,3,0)*VLOOKUP('Données projet'!$B$15,Paramètres!$A$1:$I$89,5,0)</f>
        <v>225.74447999999992</v>
      </c>
      <c r="EL75" s="14">
        <f t="shared" si="99"/>
        <v>55.36154088431374</v>
      </c>
      <c r="EM75" s="22">
        <f t="shared" si="73"/>
        <v>489.59298637351299</v>
      </c>
      <c r="EN75" s="60">
        <f t="shared" si="74"/>
        <v>756.92470061103404</v>
      </c>
      <c r="EO75" s="60">
        <f ca="1">AVERAGE(OFFSET($EN$3,0,0,'Données projet'!$E$15+1,1))-AVERAGE(OFFSET($H$3,0,0,'Données projet'!$E$15+1,1))</f>
        <v>496.33873798282525</v>
      </c>
      <c r="EP75" s="60">
        <f t="shared" si="100"/>
        <v>280.25465074992246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3.4000000000000172</v>
      </c>
      <c r="FE75" s="13">
        <f>IF('Données projet'!$A$218&gt;35,FE74+FD75-FM74,IF(A75&lt;'Données projet'!$A$218,$FB$205^A75,IF(A75='Données projet'!$A$218,'Données projet'!$B$218,FE74+FD75-FM74)))</f>
        <v>259.50000000000017</v>
      </c>
      <c r="FF75" s="18">
        <f>FE75*VLOOKUP('Données projet'!$B$16,Paramètres!$A$1:$I$89,3,0)*VLOOKUP('Données projet'!$B$16,Paramètres!$A$1:$I$89,5,0)</f>
        <v>226.69920000000016</v>
      </c>
      <c r="FG75" s="14">
        <f t="shared" si="101"/>
        <v>55.568372066903464</v>
      </c>
      <c r="FH75" s="22">
        <f t="shared" si="76"/>
        <v>491.61602134985714</v>
      </c>
      <c r="FI75" s="60">
        <f t="shared" si="77"/>
        <v>758.94773558737825</v>
      </c>
      <c r="FJ75" s="60">
        <f ca="1">AVERAGE(OFFSET($FI$3,0,0,'Données projet'!$E$16+1,1))-AVERAGE(OFFSET($H$3,0,0,'Données projet'!$E$16+1,1))</f>
        <v>363.28611056308665</v>
      </c>
      <c r="FK75" s="60">
        <f t="shared" si="102"/>
        <v>389.43647559455974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4.6153846153846247</v>
      </c>
      <c r="FZ75" s="13">
        <f>IF('Données projet'!$A$244&gt;35,FZ74+FY75-GH74,IF(A75&lt;'Données projet'!$A$244,$FW$205^A75,IF(A75='Données projet'!$A$244,'Données projet'!$B$244,FZ74+FY75-GH74)))</f>
        <v>247.0512820512821</v>
      </c>
      <c r="GA75" s="18">
        <f>FZ75*VLOOKUP('Données projet'!$B$17,Paramètres!$A$1:$I$89,3,0)*VLOOKUP('Données projet'!$B$17,Paramètres!$A$1:$I$89,5,0)</f>
        <v>165.72200000000004</v>
      </c>
      <c r="GB75" s="14">
        <f t="shared" si="103"/>
        <v>42.130477313738041</v>
      </c>
      <c r="GC75" s="22">
        <f t="shared" si="79"/>
        <v>362.00973132142713</v>
      </c>
      <c r="GD75" s="60">
        <f t="shared" si="80"/>
        <v>629.34144555894818</v>
      </c>
      <c r="GE75" s="60">
        <f ca="1">AVERAGE(OFFSET($GD$3,0,0,'Données projet'!$E$17+1,1))-AVERAGE(OFFSET($H$3,0,0,'Données projet'!$E$17+1,1))</f>
        <v>344.62096650402731</v>
      </c>
      <c r="GF75" s="60">
        <f t="shared" si="104"/>
        <v>277.30931495079346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9.4</v>
      </c>
      <c r="N76" s="14">
        <f>IF('Données projet'!$A$36&gt;35,N75+M76-V75,IF(A76&lt;'Données projet'!$A$36,$K$205^A76,IF(A76='Données projet'!$A$36,'Données projet'!$B$36,N75+M76-V75)))</f>
        <v>344.19999999999987</v>
      </c>
      <c r="O76" s="14">
        <f>N76*VLOOKUP('Données projet'!$B$9,Paramètres!$A$1:$I$89,3,0)*VLOOKUP('Données projet'!$B$9,Paramètres!$A$1:$I$89,5,0)</f>
        <v>295.32359999999994</v>
      </c>
      <c r="P76" s="14">
        <f t="shared" si="87"/>
        <v>70.195215813509961</v>
      </c>
      <c r="Q76" s="22">
        <f t="shared" si="54"/>
        <v>636.61193754186297</v>
      </c>
      <c r="R76" s="60">
        <f t="shared" si="55"/>
        <v>904.3947217397847</v>
      </c>
      <c r="S76" s="60">
        <f ca="1">AVERAGE(OFFSET($R$3,0,0,'Données projet'!$E$9+1,1))-AVERAGE(OFFSET($H$3,0,0,'Données projet'!$E$9+1,1))</f>
        <v>632.26350546340541</v>
      </c>
      <c r="T76" s="60">
        <f t="shared" si="88"/>
        <v>340.45335016367915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3.4000000000000172</v>
      </c>
      <c r="AI76" s="14">
        <f>IF('Données projet'!$A$62&gt;35,AI75+AH76-AQ75,IF(A76&lt;'Données projet'!$A$62,$AF$205^A76,IF(A76='Données projet'!$A$62,'Données projet'!$B$62,AI75+AH76-AQ75)))</f>
        <v>262.9000000000002</v>
      </c>
      <c r="AJ76" s="14">
        <f>AI76*VLOOKUP('Données projet'!$B$10,Paramètres!$A$1:$I$89,3,0)*VLOOKUP('Données projet'!$B$10,Paramètres!$A$1:$I$89,5,0)</f>
        <v>209.16324000000014</v>
      </c>
      <c r="AK76" s="14">
        <f t="shared" si="89"/>
        <v>51.752690118703946</v>
      </c>
      <c r="AL76" s="22">
        <f t="shared" si="58"/>
        <v>454.42857829007625</v>
      </c>
      <c r="AM76" s="60">
        <f t="shared" si="59"/>
        <v>722.21136248799803</v>
      </c>
      <c r="AN76" s="60">
        <f ca="1">AVERAGE(OFFSET($AM$3,0,0,'Données projet'!$E$10+1,1))-AVERAGE(OFFSET($H$3,0,0,'Données projet'!$E$10+1,1))</f>
        <v>336.25341821407534</v>
      </c>
      <c r="AO76" s="60">
        <f t="shared" si="90"/>
        <v>360.3246221345039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3.4000000000000172</v>
      </c>
      <c r="BD76" s="13">
        <f>IF('Données projet'!$A$88&gt;35,BD75+BC76-BL75,IF(A76&lt;'Données projet'!$A$88,$BA$205^A76,IF(A76='Données projet'!$A$88,'Données projet'!$B$88,BD75+BC76-BL75)))</f>
        <v>262.9000000000002</v>
      </c>
      <c r="BE76" s="14">
        <f>BD76*VLOOKUP('Données projet'!$B$11,Paramètres!$A$1:$I$89,3,0)*VLOOKUP('Données projet'!$B$11,Paramètres!$A$1:$I$89,5,0)</f>
        <v>209.16324000000014</v>
      </c>
      <c r="BF76" s="14">
        <f t="shared" si="91"/>
        <v>51.752690118703946</v>
      </c>
      <c r="BG76" s="22">
        <f t="shared" si="61"/>
        <v>454.42857829007625</v>
      </c>
      <c r="BH76" s="60">
        <f t="shared" si="62"/>
        <v>722.21136248799803</v>
      </c>
      <c r="BI76" s="60">
        <f ca="1">AVERAGE(OFFSET($BH$3,0,0,'Données projet'!$E$11+1,1))-AVERAGE(OFFSET($H$3,0,0,'Données projet'!$E$11+1,1))</f>
        <v>336.25341821407534</v>
      </c>
      <c r="BJ76" s="60">
        <f t="shared" si="92"/>
        <v>360.3246221345039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216.7900799999999</v>
      </c>
      <c r="CA76" s="14">
        <f t="shared" si="93"/>
        <v>53.416629794462551</v>
      </c>
      <c r="CB76" s="22">
        <f t="shared" si="64"/>
        <v>470.61001955868869</v>
      </c>
      <c r="CC76" s="60">
        <f t="shared" si="65"/>
        <v>738.39280375661042</v>
      </c>
      <c r="CD76" s="60">
        <f ca="1">AVERAGE(OFFSET($CC$3,0,0,'Données projet'!$E$12+1,1))-AVERAGE(OFFSET($H$3,0,0,'Données projet'!$E$12+1,1))</f>
        <v>469.67944008675863</v>
      </c>
      <c r="CE76" s="60">
        <f t="shared" si="94"/>
        <v>266.11908070867173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8.8675733422860506E-14</v>
      </c>
      <c r="CV76" s="14">
        <f t="shared" si="95"/>
        <v>1.3509285393066301E-12</v>
      </c>
      <c r="CW76" s="22">
        <f t="shared" si="67"/>
        <v>2.5073107750038623E-12</v>
      </c>
      <c r="CX76" s="60">
        <f t="shared" si="68"/>
        <v>267.78278419792429</v>
      </c>
      <c r="CY76" s="60">
        <f ca="1">AVERAGE(OFFSET($CX$3,0,0,'Données projet'!$E$13+1,1))-AVERAGE(OFFSET($H$3,0,0,'Données projet'!$E$13+1,1))</f>
        <v>312.59632808777332</v>
      </c>
      <c r="CZ76" s="60">
        <f t="shared" si="96"/>
        <v>302.59481222418219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4.2307692307692264</v>
      </c>
      <c r="DO76" s="13">
        <f>IF('Données projet'!$A$166&gt;35,DO75+DN76-DW75,IF(A76&lt;'Données projet'!$A$166,$DL$205^A76,IF(A76='Données projet'!$A$166,'Données projet'!$B$166,DO75+DN76-DW75)))</f>
        <v>199.23076923076917</v>
      </c>
      <c r="DP76" s="18">
        <f>DO76*VLOOKUP('Données projet'!$B$14,Paramètres!$A$1:$I$89,3,0)*VLOOKUP('Données projet'!$B$14,Paramètres!$A$1:$I$89,5,0)</f>
        <v>189.58799999999994</v>
      </c>
      <c r="DQ76" s="14">
        <f t="shared" si="97"/>
        <v>47.44885399619001</v>
      </c>
      <c r="DR76" s="22">
        <f t="shared" si="70"/>
        <v>412.83918737669751</v>
      </c>
      <c r="DS76" s="60">
        <f t="shared" si="71"/>
        <v>680.62197157461924</v>
      </c>
      <c r="DT76" s="60">
        <f ca="1">AVERAGE(OFFSET($DS$3,0,0,'Données projet'!$E$14+1,1))-AVERAGE(OFFSET($H$3,0,0,'Données projet'!$E$14+1,1))</f>
        <v>398.29746143975166</v>
      </c>
      <c r="DU76" s="60">
        <f t="shared" si="98"/>
        <v>300.63705521148802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239.59999999999991</v>
      </c>
      <c r="EK76" s="18">
        <f>EJ76*VLOOKUP('Données projet'!$B$15,Paramètres!$A$1:$I$89,3,0)*VLOOKUP('Données projet'!$B$15,Paramètres!$A$1:$I$89,5,0)</f>
        <v>231.74111999999991</v>
      </c>
      <c r="EL76" s="14">
        <f t="shared" si="99"/>
        <v>56.658986982752438</v>
      </c>
      <c r="EM76" s="22">
        <f t="shared" si="73"/>
        <v>502.29685299496032</v>
      </c>
      <c r="EN76" s="60">
        <f t="shared" si="74"/>
        <v>770.07963719288205</v>
      </c>
      <c r="EO76" s="60">
        <f ca="1">AVERAGE(OFFSET($EN$3,0,0,'Données projet'!$E$15+1,1))-AVERAGE(OFFSET($H$3,0,0,'Données projet'!$E$15+1,1))</f>
        <v>496.33873798282525</v>
      </c>
      <c r="EP76" s="60">
        <f t="shared" si="100"/>
        <v>280.25465074992246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3.4000000000000172</v>
      </c>
      <c r="FE76" s="13">
        <f>IF('Données projet'!$A$218&gt;35,FE75+FD76-FM75,IF(A76&lt;'Données projet'!$A$218,$FB$205^A76,IF(A76='Données projet'!$A$218,'Données projet'!$B$218,FE75+FD76-FM75)))</f>
        <v>262.9000000000002</v>
      </c>
      <c r="FF76" s="18">
        <f>FE76*VLOOKUP('Données projet'!$B$16,Paramètres!$A$1:$I$89,3,0)*VLOOKUP('Données projet'!$B$16,Paramètres!$A$1:$I$89,5,0)</f>
        <v>229.66944000000021</v>
      </c>
      <c r="FG76" s="14">
        <f t="shared" si="101"/>
        <v>56.211200748862041</v>
      </c>
      <c r="FH76" s="22">
        <f t="shared" si="76"/>
        <v>497.90878263760169</v>
      </c>
      <c r="FI76" s="60">
        <f t="shared" si="77"/>
        <v>765.69156683552342</v>
      </c>
      <c r="FJ76" s="60">
        <f ca="1">AVERAGE(OFFSET($FI$3,0,0,'Données projet'!$E$16+1,1))-AVERAGE(OFFSET($H$3,0,0,'Données projet'!$E$16+1,1))</f>
        <v>363.28611056308665</v>
      </c>
      <c r="FK76" s="60">
        <f t="shared" si="102"/>
        <v>389.43647559455974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4.6153846153846247</v>
      </c>
      <c r="FZ76" s="13">
        <f>IF('Données projet'!$A$244&gt;35,FZ75+FY76-GH75,IF(A76&lt;'Données projet'!$A$244,$FW$205^A76,IF(A76='Données projet'!$A$244,'Données projet'!$B$244,FZ75+FY76-GH75)))</f>
        <v>251.66666666666671</v>
      </c>
      <c r="GA76" s="18">
        <f>FZ76*VLOOKUP('Données projet'!$B$17,Paramètres!$A$1:$I$89,3,0)*VLOOKUP('Données projet'!$B$17,Paramètres!$A$1:$I$89,5,0)</f>
        <v>168.81800000000004</v>
      </c>
      <c r="GB76" s="14">
        <f t="shared" si="103"/>
        <v>42.825187501685285</v>
      </c>
      <c r="GC76" s="22">
        <f t="shared" si="79"/>
        <v>368.61188489876866</v>
      </c>
      <c r="GD76" s="60">
        <f t="shared" si="80"/>
        <v>636.39466909669045</v>
      </c>
      <c r="GE76" s="60">
        <f ca="1">AVERAGE(OFFSET($GD$3,0,0,'Données projet'!$E$17+1,1))-AVERAGE(OFFSET($H$3,0,0,'Données projet'!$E$17+1,1))</f>
        <v>344.62096650402731</v>
      </c>
      <c r="GF76" s="60">
        <f t="shared" si="104"/>
        <v>277.30931495079346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9.4</v>
      </c>
      <c r="N77" s="14">
        <f>IF('Données projet'!$A$36&gt;35,N76+M77-V76,IF(A77&lt;'Données projet'!$A$36,$K$205^A77,IF(A77='Données projet'!$A$36,'Données projet'!$B$36,N76+M77-V76)))</f>
        <v>353.59999999999985</v>
      </c>
      <c r="O77" s="14">
        <f>N77*VLOOKUP('Données projet'!$B$9,Paramètres!$A$1:$I$89,3,0)*VLOOKUP('Données projet'!$B$9,Paramètres!$A$1:$I$89,5,0)</f>
        <v>303.38879999999989</v>
      </c>
      <c r="P77" s="14">
        <f t="shared" si="87"/>
        <v>71.88642102141435</v>
      </c>
      <c r="Q77" s="22">
        <f t="shared" si="54"/>
        <v>653.60434327896314</v>
      </c>
      <c r="R77" s="60">
        <f t="shared" si="55"/>
        <v>921.830372381914</v>
      </c>
      <c r="S77" s="60">
        <f ca="1">AVERAGE(OFFSET($R$3,0,0,'Données projet'!$E$9+1,1))-AVERAGE(OFFSET($H$3,0,0,'Données projet'!$E$9+1,1))</f>
        <v>632.26350546340541</v>
      </c>
      <c r="T77" s="60">
        <f t="shared" si="88"/>
        <v>340.45335016367915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3.4000000000000172</v>
      </c>
      <c r="AI77" s="14">
        <f>IF('Données projet'!$A$62&gt;35,AI76+AH77-AQ76,IF(A77&lt;'Données projet'!$A$62,$AF$205^A77,IF(A77='Données projet'!$A$62,'Données projet'!$B$62,AI76+AH77-AQ76)))</f>
        <v>266.30000000000024</v>
      </c>
      <c r="AJ77" s="14">
        <f>AI77*VLOOKUP('Données projet'!$B$10,Paramètres!$A$1:$I$89,3,0)*VLOOKUP('Données projet'!$B$10,Paramètres!$A$1:$I$89,5,0)</f>
        <v>211.8682800000002</v>
      </c>
      <c r="AK77" s="14">
        <f t="shared" si="89"/>
        <v>52.343641187871285</v>
      </c>
      <c r="AL77" s="22">
        <f t="shared" si="58"/>
        <v>460.16909606887612</v>
      </c>
      <c r="AM77" s="60">
        <f t="shared" si="59"/>
        <v>728.39512517182698</v>
      </c>
      <c r="AN77" s="60">
        <f ca="1">AVERAGE(OFFSET($AM$3,0,0,'Données projet'!$E$10+1,1))-AVERAGE(OFFSET($H$3,0,0,'Données projet'!$E$10+1,1))</f>
        <v>336.25341821407534</v>
      </c>
      <c r="AO77" s="60">
        <f t="shared" si="90"/>
        <v>360.3246221345039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3.4000000000000172</v>
      </c>
      <c r="BD77" s="13">
        <f>IF('Données projet'!$A$88&gt;35,BD76+BC77-BL76,IF(A77&lt;'Données projet'!$A$88,$BA$205^A77,IF(A77='Données projet'!$A$88,'Données projet'!$B$88,BD76+BC77-BL76)))</f>
        <v>266.30000000000024</v>
      </c>
      <c r="BE77" s="14">
        <f>BD77*VLOOKUP('Données projet'!$B$11,Paramètres!$A$1:$I$89,3,0)*VLOOKUP('Données projet'!$B$11,Paramètres!$A$1:$I$89,5,0)</f>
        <v>211.8682800000002</v>
      </c>
      <c r="BF77" s="14">
        <f t="shared" si="91"/>
        <v>52.343641187871285</v>
      </c>
      <c r="BG77" s="22">
        <f t="shared" si="61"/>
        <v>460.16909606887612</v>
      </c>
      <c r="BH77" s="60">
        <f t="shared" si="62"/>
        <v>728.39512517182698</v>
      </c>
      <c r="BI77" s="60">
        <f ca="1">AVERAGE(OFFSET($BH$3,0,0,'Données projet'!$E$11+1,1))-AVERAGE(OFFSET($H$3,0,0,'Données projet'!$E$11+1,1))</f>
        <v>336.25341821407534</v>
      </c>
      <c r="BJ77" s="60">
        <f t="shared" si="92"/>
        <v>360.3246221345039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222.3998399999999</v>
      </c>
      <c r="CA77" s="14">
        <f t="shared" si="93"/>
        <v>54.636149281681448</v>
      </c>
      <c r="CB77" s="22">
        <f t="shared" si="64"/>
        <v>482.50434799892832</v>
      </c>
      <c r="CC77" s="60">
        <f t="shared" si="65"/>
        <v>750.73037710187918</v>
      </c>
      <c r="CD77" s="60">
        <f ca="1">AVERAGE(OFFSET($CC$3,0,0,'Données projet'!$E$12+1,1))-AVERAGE(OFFSET($H$3,0,0,'Données projet'!$E$12+1,1))</f>
        <v>469.67944008675863</v>
      </c>
      <c r="CE77" s="60">
        <f t="shared" si="94"/>
        <v>266.11908070867173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8.8675733422860506E-14</v>
      </c>
      <c r="CV77" s="14">
        <f t="shared" si="95"/>
        <v>1.3509285393066301E-12</v>
      </c>
      <c r="CW77" s="22">
        <f t="shared" si="67"/>
        <v>2.5073107750038623E-12</v>
      </c>
      <c r="CX77" s="60">
        <f t="shared" si="68"/>
        <v>268.22602910295336</v>
      </c>
      <c r="CY77" s="60">
        <f ca="1">AVERAGE(OFFSET($CX$3,0,0,'Données projet'!$E$13+1,1))-AVERAGE(OFFSET($H$3,0,0,'Données projet'!$E$13+1,1))</f>
        <v>312.59632808777332</v>
      </c>
      <c r="CZ77" s="60">
        <f t="shared" si="96"/>
        <v>302.59481222418219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4.2307692307692264</v>
      </c>
      <c r="DO77" s="13">
        <f>IF('Données projet'!$A$166&gt;35,DO76+DN77-DW76,IF(A77&lt;'Données projet'!$A$166,$DL$205^A77,IF(A77='Données projet'!$A$166,'Données projet'!$B$166,DO76+DN77-DW76)))</f>
        <v>203.4615384615384</v>
      </c>
      <c r="DP77" s="18">
        <f>DO77*VLOOKUP('Données projet'!$B$14,Paramètres!$A$1:$I$89,3,0)*VLOOKUP('Données projet'!$B$14,Paramètres!$A$1:$I$89,5,0)</f>
        <v>193.61399999999995</v>
      </c>
      <c r="DQ77" s="14">
        <f t="shared" si="97"/>
        <v>48.338078619840999</v>
      </c>
      <c r="DR77" s="22">
        <f t="shared" si="70"/>
        <v>421.39987026288964</v>
      </c>
      <c r="DS77" s="60">
        <f t="shared" si="71"/>
        <v>689.6258993658405</v>
      </c>
      <c r="DT77" s="60">
        <f ca="1">AVERAGE(OFFSET($DS$3,0,0,'Données projet'!$E$14+1,1))-AVERAGE(OFFSET($H$3,0,0,'Données projet'!$E$14+1,1))</f>
        <v>398.29746143975166</v>
      </c>
      <c r="DU77" s="60">
        <f t="shared" si="98"/>
        <v>300.63705521148802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245.7999999999999</v>
      </c>
      <c r="EK77" s="18">
        <f>EJ77*VLOOKUP('Données projet'!$B$15,Paramètres!$A$1:$I$89,3,0)*VLOOKUP('Données projet'!$B$15,Paramètres!$A$1:$I$89,5,0)</f>
        <v>237.73775999999989</v>
      </c>
      <c r="EL77" s="14">
        <f t="shared" si="99"/>
        <v>57.952530566790166</v>
      </c>
      <c r="EM77" s="22">
        <f t="shared" si="73"/>
        <v>514.99392273715932</v>
      </c>
      <c r="EN77" s="60">
        <f t="shared" si="74"/>
        <v>783.21995184011018</v>
      </c>
      <c r="EO77" s="60">
        <f ca="1">AVERAGE(OFFSET($EN$3,0,0,'Données projet'!$E$15+1,1))-AVERAGE(OFFSET($H$3,0,0,'Données projet'!$E$15+1,1))</f>
        <v>496.33873798282525</v>
      </c>
      <c r="EP77" s="60">
        <f t="shared" si="100"/>
        <v>280.25465074992246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3.4000000000000172</v>
      </c>
      <c r="FE77" s="13">
        <f>IF('Données projet'!$A$218&gt;35,FE76+FD77-FM76,IF(A77&lt;'Données projet'!$A$218,$FB$205^A77,IF(A77='Données projet'!$A$218,'Données projet'!$B$218,FE76+FD77-FM76)))</f>
        <v>266.30000000000024</v>
      </c>
      <c r="FF77" s="18">
        <f>FE77*VLOOKUP('Données projet'!$B$16,Paramètres!$A$1:$I$89,3,0)*VLOOKUP('Données projet'!$B$16,Paramètres!$A$1:$I$89,5,0)</f>
        <v>232.63968000000025</v>
      </c>
      <c r="FG77" s="14">
        <f t="shared" si="101"/>
        <v>56.853062439636545</v>
      </c>
      <c r="FH77" s="22">
        <f t="shared" si="76"/>
        <v>504.19985974903403</v>
      </c>
      <c r="FI77" s="60">
        <f t="shared" si="77"/>
        <v>772.42588885198484</v>
      </c>
      <c r="FJ77" s="60">
        <f ca="1">AVERAGE(OFFSET($FI$3,0,0,'Données projet'!$E$16+1,1))-AVERAGE(OFFSET($H$3,0,0,'Données projet'!$E$16+1,1))</f>
        <v>363.28611056308665</v>
      </c>
      <c r="FK77" s="60">
        <f t="shared" si="102"/>
        <v>389.43647559455974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4.6153846153846247</v>
      </c>
      <c r="FZ77" s="13">
        <f>IF('Données projet'!$A$244&gt;35,FZ76+FY77-GH76,IF(A77&lt;'Données projet'!$A$244,$FW$205^A77,IF(A77='Données projet'!$A$244,'Données projet'!$B$244,FZ76+FY77-GH76)))</f>
        <v>256.28205128205133</v>
      </c>
      <c r="GA77" s="18">
        <f>FZ77*VLOOKUP('Données projet'!$B$17,Paramètres!$A$1:$I$89,3,0)*VLOOKUP('Données projet'!$B$17,Paramètres!$A$1:$I$89,5,0)</f>
        <v>171.91400000000002</v>
      </c>
      <c r="GB77" s="14">
        <f t="shared" si="103"/>
        <v>43.518416191440224</v>
      </c>
      <c r="GC77" s="22">
        <f t="shared" si="79"/>
        <v>375.21145820009173</v>
      </c>
      <c r="GD77" s="60">
        <f t="shared" si="80"/>
        <v>643.43748730304264</v>
      </c>
      <c r="GE77" s="60">
        <f ca="1">AVERAGE(OFFSET($GD$3,0,0,'Données projet'!$E$17+1,1))-AVERAGE(OFFSET($H$3,0,0,'Données projet'!$E$17+1,1))</f>
        <v>344.62096650402731</v>
      </c>
      <c r="GF77" s="60">
        <f t="shared" si="104"/>
        <v>277.30931495079346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363</v>
      </c>
      <c r="L78" s="13">
        <f>VLOOKUP(A78,'Données projet'!$A$35:$I$55,9,0)</f>
        <v>9.4</v>
      </c>
      <c r="M78" s="13">
        <f t="array" ref="M78">INDEX(L:L,MIN(IF(ISNUMBER(L78:L274),ROW(L78:L274),"")))</f>
        <v>9.4</v>
      </c>
      <c r="N78" s="14">
        <f>IF('Données projet'!$A$36&gt;35,N77+M78-V77,IF(A78&lt;'Données projet'!$A$36,$K$205^A78,IF(A78='Données projet'!$A$36,'Données projet'!$B$36,N77+M78-V77)))</f>
        <v>362.99999999999983</v>
      </c>
      <c r="O78" s="14">
        <f>N78*VLOOKUP('Données projet'!$B$9,Paramètres!$A$1:$I$89,3,0)*VLOOKUP('Données projet'!$B$9,Paramètres!$A$1:$I$89,5,0)</f>
        <v>311.45399999999989</v>
      </c>
      <c r="P78" s="14">
        <f t="shared" si="87"/>
        <v>73.572400496659426</v>
      </c>
      <c r="Q78" s="22">
        <f t="shared" si="54"/>
        <v>670.58764753168168</v>
      </c>
      <c r="R78" s="60">
        <f t="shared" si="55"/>
        <v>939.24923223150654</v>
      </c>
      <c r="S78" s="60">
        <f ca="1">AVERAGE(OFFSET($R$3,0,0,'Données projet'!$E$9+1,1))-AVERAGE(OFFSET($H$3,0,0,'Données projet'!$E$9+1,1))</f>
        <v>632.26350546340541</v>
      </c>
      <c r="T78" s="60">
        <f t="shared" si="88"/>
        <v>340.45335016367915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269.70000000000005</v>
      </c>
      <c r="AG78" s="13">
        <f>VLOOKUP(A78,'Données projet'!$A$61:$I$81,9,0)</f>
        <v>3.4000000000000172</v>
      </c>
      <c r="AH78" s="13">
        <f t="array" ref="AH78">INDEX(AG:AG,MIN(IF(ISNUMBER(AG78:AG274),ROW(AG78:AG274),"")))</f>
        <v>3.4000000000000172</v>
      </c>
      <c r="AI78" s="14">
        <f>IF('Données projet'!$A$62&gt;35,AI77+AH78-AQ77,IF(A78&lt;'Données projet'!$A$62,$AF$205^A78,IF(A78='Données projet'!$A$62,'Données projet'!$B$62,AI77+AH78-AQ77)))</f>
        <v>269.70000000000027</v>
      </c>
      <c r="AJ78" s="14">
        <f>AI78*VLOOKUP('Données projet'!$B$10,Paramètres!$A$1:$I$89,3,0)*VLOOKUP('Données projet'!$B$10,Paramètres!$A$1:$I$89,5,0)</f>
        <v>214.57332000000022</v>
      </c>
      <c r="AK78" s="14">
        <f t="shared" si="89"/>
        <v>52.933714646037032</v>
      </c>
      <c r="AL78" s="22">
        <f t="shared" si="58"/>
        <v>465.90808534184816</v>
      </c>
      <c r="AM78" s="60">
        <f t="shared" si="59"/>
        <v>734.56967004167291</v>
      </c>
      <c r="AN78" s="60">
        <f ca="1">AVERAGE(OFFSET($AM$3,0,0,'Données projet'!$E$10+1,1))-AVERAGE(OFFSET($H$3,0,0,'Données projet'!$E$10+1,1))</f>
        <v>336.25341821407534</v>
      </c>
      <c r="AO78" s="60">
        <f t="shared" si="90"/>
        <v>360.3246221345039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269.70000000000005</v>
      </c>
      <c r="BB78" s="13">
        <f>VLOOKUP(A78,'Données projet'!$A$87:$I$107,9,0)</f>
        <v>3.4000000000000172</v>
      </c>
      <c r="BC78" s="13">
        <f t="array" ref="BC78">INDEX(BB:BB,MIN(IF(ISNUMBER(BB78:BB274),ROW(BB78:BB274),"")))</f>
        <v>3.4000000000000172</v>
      </c>
      <c r="BD78" s="13">
        <f>IF('Données projet'!$A$88&gt;35,BD77+BC78-BL77,IF(A78&lt;'Données projet'!$A$88,$BA$205^A78,IF(A78='Données projet'!$A$88,'Données projet'!$B$88,BD77+BC78-BL77)))</f>
        <v>269.70000000000027</v>
      </c>
      <c r="BE78" s="14">
        <f>BD78*VLOOKUP('Données projet'!$B$11,Paramètres!$A$1:$I$89,3,0)*VLOOKUP('Données projet'!$B$11,Paramètres!$A$1:$I$89,5,0)</f>
        <v>214.57332000000022</v>
      </c>
      <c r="BF78" s="14">
        <f t="shared" si="91"/>
        <v>52.933714646037032</v>
      </c>
      <c r="BG78" s="22">
        <f t="shared" si="61"/>
        <v>465.90808534184816</v>
      </c>
      <c r="BH78" s="60">
        <f t="shared" si="62"/>
        <v>734.56967004167291</v>
      </c>
      <c r="BI78" s="60">
        <f ca="1">AVERAGE(OFFSET($BH$3,0,0,'Données projet'!$E$11+1,1))-AVERAGE(OFFSET($H$3,0,0,'Données projet'!$E$11+1,1))</f>
        <v>336.25341821407534</v>
      </c>
      <c r="BJ78" s="60">
        <f t="shared" si="92"/>
        <v>360.3246221345039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228.00959999999986</v>
      </c>
      <c r="CA78" s="14">
        <f t="shared" si="93"/>
        <v>55.852093054619779</v>
      </c>
      <c r="CB78" s="22">
        <f t="shared" si="64"/>
        <v>494.39244873679587</v>
      </c>
      <c r="CC78" s="60">
        <f t="shared" si="65"/>
        <v>763.05403343662067</v>
      </c>
      <c r="CD78" s="60">
        <f ca="1">AVERAGE(OFFSET($CC$3,0,0,'Données projet'!$E$12+1,1))-AVERAGE(OFFSET($H$3,0,0,'Données projet'!$E$12+1,1))</f>
        <v>469.67944008675863</v>
      </c>
      <c r="CE78" s="60">
        <f t="shared" si="94"/>
        <v>266.11908070867173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8.8675733422860506E-14</v>
      </c>
      <c r="CV78" s="14">
        <f t="shared" si="95"/>
        <v>1.3509285393066301E-12</v>
      </c>
      <c r="CW78" s="22">
        <f t="shared" si="67"/>
        <v>2.5073107750038623E-12</v>
      </c>
      <c r="CX78" s="60">
        <f t="shared" si="68"/>
        <v>268.6615846998273</v>
      </c>
      <c r="CY78" s="60">
        <f ca="1">AVERAGE(OFFSET($CX$3,0,0,'Données projet'!$E$13+1,1))-AVERAGE(OFFSET($H$3,0,0,'Données projet'!$E$13+1,1))</f>
        <v>312.59632808777332</v>
      </c>
      <c r="CZ78" s="60">
        <f t="shared" si="96"/>
        <v>302.59481222418219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207.69230769230768</v>
      </c>
      <c r="DM78" s="13">
        <f>VLOOKUP(A78,'Données projet'!$A$165:$I$185,9,0)</f>
        <v>4.2307692307692264</v>
      </c>
      <c r="DN78" s="13">
        <f t="array" ref="DN78">INDEX(DM:DM,MIN(IF(ISNUMBER(DM78:DM274),ROW(DM78:DM274),"")))</f>
        <v>4.2307692307692264</v>
      </c>
      <c r="DO78" s="13">
        <f>IF('Données projet'!$A$166&gt;35,DO77+DN78-DW77,IF(A78&lt;'Données projet'!$A$166,$DL$205^A78,IF(A78='Données projet'!$A$166,'Données projet'!$B$166,DO77+DN78-DW77)))</f>
        <v>207.69230769230762</v>
      </c>
      <c r="DP78" s="18">
        <f>DO78*VLOOKUP('Données projet'!$B$14,Paramètres!$A$1:$I$89,3,0)*VLOOKUP('Données projet'!$B$14,Paramètres!$A$1:$I$89,5,0)</f>
        <v>197.63999999999993</v>
      </c>
      <c r="DQ78" s="14">
        <f t="shared" si="97"/>
        <v>49.22515338895078</v>
      </c>
      <c r="DR78" s="22">
        <f t="shared" si="70"/>
        <v>429.95680881908919</v>
      </c>
      <c r="DS78" s="60">
        <f t="shared" si="71"/>
        <v>698.61839351891399</v>
      </c>
      <c r="DT78" s="60">
        <f ca="1">AVERAGE(OFFSET($DS$3,0,0,'Données projet'!$E$14+1,1))-AVERAGE(OFFSET($H$3,0,0,'Données projet'!$E$14+1,1))</f>
        <v>398.29746143975166</v>
      </c>
      <c r="DU78" s="60">
        <f t="shared" si="98"/>
        <v>300.63705521148802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252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251.99999999999989</v>
      </c>
      <c r="EK78" s="18">
        <f>EJ78*VLOOKUP('Données projet'!$B$15,Paramètres!$A$1:$I$89,3,0)*VLOOKUP('Données projet'!$B$15,Paramètres!$A$1:$I$89,5,0)</f>
        <v>243.73439999999988</v>
      </c>
      <c r="EL78" s="14">
        <f t="shared" si="99"/>
        <v>59.242281392848767</v>
      </c>
      <c r="EM78" s="22">
        <f t="shared" si="73"/>
        <v>527.68438675921141</v>
      </c>
      <c r="EN78" s="60">
        <f t="shared" si="74"/>
        <v>796.34597145903626</v>
      </c>
      <c r="EO78" s="60">
        <f ca="1">AVERAGE(OFFSET($EN$3,0,0,'Données projet'!$E$15+1,1))-AVERAGE(OFFSET($H$3,0,0,'Données projet'!$E$15+1,1))</f>
        <v>496.33873798282525</v>
      </c>
      <c r="EP78" s="60">
        <f t="shared" si="100"/>
        <v>280.25465074992246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269.70000000000005</v>
      </c>
      <c r="FC78" s="13">
        <f>VLOOKUP(A78,'Données projet'!$A$217:$I$237,9,0)</f>
        <v>3.4000000000000172</v>
      </c>
      <c r="FD78" s="13">
        <f t="array" ref="FD78">INDEX(FC:FC,MIN(IF(ISNUMBER(FC78:FC274),ROW(FC78:FC274),"")))</f>
        <v>3.4000000000000172</v>
      </c>
      <c r="FE78" s="13">
        <f>IF('Données projet'!$A$218&gt;35,FE77+FD78-FM77,IF(A78&lt;'Données projet'!$A$218,$FB$205^A78,IF(A78='Données projet'!$A$218,'Données projet'!$B$218,FE77+FD78-FM77)))</f>
        <v>269.70000000000027</v>
      </c>
      <c r="FF78" s="18">
        <f>FE78*VLOOKUP('Données projet'!$B$16,Paramètres!$A$1:$I$89,3,0)*VLOOKUP('Données projet'!$B$16,Paramètres!$A$1:$I$89,5,0)</f>
        <v>235.6099200000003</v>
      </c>
      <c r="FG78" s="14">
        <f t="shared" si="101"/>
        <v>57.493970912943951</v>
      </c>
      <c r="FH78" s="22">
        <f t="shared" si="76"/>
        <v>510.4892766733779</v>
      </c>
      <c r="FI78" s="60">
        <f t="shared" si="77"/>
        <v>779.1508613732027</v>
      </c>
      <c r="FJ78" s="60">
        <f ca="1">AVERAGE(OFFSET($FI$3,0,0,'Données projet'!$E$16+1,1))-AVERAGE(OFFSET($H$3,0,0,'Données projet'!$E$16+1,1))</f>
        <v>363.28611056308665</v>
      </c>
      <c r="FK78" s="60">
        <f t="shared" si="102"/>
        <v>389.43647559455974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260.89743589743591</v>
      </c>
      <c r="FX78" s="13">
        <f>VLOOKUP(A78,'Données projet'!$A$243:$I$263,9,0)</f>
        <v>4.6153846153846247</v>
      </c>
      <c r="FY78" s="13">
        <f t="array" ref="FY78">INDEX(FX:FX,MIN(IF(ISNUMBER(FX78:FX274),ROW(FX78:FX274),"")))</f>
        <v>4.6153846153846247</v>
      </c>
      <c r="FZ78" s="13">
        <f>IF('Données projet'!$A$244&gt;35,FZ77+FY78-GH77,IF(A78&lt;'Données projet'!$A$244,$FW$205^A78,IF(A78='Données projet'!$A$244,'Données projet'!$B$244,FZ77+FY78-GH77)))</f>
        <v>260.89743589743597</v>
      </c>
      <c r="GA78" s="18">
        <f>FZ78*VLOOKUP('Données projet'!$B$17,Paramètres!$A$1:$I$89,3,0)*VLOOKUP('Données projet'!$B$17,Paramètres!$A$1:$I$89,5,0)</f>
        <v>175.01000000000005</v>
      </c>
      <c r="GB78" s="14">
        <f t="shared" si="103"/>
        <v>44.210193140944192</v>
      </c>
      <c r="GC78" s="22">
        <f t="shared" si="79"/>
        <v>381.80850305381119</v>
      </c>
      <c r="GD78" s="60">
        <f t="shared" si="80"/>
        <v>650.47008775363599</v>
      </c>
      <c r="GE78" s="60">
        <f ca="1">AVERAGE(OFFSET($GD$3,0,0,'Données projet'!$E$17+1,1))-AVERAGE(OFFSET($H$3,0,0,'Données projet'!$E$17+1,1))</f>
        <v>344.62096650402731</v>
      </c>
      <c r="GF78" s="60">
        <f t="shared" si="104"/>
        <v>277.30931495079346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8.8000000000000007</v>
      </c>
      <c r="N79" s="14">
        <f>IF('Données projet'!$A$36&gt;35,N78+M79-V78,IF(A79&lt;'Données projet'!$A$36,$K$205^A79,IF(A79='Données projet'!$A$36,'Données projet'!$B$36,N78+M79-V78)))</f>
        <v>371.79999999999984</v>
      </c>
      <c r="O79" s="14">
        <f>N79*VLOOKUP('Données projet'!$B$9,Paramètres!$A$1:$I$89,3,0)*VLOOKUP('Données projet'!$B$9,Paramètres!$A$1:$I$89,5,0)</f>
        <v>319.00439999999992</v>
      </c>
      <c r="P79" s="14">
        <f t="shared" si="87"/>
        <v>75.146162166748525</v>
      </c>
      <c r="Q79" s="22">
        <f t="shared" si="54"/>
        <v>686.47889577375361</v>
      </c>
      <c r="R79" s="60">
        <f t="shared" si="55"/>
        <v>955.56848015460309</v>
      </c>
      <c r="S79" s="60">
        <f ca="1">AVERAGE(OFFSET($R$3,0,0,'Données projet'!$E$9+1,1))-AVERAGE(OFFSET($H$3,0,0,'Données projet'!$E$9+1,1))</f>
        <v>632.26350546340541</v>
      </c>
      <c r="T79" s="60">
        <f t="shared" si="88"/>
        <v>340.45335016367915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2.9799999999999955</v>
      </c>
      <c r="AI79" s="14">
        <f>IF('Données projet'!$A$62&gt;35,AI78+AH79-AQ78,IF(A79&lt;'Données projet'!$A$62,$AF$205^A79,IF(A79='Données projet'!$A$62,'Données projet'!$B$62,AI78+AH79-AQ78)))</f>
        <v>272.68000000000029</v>
      </c>
      <c r="AJ79" s="14">
        <f>AI79*VLOOKUP('Données projet'!$B$10,Paramètres!$A$1:$I$89,3,0)*VLOOKUP('Données projet'!$B$10,Paramètres!$A$1:$I$89,5,0)</f>
        <v>216.94420800000023</v>
      </c>
      <c r="AK79" s="14">
        <f t="shared" si="89"/>
        <v>53.450184726422172</v>
      </c>
      <c r="AL79" s="22">
        <f t="shared" si="58"/>
        <v>470.93690066518553</v>
      </c>
      <c r="AM79" s="60">
        <f t="shared" si="59"/>
        <v>740.02648504603496</v>
      </c>
      <c r="AN79" s="60">
        <f ca="1">AVERAGE(OFFSET($AM$3,0,0,'Données projet'!$E$10+1,1))-AVERAGE(OFFSET($H$3,0,0,'Données projet'!$E$10+1,1))</f>
        <v>336.25341821407534</v>
      </c>
      <c r="AO79" s="60">
        <f t="shared" si="90"/>
        <v>360.3246221345039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272.68000000000029</v>
      </c>
      <c r="BE79" s="14">
        <f>BD79*VLOOKUP('Données projet'!$B$11,Paramètres!$A$1:$I$89,3,0)*VLOOKUP('Données projet'!$B$11,Paramètres!$A$1:$I$89,5,0)</f>
        <v>216.94420800000023</v>
      </c>
      <c r="BF79" s="14">
        <f t="shared" si="91"/>
        <v>53.450184726422172</v>
      </c>
      <c r="BG79" s="22">
        <f t="shared" si="61"/>
        <v>470.93690066518553</v>
      </c>
      <c r="BH79" s="60">
        <f t="shared" si="62"/>
        <v>740.02648504603496</v>
      </c>
      <c r="BI79" s="60">
        <f ca="1">AVERAGE(OFFSET($BH$3,0,0,'Données projet'!$E$11+1,1))-AVERAGE(OFFSET($H$3,0,0,'Données projet'!$E$11+1,1))</f>
        <v>336.25341821407534</v>
      </c>
      <c r="BJ79" s="60">
        <f t="shared" si="92"/>
        <v>360.3246221345039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233.43839999999989</v>
      </c>
      <c r="CA79" s="14">
        <f t="shared" si="93"/>
        <v>57.025500710931624</v>
      </c>
      <c r="CB79" s="22">
        <f t="shared" si="64"/>
        <v>505.89129373820577</v>
      </c>
      <c r="CC79" s="60">
        <f t="shared" si="65"/>
        <v>774.98087811905521</v>
      </c>
      <c r="CD79" s="60">
        <f ca="1">AVERAGE(OFFSET($CC$3,0,0,'Données projet'!$E$12+1,1))-AVERAGE(OFFSET($H$3,0,0,'Données projet'!$E$12+1,1))</f>
        <v>469.67944008675863</v>
      </c>
      <c r="CE79" s="60">
        <f t="shared" si="94"/>
        <v>266.11908070867173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8.8675733422860506E-14</v>
      </c>
      <c r="CV79" s="14">
        <f t="shared" si="95"/>
        <v>1.3509285393066301E-12</v>
      </c>
      <c r="CW79" s="22">
        <f t="shared" si="67"/>
        <v>2.5073107750038623E-12</v>
      </c>
      <c r="CX79" s="60">
        <f t="shared" si="68"/>
        <v>269.08958438085193</v>
      </c>
      <c r="CY79" s="60">
        <f ca="1">AVERAGE(OFFSET($CX$3,0,0,'Données projet'!$E$13+1,1))-AVERAGE(OFFSET($H$3,0,0,'Données projet'!$E$13+1,1))</f>
        <v>312.59632808777332</v>
      </c>
      <c r="CZ79" s="60">
        <f t="shared" si="96"/>
        <v>302.59481222418219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3.974358974358978</v>
      </c>
      <c r="DO79" s="13">
        <f>IF('Données projet'!$A$166&gt;35,DO78+DN79-DW78,IF(A79&lt;'Données projet'!$A$166,$DL$205^A79,IF(A79='Données projet'!$A$166,'Données projet'!$B$166,DO78+DN79-DW78)))</f>
        <v>211.6666666666666</v>
      </c>
      <c r="DP79" s="18">
        <f>DO79*VLOOKUP('Données projet'!$B$14,Paramètres!$A$1:$I$89,3,0)*VLOOKUP('Données projet'!$B$14,Paramètres!$A$1:$I$89,5,0)</f>
        <v>201.42199999999994</v>
      </c>
      <c r="DQ79" s="14">
        <f t="shared" si="97"/>
        <v>50.056551308279687</v>
      </c>
      <c r="DR79" s="22">
        <f t="shared" si="70"/>
        <v>437.99181019525372</v>
      </c>
      <c r="DS79" s="60">
        <f t="shared" si="71"/>
        <v>707.08139457610309</v>
      </c>
      <c r="DT79" s="60">
        <f ca="1">AVERAGE(OFFSET($DS$3,0,0,'Données projet'!$E$14+1,1))-AVERAGE(OFFSET($H$3,0,0,'Données projet'!$E$14+1,1))</f>
        <v>398.29746143975166</v>
      </c>
      <c r="DU79" s="60">
        <f t="shared" si="98"/>
        <v>300.63705521148802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257.99999999999989</v>
      </c>
      <c r="EK79" s="18">
        <f>EJ79*VLOOKUP('Données projet'!$B$15,Paramètres!$A$1:$I$89,3,0)*VLOOKUP('Données projet'!$B$15,Paramètres!$A$1:$I$89,5,0)</f>
        <v>249.53759999999988</v>
      </c>
      <c r="EL79" s="14">
        <f t="shared" si="99"/>
        <v>60.486914185674671</v>
      </c>
      <c r="EM79" s="22">
        <f t="shared" si="73"/>
        <v>539.95936220671649</v>
      </c>
      <c r="EN79" s="60">
        <f t="shared" si="74"/>
        <v>809.04894658756598</v>
      </c>
      <c r="EO79" s="60">
        <f ca="1">AVERAGE(OFFSET($EN$3,0,0,'Données projet'!$E$15+1,1))-AVERAGE(OFFSET($H$3,0,0,'Données projet'!$E$15+1,1))</f>
        <v>496.33873798282525</v>
      </c>
      <c r="EP79" s="60">
        <f t="shared" si="100"/>
        <v>280.25465074992246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2.9799999999999955</v>
      </c>
      <c r="FE79" s="13">
        <f>IF('Données projet'!$A$218&gt;35,FE78+FD79-FM78,IF(A79&lt;'Données projet'!$A$218,$FB$205^A79,IF(A79='Données projet'!$A$218,'Données projet'!$B$218,FE78+FD79-FM78)))</f>
        <v>272.68000000000029</v>
      </c>
      <c r="FF79" s="18">
        <f>FE79*VLOOKUP('Données projet'!$B$16,Paramètres!$A$1:$I$89,3,0)*VLOOKUP('Données projet'!$B$16,Paramètres!$A$1:$I$89,5,0)</f>
        <v>238.21324800000031</v>
      </c>
      <c r="FG79" s="14">
        <f t="shared" si="101"/>
        <v>58.05493505418417</v>
      </c>
      <c r="FH79" s="22">
        <f t="shared" si="76"/>
        <v>516.00041881937125</v>
      </c>
      <c r="FI79" s="60">
        <f t="shared" si="77"/>
        <v>785.09000320022074</v>
      </c>
      <c r="FJ79" s="60">
        <f ca="1">AVERAGE(OFFSET($FI$3,0,0,'Données projet'!$E$16+1,1))-AVERAGE(OFFSET($H$3,0,0,'Données projet'!$E$16+1,1))</f>
        <v>363.28611056308665</v>
      </c>
      <c r="FK79" s="60">
        <f t="shared" si="102"/>
        <v>389.43647559455974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4.2307692307692264</v>
      </c>
      <c r="FZ79" s="13">
        <f>IF('Données projet'!$A$244&gt;35,FZ78+FY79-GH78,IF(A79&lt;'Données projet'!$A$244,$FW$205^A79,IF(A79='Données projet'!$A$244,'Données projet'!$B$244,FZ78+FY79-GH78)))</f>
        <v>265.1282051282052</v>
      </c>
      <c r="GA79" s="18">
        <f>FZ79*VLOOKUP('Données projet'!$B$17,Paramètres!$A$1:$I$89,3,0)*VLOOKUP('Données projet'!$B$17,Paramètres!$A$1:$I$89,5,0)</f>
        <v>177.84800000000004</v>
      </c>
      <c r="GB79" s="14">
        <f t="shared" si="103"/>
        <v>44.84307118144492</v>
      </c>
      <c r="GC79" s="22">
        <f t="shared" si="79"/>
        <v>387.85361564101663</v>
      </c>
      <c r="GD79" s="60">
        <f t="shared" si="80"/>
        <v>656.94320002186601</v>
      </c>
      <c r="GE79" s="60">
        <f ca="1">AVERAGE(OFFSET($GD$3,0,0,'Données projet'!$E$17+1,1))-AVERAGE(OFFSET($H$3,0,0,'Données projet'!$E$17+1,1))</f>
        <v>344.62096650402731</v>
      </c>
      <c r="GF79" s="60">
        <f t="shared" si="104"/>
        <v>277.30931495079346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8.8000000000000007</v>
      </c>
      <c r="N80" s="14">
        <f>IF('Données projet'!$A$36&gt;35,N79+M80-V79,IF(A80&lt;'Données projet'!$A$36,$K$205^A80,IF(A80='Données projet'!$A$36,'Données projet'!$B$36,N79+M80-V79)))</f>
        <v>380.59999999999985</v>
      </c>
      <c r="O80" s="14">
        <f>N80*VLOOKUP('Données projet'!$B$9,Paramètres!$A$1:$I$89,3,0)*VLOOKUP('Données projet'!$B$9,Paramètres!$A$1:$I$89,5,0)</f>
        <v>326.55479999999989</v>
      </c>
      <c r="P80" s="14">
        <f t="shared" si="87"/>
        <v>76.715593616667192</v>
      </c>
      <c r="Q80" s="22">
        <f t="shared" si="54"/>
        <v>702.36260221569512</v>
      </c>
      <c r="R80" s="60">
        <f t="shared" si="55"/>
        <v>971.87276143996746</v>
      </c>
      <c r="S80" s="60">
        <f ca="1">AVERAGE(OFFSET($R$3,0,0,'Données projet'!$E$9+1,1))-AVERAGE(OFFSET($H$3,0,0,'Données projet'!$E$9+1,1))</f>
        <v>632.26350546340541</v>
      </c>
      <c r="T80" s="60">
        <f t="shared" si="88"/>
        <v>340.45335016367915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2.9799999999999955</v>
      </c>
      <c r="AI80" s="14">
        <f>IF('Données projet'!$A$62&gt;35,AI79+AH80-AQ79,IF(A80&lt;'Données projet'!$A$62,$AF$205^A80,IF(A80='Données projet'!$A$62,'Données projet'!$B$62,AI79+AH80-AQ79)))</f>
        <v>275.66000000000031</v>
      </c>
      <c r="AJ80" s="14">
        <f>AI80*VLOOKUP('Données projet'!$B$10,Paramètres!$A$1:$I$89,3,0)*VLOOKUP('Données projet'!$B$10,Paramètres!$A$1:$I$89,5,0)</f>
        <v>219.31509600000024</v>
      </c>
      <c r="AK80" s="14">
        <f t="shared" si="89"/>
        <v>53.965998217102616</v>
      </c>
      <c r="AL80" s="22">
        <f t="shared" si="58"/>
        <v>475.96457242812079</v>
      </c>
      <c r="AM80" s="60">
        <f t="shared" si="59"/>
        <v>745.47473165239307</v>
      </c>
      <c r="AN80" s="60">
        <f ca="1">AVERAGE(OFFSET($AM$3,0,0,'Données projet'!$E$10+1,1))-AVERAGE(OFFSET($H$3,0,0,'Données projet'!$E$10+1,1))</f>
        <v>336.25341821407534</v>
      </c>
      <c r="AO80" s="60">
        <f t="shared" si="90"/>
        <v>360.3246221345039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275.66000000000031</v>
      </c>
      <c r="BE80" s="14">
        <f>BD80*VLOOKUP('Données projet'!$B$11,Paramètres!$A$1:$I$89,3,0)*VLOOKUP('Données projet'!$B$11,Paramètres!$A$1:$I$89,5,0)</f>
        <v>219.31509600000024</v>
      </c>
      <c r="BF80" s="14">
        <f t="shared" si="91"/>
        <v>53.965998217102616</v>
      </c>
      <c r="BG80" s="22">
        <f t="shared" si="61"/>
        <v>475.96457242812079</v>
      </c>
      <c r="BH80" s="60">
        <f t="shared" si="62"/>
        <v>745.47473165239307</v>
      </c>
      <c r="BI80" s="60">
        <f ca="1">AVERAGE(OFFSET($BH$3,0,0,'Données projet'!$E$11+1,1))-AVERAGE(OFFSET($H$3,0,0,'Données projet'!$E$11+1,1))</f>
        <v>336.25341821407534</v>
      </c>
      <c r="BJ80" s="60">
        <f t="shared" si="92"/>
        <v>360.3246221345039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238.86719999999988</v>
      </c>
      <c r="CA80" s="14">
        <f t="shared" si="93"/>
        <v>58.195735973104156</v>
      </c>
      <c r="CB80" s="22">
        <f t="shared" si="64"/>
        <v>517.38461348648957</v>
      </c>
      <c r="CC80" s="60">
        <f t="shared" si="65"/>
        <v>786.8947727107618</v>
      </c>
      <c r="CD80" s="60">
        <f ca="1">AVERAGE(OFFSET($CC$3,0,0,'Données projet'!$E$12+1,1))-AVERAGE(OFFSET($H$3,0,0,'Données projet'!$E$12+1,1))</f>
        <v>469.67944008675863</v>
      </c>
      <c r="CE80" s="60">
        <f t="shared" si="94"/>
        <v>266.11908070867173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8.8675733422860506E-14</v>
      </c>
      <c r="CV80" s="14">
        <f t="shared" si="95"/>
        <v>1.3509285393066301E-12</v>
      </c>
      <c r="CW80" s="22">
        <f t="shared" si="67"/>
        <v>2.5073107750038623E-12</v>
      </c>
      <c r="CX80" s="60">
        <f t="shared" si="68"/>
        <v>269.51015922427479</v>
      </c>
      <c r="CY80" s="60">
        <f ca="1">AVERAGE(OFFSET($CX$3,0,0,'Données projet'!$E$13+1,1))-AVERAGE(OFFSET($H$3,0,0,'Données projet'!$E$13+1,1))</f>
        <v>312.59632808777332</v>
      </c>
      <c r="CZ80" s="60">
        <f t="shared" si="96"/>
        <v>302.59481222418219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3.974358974358978</v>
      </c>
      <c r="DO80" s="13">
        <f>IF('Données projet'!$A$166&gt;35,DO79+DN80-DW79,IF(A80&lt;'Données projet'!$A$166,$DL$205^A80,IF(A80='Données projet'!$A$166,'Données projet'!$B$166,DO79+DN80-DW79)))</f>
        <v>215.64102564102558</v>
      </c>
      <c r="DP80" s="18">
        <f>DO80*VLOOKUP('Données projet'!$B$14,Paramètres!$A$1:$I$89,3,0)*VLOOKUP('Données projet'!$B$14,Paramètres!$A$1:$I$89,5,0)</f>
        <v>205.20399999999995</v>
      </c>
      <c r="DQ80" s="14">
        <f t="shared" si="97"/>
        <v>50.886134008708602</v>
      </c>
      <c r="DR80" s="22">
        <f t="shared" si="70"/>
        <v>446.02365006516737</v>
      </c>
      <c r="DS80" s="60">
        <f t="shared" si="71"/>
        <v>715.53380928943966</v>
      </c>
      <c r="DT80" s="60">
        <f ca="1">AVERAGE(OFFSET($DS$3,0,0,'Données projet'!$E$14+1,1))-AVERAGE(OFFSET($H$3,0,0,'Données projet'!$E$14+1,1))</f>
        <v>398.29746143975166</v>
      </c>
      <c r="DU80" s="60">
        <f t="shared" si="98"/>
        <v>300.63705521148802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263.99999999999989</v>
      </c>
      <c r="EK80" s="18">
        <f>EJ80*VLOOKUP('Données projet'!$B$15,Paramètres!$A$1:$I$89,3,0)*VLOOKUP('Données projet'!$B$15,Paramètres!$A$1:$I$89,5,0)</f>
        <v>255.34079999999989</v>
      </c>
      <c r="EL80" s="14">
        <f t="shared" si="99"/>
        <v>61.728182021951895</v>
      </c>
      <c r="EM80" s="22">
        <f t="shared" si="73"/>
        <v>552.22847702156594</v>
      </c>
      <c r="EN80" s="60">
        <f t="shared" si="74"/>
        <v>821.73863624583828</v>
      </c>
      <c r="EO80" s="60">
        <f ca="1">AVERAGE(OFFSET($EN$3,0,0,'Données projet'!$E$15+1,1))-AVERAGE(OFFSET($H$3,0,0,'Données projet'!$E$15+1,1))</f>
        <v>496.33873798282525</v>
      </c>
      <c r="EP80" s="60">
        <f t="shared" si="100"/>
        <v>280.25465074992246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2.9799999999999955</v>
      </c>
      <c r="FE80" s="13">
        <f>IF('Données projet'!$A$218&gt;35,FE79+FD80-FM79,IF(A80&lt;'Données projet'!$A$218,$FB$205^A80,IF(A80='Données projet'!$A$218,'Données projet'!$B$218,FE79+FD80-FM79)))</f>
        <v>275.66000000000031</v>
      </c>
      <c r="FF80" s="18">
        <f>FE80*VLOOKUP('Données projet'!$B$16,Paramètres!$A$1:$I$89,3,0)*VLOOKUP('Données projet'!$B$16,Paramètres!$A$1:$I$89,5,0)</f>
        <v>240.81657600000031</v>
      </c>
      <c r="FG80" s="14">
        <f t="shared" si="101"/>
        <v>58.61518604030887</v>
      </c>
      <c r="FH80" s="22">
        <f t="shared" si="76"/>
        <v>521.51031888687191</v>
      </c>
      <c r="FI80" s="60">
        <f t="shared" si="77"/>
        <v>791.02047811114426</v>
      </c>
      <c r="FJ80" s="60">
        <f ca="1">AVERAGE(OFFSET($FI$3,0,0,'Données projet'!$E$16+1,1))-AVERAGE(OFFSET($H$3,0,0,'Données projet'!$E$16+1,1))</f>
        <v>363.28611056308665</v>
      </c>
      <c r="FK80" s="60">
        <f t="shared" si="102"/>
        <v>389.43647559455974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4.2307692307692264</v>
      </c>
      <c r="FZ80" s="13">
        <f>IF('Données projet'!$A$244&gt;35,FZ79+FY80-GH79,IF(A80&lt;'Données projet'!$A$244,$FW$205^A80,IF(A80='Données projet'!$A$244,'Données projet'!$B$244,FZ79+FY80-GH79)))</f>
        <v>269.35897435897442</v>
      </c>
      <c r="GA80" s="18">
        <f>FZ80*VLOOKUP('Données projet'!$B$17,Paramètres!$A$1:$I$89,3,0)*VLOOKUP('Données projet'!$B$17,Paramètres!$A$1:$I$89,5,0)</f>
        <v>180.68600000000004</v>
      </c>
      <c r="GB80" s="14">
        <f t="shared" si="103"/>
        <v>45.474774723021419</v>
      </c>
      <c r="GC80" s="22">
        <f t="shared" si="79"/>
        <v>393.89668264259575</v>
      </c>
      <c r="GD80" s="60">
        <f t="shared" si="80"/>
        <v>663.40684186686804</v>
      </c>
      <c r="GE80" s="60">
        <f ca="1">AVERAGE(OFFSET($GD$3,0,0,'Données projet'!$E$17+1,1))-AVERAGE(OFFSET($H$3,0,0,'Données projet'!$E$17+1,1))</f>
        <v>344.62096650402731</v>
      </c>
      <c r="GF80" s="60">
        <f t="shared" si="104"/>
        <v>277.30931495079346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8.8000000000000007</v>
      </c>
      <c r="N81" s="14">
        <f>IF('Données projet'!$A$36&gt;35,N80+M81-V80,IF(A81&lt;'Données projet'!$A$36,$K$205^A81,IF(A81='Données projet'!$A$36,'Données projet'!$B$36,N80+M81-V80)))</f>
        <v>389.39999999999986</v>
      </c>
      <c r="O81" s="14">
        <f>N81*VLOOKUP('Données projet'!$B$9,Paramètres!$A$1:$I$89,3,0)*VLOOKUP('Données projet'!$B$9,Paramètres!$A$1:$I$89,5,0)</f>
        <v>334.10519999999991</v>
      </c>
      <c r="P81" s="14">
        <f t="shared" si="87"/>
        <v>78.28080649099175</v>
      </c>
      <c r="Q81" s="22">
        <f t="shared" si="54"/>
        <v>718.23896130514379</v>
      </c>
      <c r="R81" s="60">
        <f t="shared" si="55"/>
        <v>988.16239933957002</v>
      </c>
      <c r="S81" s="60">
        <f ca="1">AVERAGE(OFFSET($R$3,0,0,'Données projet'!$E$9+1,1))-AVERAGE(OFFSET($H$3,0,0,'Données projet'!$E$9+1,1))</f>
        <v>632.26350546340541</v>
      </c>
      <c r="T81" s="60">
        <f t="shared" si="88"/>
        <v>340.45335016367915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2.9799999999999955</v>
      </c>
      <c r="AI81" s="14">
        <f>IF('Données projet'!$A$62&gt;35,AI80+AH81-AQ80,IF(A81&lt;'Données projet'!$A$62,$AF$205^A81,IF(A81='Données projet'!$A$62,'Données projet'!$B$62,AI80+AH81-AQ80)))</f>
        <v>278.64000000000033</v>
      </c>
      <c r="AJ81" s="14">
        <f>AI81*VLOOKUP('Données projet'!$B$10,Paramètres!$A$1:$I$89,3,0)*VLOOKUP('Données projet'!$B$10,Paramètres!$A$1:$I$89,5,0)</f>
        <v>221.68598400000027</v>
      </c>
      <c r="AK81" s="14">
        <f t="shared" si="89"/>
        <v>54.481163037622622</v>
      </c>
      <c r="AL81" s="22">
        <f t="shared" si="58"/>
        <v>480.99111442385987</v>
      </c>
      <c r="AM81" s="60">
        <f t="shared" si="59"/>
        <v>750.91455245828615</v>
      </c>
      <c r="AN81" s="60">
        <f ca="1">AVERAGE(OFFSET($AM$3,0,0,'Données projet'!$E$10+1,1))-AVERAGE(OFFSET($H$3,0,0,'Données projet'!$E$10+1,1))</f>
        <v>336.25341821407534</v>
      </c>
      <c r="AO81" s="60">
        <f t="shared" si="90"/>
        <v>360.3246221345039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278.64000000000033</v>
      </c>
      <c r="BE81" s="14">
        <f>BD81*VLOOKUP('Données projet'!$B$11,Paramètres!$A$1:$I$89,3,0)*VLOOKUP('Données projet'!$B$11,Paramètres!$A$1:$I$89,5,0)</f>
        <v>221.68598400000027</v>
      </c>
      <c r="BF81" s="14">
        <f t="shared" si="91"/>
        <v>54.481163037622622</v>
      </c>
      <c r="BG81" s="22">
        <f t="shared" si="61"/>
        <v>480.99111442385987</v>
      </c>
      <c r="BH81" s="60">
        <f t="shared" si="62"/>
        <v>750.91455245828615</v>
      </c>
      <c r="BI81" s="60">
        <f ca="1">AVERAGE(OFFSET($BH$3,0,0,'Données projet'!$E$11+1,1))-AVERAGE(OFFSET($H$3,0,0,'Données projet'!$E$11+1,1))</f>
        <v>336.25341821407534</v>
      </c>
      <c r="BJ81" s="60">
        <f t="shared" si="92"/>
        <v>360.3246221345039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244.29599999999991</v>
      </c>
      <c r="CA81" s="14">
        <f t="shared" si="93"/>
        <v>59.362879241040318</v>
      </c>
      <c r="CB81" s="22">
        <f t="shared" si="64"/>
        <v>528.87254801147833</v>
      </c>
      <c r="CC81" s="60">
        <f t="shared" si="65"/>
        <v>798.79598604590456</v>
      </c>
      <c r="CD81" s="60">
        <f ca="1">AVERAGE(OFFSET($CC$3,0,0,'Données projet'!$E$12+1,1))-AVERAGE(OFFSET($H$3,0,0,'Données projet'!$E$12+1,1))</f>
        <v>469.67944008675863</v>
      </c>
      <c r="CE81" s="60">
        <f t="shared" si="94"/>
        <v>266.11908070867173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8.8675733422860506E-14</v>
      </c>
      <c r="CV81" s="14">
        <f t="shared" si="95"/>
        <v>1.3509285393066301E-12</v>
      </c>
      <c r="CW81" s="22">
        <f t="shared" si="67"/>
        <v>2.5073107750038623E-12</v>
      </c>
      <c r="CX81" s="60">
        <f t="shared" si="68"/>
        <v>269.92343803442873</v>
      </c>
      <c r="CY81" s="60">
        <f ca="1">AVERAGE(OFFSET($CX$3,0,0,'Données projet'!$E$13+1,1))-AVERAGE(OFFSET($H$3,0,0,'Données projet'!$E$13+1,1))</f>
        <v>312.59632808777332</v>
      </c>
      <c r="CZ81" s="60">
        <f t="shared" si="96"/>
        <v>302.59481222418219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3.974358974358978</v>
      </c>
      <c r="DO81" s="13">
        <f>IF('Données projet'!$A$166&gt;35,DO80+DN81-DW80,IF(A81&lt;'Données projet'!$A$166,$DL$205^A81,IF(A81='Données projet'!$A$166,'Données projet'!$B$166,DO80+DN81-DW80)))</f>
        <v>219.61538461538456</v>
      </c>
      <c r="DP81" s="18">
        <f>DO81*VLOOKUP('Données projet'!$B$14,Paramètres!$A$1:$I$89,3,0)*VLOOKUP('Données projet'!$B$14,Paramètres!$A$1:$I$89,5,0)</f>
        <v>208.98599999999996</v>
      </c>
      <c r="DQ81" s="14">
        <f t="shared" si="97"/>
        <v>51.713938803941488</v>
      </c>
      <c r="DR81" s="22">
        <f t="shared" si="70"/>
        <v>454.05239341686462</v>
      </c>
      <c r="DS81" s="60">
        <f t="shared" si="71"/>
        <v>723.97583145129079</v>
      </c>
      <c r="DT81" s="60">
        <f ca="1">AVERAGE(OFFSET($DS$3,0,0,'Données projet'!$E$14+1,1))-AVERAGE(OFFSET($H$3,0,0,'Données projet'!$E$14+1,1))</f>
        <v>398.29746143975166</v>
      </c>
      <c r="DU81" s="60">
        <f t="shared" si="98"/>
        <v>300.63705521148802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269.99999999999989</v>
      </c>
      <c r="EK81" s="18">
        <f>EJ81*VLOOKUP('Données projet'!$B$15,Paramètres!$A$1:$I$89,3,0)*VLOOKUP('Données projet'!$B$15,Paramètres!$A$1:$I$89,5,0)</f>
        <v>261.14399999999989</v>
      </c>
      <c r="EL81" s="14">
        <f t="shared" si="99"/>
        <v>62.966170181808813</v>
      </c>
      <c r="EM81" s="22">
        <f t="shared" si="73"/>
        <v>564.49187973331675</v>
      </c>
      <c r="EN81" s="60">
        <f t="shared" si="74"/>
        <v>834.41531776774298</v>
      </c>
      <c r="EO81" s="60">
        <f ca="1">AVERAGE(OFFSET($EN$3,0,0,'Données projet'!$E$15+1,1))-AVERAGE(OFFSET($H$3,0,0,'Données projet'!$E$15+1,1))</f>
        <v>496.33873798282525</v>
      </c>
      <c r="EP81" s="60">
        <f t="shared" si="100"/>
        <v>280.25465074992246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2.9799999999999955</v>
      </c>
      <c r="FE81" s="13">
        <f>IF('Données projet'!$A$218&gt;35,FE80+FD81-FM80,IF(A81&lt;'Données projet'!$A$218,$FB$205^A81,IF(A81='Données projet'!$A$218,'Données projet'!$B$218,FE80+FD81-FM80)))</f>
        <v>278.64000000000033</v>
      </c>
      <c r="FF81" s="18">
        <f>FE81*VLOOKUP('Données projet'!$B$16,Paramètres!$A$1:$I$89,3,0)*VLOOKUP('Données projet'!$B$16,Paramètres!$A$1:$I$89,5,0)</f>
        <v>243.41990400000032</v>
      </c>
      <c r="FG81" s="14">
        <f t="shared" si="101"/>
        <v>59.174732473133545</v>
      </c>
      <c r="FH81" s="22">
        <f t="shared" si="76"/>
        <v>527.01899185737477</v>
      </c>
      <c r="FI81" s="60">
        <f t="shared" si="77"/>
        <v>796.942429891801</v>
      </c>
      <c r="FJ81" s="60">
        <f ca="1">AVERAGE(OFFSET($FI$3,0,0,'Données projet'!$E$16+1,1))-AVERAGE(OFFSET($H$3,0,0,'Données projet'!$E$16+1,1))</f>
        <v>363.28611056308665</v>
      </c>
      <c r="FK81" s="60">
        <f t="shared" si="102"/>
        <v>389.43647559455974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4.2307692307692264</v>
      </c>
      <c r="FZ81" s="13">
        <f>IF('Données projet'!$A$244&gt;35,FZ80+FY81-GH80,IF(A81&lt;'Données projet'!$A$244,$FW$205^A81,IF(A81='Données projet'!$A$244,'Données projet'!$B$244,FZ80+FY81-GH80)))</f>
        <v>273.58974358974365</v>
      </c>
      <c r="GA81" s="18">
        <f>FZ81*VLOOKUP('Données projet'!$B$17,Paramètres!$A$1:$I$89,3,0)*VLOOKUP('Données projet'!$B$17,Paramètres!$A$1:$I$89,5,0)</f>
        <v>183.52400000000006</v>
      </c>
      <c r="GB81" s="14">
        <f t="shared" si="103"/>
        <v>46.10532434349372</v>
      </c>
      <c r="GC81" s="22">
        <f t="shared" si="79"/>
        <v>399.93773989825166</v>
      </c>
      <c r="GD81" s="60">
        <f t="shared" si="80"/>
        <v>669.86117793267795</v>
      </c>
      <c r="GE81" s="60">
        <f ca="1">AVERAGE(OFFSET($GD$3,0,0,'Données projet'!$E$17+1,1))-AVERAGE(OFFSET($H$3,0,0,'Données projet'!$E$17+1,1))</f>
        <v>344.62096650402731</v>
      </c>
      <c r="GF81" s="60">
        <f t="shared" si="104"/>
        <v>277.30931495079346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8.8000000000000007</v>
      </c>
      <c r="N82" s="14">
        <f>IF('Données projet'!$A$36&gt;35,N81+M82-V81,IF(A82&lt;'Données projet'!$A$36,$K$205^A82,IF(A82='Données projet'!$A$36,'Données projet'!$B$36,N81+M82-V81)))</f>
        <v>398.19999999999987</v>
      </c>
      <c r="O82" s="14">
        <f>N82*VLOOKUP('Données projet'!$B$9,Paramètres!$A$1:$I$89,3,0)*VLOOKUP('Données projet'!$B$9,Paramètres!$A$1:$I$89,5,0)</f>
        <v>341.65559999999994</v>
      </c>
      <c r="P82" s="14">
        <f t="shared" si="87"/>
        <v>79.841907100185551</v>
      </c>
      <c r="Q82" s="22">
        <f t="shared" si="54"/>
        <v>734.10815819948982</v>
      </c>
      <c r="R82" s="60">
        <f t="shared" si="55"/>
        <v>1004.4377055806667</v>
      </c>
      <c r="S82" s="60">
        <f ca="1">AVERAGE(OFFSET($R$3,0,0,'Données projet'!$E$9+1,1))-AVERAGE(OFFSET($H$3,0,0,'Données projet'!$E$9+1,1))</f>
        <v>632.26350546340541</v>
      </c>
      <c r="T82" s="60">
        <f t="shared" si="88"/>
        <v>340.45335016367915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2.9799999999999955</v>
      </c>
      <c r="AI82" s="14">
        <f>IF('Données projet'!$A$62&gt;35,AI81+AH82-AQ81,IF(A82&lt;'Données projet'!$A$62,$AF$205^A82,IF(A82='Données projet'!$A$62,'Données projet'!$B$62,AI81+AH82-AQ81)))</f>
        <v>281.62000000000035</v>
      </c>
      <c r="AJ82" s="14">
        <f>AI82*VLOOKUP('Données projet'!$B$10,Paramètres!$A$1:$I$89,3,0)*VLOOKUP('Données projet'!$B$10,Paramètres!$A$1:$I$89,5,0)</f>
        <v>224.05687200000028</v>
      </c>
      <c r="AK82" s="14">
        <f t="shared" si="89"/>
        <v>54.995686928373175</v>
      </c>
      <c r="AL82" s="22">
        <f t="shared" si="58"/>
        <v>486.01654013358376</v>
      </c>
      <c r="AM82" s="60">
        <f t="shared" si="59"/>
        <v>756.34608751476071</v>
      </c>
      <c r="AN82" s="60">
        <f ca="1">AVERAGE(OFFSET($AM$3,0,0,'Données projet'!$E$10+1,1))-AVERAGE(OFFSET($H$3,0,0,'Données projet'!$E$10+1,1))</f>
        <v>336.25341821407534</v>
      </c>
      <c r="AO82" s="60">
        <f t="shared" si="90"/>
        <v>360.3246221345039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281.62000000000035</v>
      </c>
      <c r="BE82" s="14">
        <f>BD82*VLOOKUP('Données projet'!$B$11,Paramètres!$A$1:$I$89,3,0)*VLOOKUP('Données projet'!$B$11,Paramètres!$A$1:$I$89,5,0)</f>
        <v>224.05687200000028</v>
      </c>
      <c r="BF82" s="14">
        <f t="shared" si="91"/>
        <v>54.995686928373175</v>
      </c>
      <c r="BG82" s="22">
        <f t="shared" si="61"/>
        <v>486.01654013358376</v>
      </c>
      <c r="BH82" s="60">
        <f t="shared" si="62"/>
        <v>756.34608751476071</v>
      </c>
      <c r="BI82" s="60">
        <f ca="1">AVERAGE(OFFSET($BH$3,0,0,'Données projet'!$E$11+1,1))-AVERAGE(OFFSET($H$3,0,0,'Données projet'!$E$11+1,1))</f>
        <v>336.25341821407534</v>
      </c>
      <c r="BJ82" s="60">
        <f t="shared" si="92"/>
        <v>360.3246221345039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249.7247999999999</v>
      </c>
      <c r="CA82" s="14">
        <f t="shared" si="93"/>
        <v>60.527007137298092</v>
      </c>
      <c r="CB82" s="22">
        <f t="shared" si="64"/>
        <v>540.35523076412733</v>
      </c>
      <c r="CC82" s="60">
        <f t="shared" si="65"/>
        <v>810.68477814530434</v>
      </c>
      <c r="CD82" s="60">
        <f ca="1">AVERAGE(OFFSET($CC$3,0,0,'Données projet'!$E$12+1,1))-AVERAGE(OFFSET($H$3,0,0,'Données projet'!$E$12+1,1))</f>
        <v>469.67944008675863</v>
      </c>
      <c r="CE82" s="60">
        <f t="shared" si="94"/>
        <v>266.11908070867173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8.8675733422860506E-14</v>
      </c>
      <c r="CV82" s="14">
        <f t="shared" si="95"/>
        <v>1.3509285393066301E-12</v>
      </c>
      <c r="CW82" s="22">
        <f t="shared" si="67"/>
        <v>2.5073107750038623E-12</v>
      </c>
      <c r="CX82" s="60">
        <f t="shared" si="68"/>
        <v>270.32954738117945</v>
      </c>
      <c r="CY82" s="60">
        <f ca="1">AVERAGE(OFFSET($CX$3,0,0,'Données projet'!$E$13+1,1))-AVERAGE(OFFSET($H$3,0,0,'Données projet'!$E$13+1,1))</f>
        <v>312.59632808777332</v>
      </c>
      <c r="CZ82" s="60">
        <f t="shared" si="96"/>
        <v>302.59481222418219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3.974358974358978</v>
      </c>
      <c r="DO82" s="13">
        <f>IF('Données projet'!$A$166&gt;35,DO81+DN82-DW81,IF(A82&lt;'Données projet'!$A$166,$DL$205^A82,IF(A82='Données projet'!$A$166,'Données projet'!$B$166,DO81+DN82-DW81)))</f>
        <v>223.58974358974353</v>
      </c>
      <c r="DP82" s="18">
        <f>DO82*VLOOKUP('Données projet'!$B$14,Paramètres!$A$1:$I$89,3,0)*VLOOKUP('Données projet'!$B$14,Paramètres!$A$1:$I$89,5,0)</f>
        <v>212.76799999999994</v>
      </c>
      <c r="DQ82" s="14">
        <f t="shared" si="97"/>
        <v>52.540001579827234</v>
      </c>
      <c r="DR82" s="22">
        <f t="shared" si="70"/>
        <v>462.0781027515323</v>
      </c>
      <c r="DS82" s="60">
        <f t="shared" si="71"/>
        <v>732.40765013270925</v>
      </c>
      <c r="DT82" s="60">
        <f ca="1">AVERAGE(OFFSET($DS$3,0,0,'Données projet'!$E$14+1,1))-AVERAGE(OFFSET($H$3,0,0,'Données projet'!$E$14+1,1))</f>
        <v>398.29746143975166</v>
      </c>
      <c r="DU82" s="60">
        <f t="shared" si="98"/>
        <v>300.63705521148802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6</v>
      </c>
      <c r="EJ82" s="13">
        <f>IF('Données projet'!$A$192&gt;35,EJ81+EI82-ER81,IF(A82&lt;'Données projet'!$A$192,$EG$205^A82,IF(A82='Données projet'!$A$192,'Données projet'!$B$192,EJ81+EI82-ER81)))</f>
        <v>275.99999999999989</v>
      </c>
      <c r="EK82" s="18">
        <f>EJ82*VLOOKUP('Données projet'!$B$15,Paramètres!$A$1:$I$89,3,0)*VLOOKUP('Données projet'!$B$15,Paramètres!$A$1:$I$89,5,0)</f>
        <v>266.9471999999999</v>
      </c>
      <c r="EL82" s="14">
        <f t="shared" si="99"/>
        <v>64.200959938746379</v>
      </c>
      <c r="EM82" s="22">
        <f t="shared" si="73"/>
        <v>576.74971189331643</v>
      </c>
      <c r="EN82" s="60">
        <f t="shared" si="74"/>
        <v>847.07925927449332</v>
      </c>
      <c r="EO82" s="60">
        <f ca="1">AVERAGE(OFFSET($EN$3,0,0,'Données projet'!$E$15+1,1))-AVERAGE(OFFSET($H$3,0,0,'Données projet'!$E$15+1,1))</f>
        <v>496.33873798282525</v>
      </c>
      <c r="EP82" s="60">
        <f t="shared" si="100"/>
        <v>280.25465074992246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2.9799999999999955</v>
      </c>
      <c r="FE82" s="13">
        <f>IF('Données projet'!$A$218&gt;35,FE81+FD82-FM81,IF(A82&lt;'Données projet'!$A$218,$FB$205^A82,IF(A82='Données projet'!$A$218,'Données projet'!$B$218,FE81+FD82-FM81)))</f>
        <v>281.62000000000035</v>
      </c>
      <c r="FF82" s="18">
        <f>FE82*VLOOKUP('Données projet'!$B$16,Paramètres!$A$1:$I$89,3,0)*VLOOKUP('Données projet'!$B$16,Paramètres!$A$1:$I$89,5,0)</f>
        <v>246.02323200000032</v>
      </c>
      <c r="FG82" s="14">
        <f t="shared" si="101"/>
        <v>59.73358275988631</v>
      </c>
      <c r="FH82" s="22">
        <f t="shared" si="76"/>
        <v>532.52645237346917</v>
      </c>
      <c r="FI82" s="60">
        <f t="shared" si="77"/>
        <v>802.85599975464606</v>
      </c>
      <c r="FJ82" s="60">
        <f ca="1">AVERAGE(OFFSET($FI$3,0,0,'Données projet'!$E$16+1,1))-AVERAGE(OFFSET($H$3,0,0,'Données projet'!$E$16+1,1))</f>
        <v>363.28611056308665</v>
      </c>
      <c r="FK82" s="60">
        <f t="shared" si="102"/>
        <v>389.43647559455974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4.2307692307692264</v>
      </c>
      <c r="FZ82" s="13">
        <f>IF('Données projet'!$A$244&gt;35,FZ81+FY82-GH81,IF(A82&lt;'Données projet'!$A$244,$FW$205^A82,IF(A82='Données projet'!$A$244,'Données projet'!$B$244,FZ81+FY82-GH81)))</f>
        <v>277.82051282051287</v>
      </c>
      <c r="GA82" s="18">
        <f>FZ82*VLOOKUP('Données projet'!$B$17,Paramètres!$A$1:$I$89,3,0)*VLOOKUP('Données projet'!$B$17,Paramètres!$A$1:$I$89,5,0)</f>
        <v>186.36200000000002</v>
      </c>
      <c r="GB82" s="14">
        <f t="shared" si="103"/>
        <v>46.734739947740024</v>
      </c>
      <c r="GC82" s="22">
        <f t="shared" si="79"/>
        <v>405.97682207564725</v>
      </c>
      <c r="GD82" s="60">
        <f t="shared" si="80"/>
        <v>676.3063694568242</v>
      </c>
      <c r="GE82" s="60">
        <f ca="1">AVERAGE(OFFSET($GD$3,0,0,'Données projet'!$E$17+1,1))-AVERAGE(OFFSET($H$3,0,0,'Données projet'!$E$17+1,1))</f>
        <v>344.62096650402731</v>
      </c>
      <c r="GF82" s="60">
        <f t="shared" si="104"/>
        <v>277.30931495079346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407</v>
      </c>
      <c r="L83" s="13">
        <f>VLOOKUP(A83,'Données projet'!$A$35:$I$55,9,0)</f>
        <v>8.8000000000000007</v>
      </c>
      <c r="M83" s="13">
        <f t="array" ref="M83">INDEX(L:L,MIN(IF(ISNUMBER(L83:L279),ROW(L83:L279),"")))</f>
        <v>8.8000000000000007</v>
      </c>
      <c r="N83" s="14">
        <f>IF('Données projet'!$A$36&gt;35,N82+M83-V82,IF(A83&lt;'Données projet'!$A$36,$K$205^A83,IF(A83='Données projet'!$A$36,'Données projet'!$B$36,N82+M83-V82)))</f>
        <v>406.99999999999989</v>
      </c>
      <c r="O83" s="14">
        <f>N83*VLOOKUP('Données projet'!$B$9,Paramètres!$A$1:$I$89,3,0)*VLOOKUP('Données projet'!$B$9,Paramètres!$A$1:$I$89,5,0)</f>
        <v>349.20599999999996</v>
      </c>
      <c r="P83" s="14">
        <f t="shared" si="87"/>
        <v>81.398996787610969</v>
      </c>
      <c r="Q83" s="22">
        <f t="shared" si="54"/>
        <v>749.97036940508906</v>
      </c>
      <c r="R83" s="60">
        <f t="shared" si="55"/>
        <v>1020.6989810437751</v>
      </c>
      <c r="S83" s="60">
        <f ca="1">AVERAGE(OFFSET($R$3,0,0,'Données projet'!$E$9+1,1))-AVERAGE(OFFSET($H$3,0,0,'Données projet'!$E$9+1,1))</f>
        <v>632.26350546340541</v>
      </c>
      <c r="T83" s="60">
        <f t="shared" si="88"/>
        <v>340.45335016367915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56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284.60000000000002</v>
      </c>
      <c r="AG83" s="13">
        <f>VLOOKUP(A83,'Données projet'!$A$61:$I$81,9,0)</f>
        <v>2.9799999999999955</v>
      </c>
      <c r="AH83" s="13">
        <f t="array" ref="AH83">INDEX(AG:AG,MIN(IF(ISNUMBER(AG83:AG279),ROW(AG83:AG279),"")))</f>
        <v>2.9799999999999955</v>
      </c>
      <c r="AI83" s="14">
        <f>IF('Données projet'!$A$62&gt;35,AI82+AH83-AQ82,IF(A83&lt;'Données projet'!$A$62,$AF$205^A83,IF(A83='Données projet'!$A$62,'Données projet'!$B$62,AI82+AH83-AQ82)))</f>
        <v>284.60000000000036</v>
      </c>
      <c r="AJ83" s="14">
        <f>AI83*VLOOKUP('Données projet'!$B$10,Paramètres!$A$1:$I$89,3,0)*VLOOKUP('Données projet'!$B$10,Paramètres!$A$1:$I$89,5,0)</f>
        <v>226.42776000000029</v>
      </c>
      <c r="AK83" s="14">
        <f t="shared" si="89"/>
        <v>55.50957745649643</v>
      </c>
      <c r="AL83" s="22">
        <f t="shared" si="58"/>
        <v>491.0408627367317</v>
      </c>
      <c r="AM83" s="60">
        <f t="shared" si="59"/>
        <v>761.76947437541776</v>
      </c>
      <c r="AN83" s="60">
        <f ca="1">AVERAGE(OFFSET($AM$3,0,0,'Données projet'!$E$10+1,1))-AVERAGE(OFFSET($H$3,0,0,'Données projet'!$E$10+1,1))</f>
        <v>336.25341821407534</v>
      </c>
      <c r="AO83" s="60">
        <f t="shared" si="90"/>
        <v>360.3246221345039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284.60000000000002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284.60000000000036</v>
      </c>
      <c r="BE83" s="14">
        <f>BD83*VLOOKUP('Données projet'!$B$11,Paramètres!$A$1:$I$89,3,0)*VLOOKUP('Données projet'!$B$11,Paramètres!$A$1:$I$89,5,0)</f>
        <v>226.42776000000029</v>
      </c>
      <c r="BF83" s="14">
        <f t="shared" si="91"/>
        <v>55.50957745649643</v>
      </c>
      <c r="BG83" s="22">
        <f t="shared" si="61"/>
        <v>491.0408627367317</v>
      </c>
      <c r="BH83" s="60">
        <f t="shared" si="62"/>
        <v>761.76947437541776</v>
      </c>
      <c r="BI83" s="60">
        <f ca="1">AVERAGE(OFFSET($BH$3,0,0,'Données projet'!$E$11+1,1))-AVERAGE(OFFSET($H$3,0,0,'Données projet'!$E$11+1,1))</f>
        <v>336.25341821407534</v>
      </c>
      <c r="BJ83" s="60">
        <f t="shared" si="92"/>
        <v>360.3246221345039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284.60000000000002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255.15359999999987</v>
      </c>
      <c r="CA83" s="14">
        <f t="shared" si="93"/>
        <v>61.688192762754376</v>
      </c>
      <c r="CB83" s="22">
        <f t="shared" si="64"/>
        <v>551.83278906179692</v>
      </c>
      <c r="CC83" s="60">
        <f t="shared" si="65"/>
        <v>822.56140070048309</v>
      </c>
      <c r="CD83" s="60">
        <f ca="1">AVERAGE(OFFSET($CC$3,0,0,'Données projet'!$E$12+1,1))-AVERAGE(OFFSET($H$3,0,0,'Données projet'!$E$12+1,1))</f>
        <v>469.67944008675863</v>
      </c>
      <c r="CE83" s="60">
        <f t="shared" si="94"/>
        <v>266.11908070867173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8.8675733422860506E-14</v>
      </c>
      <c r="CV83" s="14">
        <f t="shared" si="95"/>
        <v>1.3509285393066301E-12</v>
      </c>
      <c r="CW83" s="22">
        <f t="shared" si="67"/>
        <v>2.5073107750038623E-12</v>
      </c>
      <c r="CX83" s="60">
        <f t="shared" si="68"/>
        <v>270.72861163868862</v>
      </c>
      <c r="CY83" s="60">
        <f ca="1">AVERAGE(OFFSET($CX$3,0,0,'Données projet'!$E$13+1,1))-AVERAGE(OFFSET($H$3,0,0,'Données projet'!$E$13+1,1))</f>
        <v>312.59632808777332</v>
      </c>
      <c r="CZ83" s="60">
        <f t="shared" si="96"/>
        <v>302.59481222418219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227.56410256410257</v>
      </c>
      <c r="DM83" s="13">
        <f>VLOOKUP(A83,'Données projet'!$A$165:$I$185,9,0)</f>
        <v>3.974358974358978</v>
      </c>
      <c r="DN83" s="13">
        <f t="array" ref="DN83">INDEX(DM:DM,MIN(IF(ISNUMBER(DM83:DM279),ROW(DM83:DM279),"")))</f>
        <v>3.974358974358978</v>
      </c>
      <c r="DO83" s="13">
        <f>IF('Données projet'!$A$166&gt;35,DO82+DN83-DW82,IF(A83&lt;'Données projet'!$A$166,$DL$205^A83,IF(A83='Données projet'!$A$166,'Données projet'!$B$166,DO82+DN83-DW82)))</f>
        <v>227.56410256410251</v>
      </c>
      <c r="DP83" s="18">
        <f>DO83*VLOOKUP('Données projet'!$B$14,Paramètres!$A$1:$I$89,3,0)*VLOOKUP('Données projet'!$B$14,Paramètres!$A$1:$I$89,5,0)</f>
        <v>216.54999999999998</v>
      </c>
      <c r="DQ83" s="14">
        <f t="shared" si="97"/>
        <v>53.364356873390378</v>
      </c>
      <c r="DR83" s="22">
        <f t="shared" si="70"/>
        <v>470.1008382211549</v>
      </c>
      <c r="DS83" s="60">
        <f t="shared" si="71"/>
        <v>740.82944985984102</v>
      </c>
      <c r="DT83" s="60">
        <f ca="1">AVERAGE(OFFSET($DS$3,0,0,'Données projet'!$E$14+1,1))-AVERAGE(OFFSET($H$3,0,0,'Données projet'!$E$14+1,1))</f>
        <v>398.29746143975166</v>
      </c>
      <c r="DU83" s="60">
        <f t="shared" si="98"/>
        <v>300.63705521148802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27.564102564102562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</v>
      </c>
      <c r="EH83" s="13">
        <f>VLOOKUP(A83,'Données projet'!$A$191:$I$211,9,0)</f>
        <v>6</v>
      </c>
      <c r="EI83" s="13">
        <f t="array" ref="EI83">INDEX(EH:EH,MIN(IF(ISNUMBER(EH83:EH279),ROW(EH83:EH279),"")))</f>
        <v>6</v>
      </c>
      <c r="EJ83" s="13">
        <f>IF('Données projet'!$A$192&gt;35,EJ82+EI83-ER82,IF(A83&lt;'Données projet'!$A$192,$EG$205^A83,IF(A83='Données projet'!$A$192,'Données projet'!$B$192,EJ82+EI83-ER82)))</f>
        <v>281.99999999999989</v>
      </c>
      <c r="EK83" s="18">
        <f>EJ83*VLOOKUP('Données projet'!$B$15,Paramètres!$A$1:$I$89,3,0)*VLOOKUP('Données projet'!$B$15,Paramètres!$A$1:$I$89,5,0)</f>
        <v>272.7503999999999</v>
      </c>
      <c r="EL83" s="14">
        <f t="shared" si="99"/>
        <v>65.432628830820633</v>
      </c>
      <c r="EM83" s="22">
        <f t="shared" si="73"/>
        <v>589.00210854701243</v>
      </c>
      <c r="EN83" s="60">
        <f t="shared" si="74"/>
        <v>859.7307201856986</v>
      </c>
      <c r="EO83" s="60">
        <f ca="1">AVERAGE(OFFSET($EN$3,0,0,'Données projet'!$E$15+1,1))-AVERAGE(OFFSET($H$3,0,0,'Données projet'!$E$15+1,1))</f>
        <v>496.33873798282525</v>
      </c>
      <c r="EP83" s="60">
        <f t="shared" si="100"/>
        <v>280.25465074992246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42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284.60000000000002</v>
      </c>
      <c r="FC83" s="13">
        <f>VLOOKUP(A83,'Données projet'!$A$217:$I$237,9,0)</f>
        <v>2.9799999999999955</v>
      </c>
      <c r="FD83" s="13">
        <f t="array" ref="FD83">INDEX(FC:FC,MIN(IF(ISNUMBER(FC83:FC279),ROW(FC83:FC279),"")))</f>
        <v>2.9799999999999955</v>
      </c>
      <c r="FE83" s="13">
        <f>IF('Données projet'!$A$218&gt;35,FE82+FD83-FM82,IF(A83&lt;'Données projet'!$A$218,$FB$205^A83,IF(A83='Données projet'!$A$218,'Données projet'!$B$218,FE82+FD83-FM82)))</f>
        <v>284.60000000000036</v>
      </c>
      <c r="FF83" s="18">
        <f>FE83*VLOOKUP('Données projet'!$B$16,Paramètres!$A$1:$I$89,3,0)*VLOOKUP('Données projet'!$B$16,Paramètres!$A$1:$I$89,5,0)</f>
        <v>248.62656000000038</v>
      </c>
      <c r="FG83" s="14">
        <f t="shared" si="101"/>
        <v>60.291745119621027</v>
      </c>
      <c r="FH83" s="22">
        <f t="shared" si="76"/>
        <v>538.03271475000724</v>
      </c>
      <c r="FI83" s="60">
        <f t="shared" si="77"/>
        <v>808.76132638869331</v>
      </c>
      <c r="FJ83" s="60">
        <f ca="1">AVERAGE(OFFSET($FI$3,0,0,'Données projet'!$E$16+1,1))-AVERAGE(OFFSET($H$3,0,0,'Données projet'!$E$16+1,1))</f>
        <v>363.28611056308665</v>
      </c>
      <c r="FK83" s="60">
        <f t="shared" si="102"/>
        <v>389.43647559455974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284.60000000000002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282.05128205128204</v>
      </c>
      <c r="FX83" s="13">
        <f>VLOOKUP(A83,'Données projet'!$A$243:$I$263,9,0)</f>
        <v>4.2307692307692264</v>
      </c>
      <c r="FY83" s="13">
        <f t="array" ref="FY83">INDEX(FX:FX,MIN(IF(ISNUMBER(FX83:FX279),ROW(FX83:FX279),"")))</f>
        <v>4.2307692307692264</v>
      </c>
      <c r="FZ83" s="13">
        <f>IF('Données projet'!$A$244&gt;35,FZ82+FY83-GH82,IF(A83&lt;'Données projet'!$A$244,$FW$205^A83,IF(A83='Données projet'!$A$244,'Données projet'!$B$244,FZ82+FY83-GH82)))</f>
        <v>282.0512820512821</v>
      </c>
      <c r="GA83" s="18">
        <f>FZ83*VLOOKUP('Données projet'!$B$17,Paramètres!$A$1:$I$89,3,0)*VLOOKUP('Données projet'!$B$17,Paramètres!$A$1:$I$89,5,0)</f>
        <v>189.20000000000005</v>
      </c>
      <c r="GB83" s="14">
        <f t="shared" si="103"/>
        <v>47.363040799609742</v>
      </c>
      <c r="GC83" s="22">
        <f t="shared" si="79"/>
        <v>412.01396272598703</v>
      </c>
      <c r="GD83" s="60">
        <f t="shared" si="80"/>
        <v>682.74257436467315</v>
      </c>
      <c r="GE83" s="60">
        <f ca="1">AVERAGE(OFFSET($GD$3,0,0,'Données projet'!$E$17+1,1))-AVERAGE(OFFSET($H$3,0,0,'Données projet'!$E$17+1,1))</f>
        <v>344.62096650402731</v>
      </c>
      <c r="GF83" s="60">
        <f t="shared" si="104"/>
        <v>277.30931495079346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26.282051282051281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7.9</v>
      </c>
      <c r="N84" s="14">
        <f>IF('Données projet'!$A$36&gt;35,N83+M84-V83,IF(A84&lt;'Données projet'!$A$36,$K$205^A84,IF(A84='Données projet'!$A$36,'Données projet'!$B$36,N83+M84-V83)))</f>
        <v>358.89999999999986</v>
      </c>
      <c r="O84" s="14">
        <f>N84*VLOOKUP('Données projet'!$B$9,Paramètres!$A$1:$I$89,3,0)*VLOOKUP('Données projet'!$B$9,Paramètres!$A$1:$I$89,5,0)</f>
        <v>307.93619999999993</v>
      </c>
      <c r="P84" s="14">
        <f t="shared" si="87"/>
        <v>72.837659177661592</v>
      </c>
      <c r="Q84" s="22">
        <f t="shared" si="54"/>
        <v>663.18113806776046</v>
      </c>
      <c r="R84" s="60">
        <f t="shared" si="55"/>
        <v>934.30189109126195</v>
      </c>
      <c r="S84" s="60">
        <f ca="1">AVERAGE(OFFSET($R$3,0,0,'Données projet'!$E$9+1,1))-AVERAGE(OFFSET($H$3,0,0,'Données projet'!$E$9+1,1))</f>
        <v>632.26350546340541</v>
      </c>
      <c r="T84" s="60">
        <f t="shared" si="88"/>
        <v>340.45335016367915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3.4106051316484809E-13</v>
      </c>
      <c r="AJ84" s="14">
        <f>AI84*VLOOKUP('Données projet'!$B$10,Paramètres!$A$1:$I$89,3,0)*VLOOKUP('Données projet'!$B$10,Paramètres!$A$1:$I$89,5,0)</f>
        <v>2.7134774427395314E-13</v>
      </c>
      <c r="AK84" s="14">
        <f t="shared" si="89"/>
        <v>3.6292411711343559E-12</v>
      </c>
      <c r="AL84" s="22">
        <f t="shared" si="58"/>
        <v>6.7935256943361388E-12</v>
      </c>
      <c r="AM84" s="60">
        <f t="shared" si="59"/>
        <v>271.12075302350826</v>
      </c>
      <c r="AN84" s="60">
        <f ca="1">AVERAGE(OFFSET($AM$3,0,0,'Données projet'!$E$10+1,1))-AVERAGE(OFFSET($H$3,0,0,'Données projet'!$E$10+1,1))</f>
        <v>336.25341821407534</v>
      </c>
      <c r="AO84" s="60">
        <f t="shared" si="90"/>
        <v>360.3246221345039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2.7134774427395314E-13</v>
      </c>
      <c r="BF84" s="14">
        <f t="shared" si="91"/>
        <v>3.6292411711343559E-12</v>
      </c>
      <c r="BG84" s="22">
        <f t="shared" si="61"/>
        <v>6.7935256943361388E-12</v>
      </c>
      <c r="BH84" s="60">
        <f t="shared" si="62"/>
        <v>271.12075302350826</v>
      </c>
      <c r="BI84" s="60">
        <f ca="1">AVERAGE(OFFSET($BH$3,0,0,'Données projet'!$E$11+1,1))-AVERAGE(OFFSET($H$3,0,0,'Données projet'!$E$11+1,1))</f>
        <v>336.25341821407534</v>
      </c>
      <c r="BJ84" s="60">
        <f t="shared" si="92"/>
        <v>360.3246221345039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222.21887999999993</v>
      </c>
      <c r="CA84" s="14">
        <f t="shared" si="93"/>
        <v>54.596866296848852</v>
      </c>
      <c r="CB84" s="22">
        <f t="shared" si="64"/>
        <v>482.12075813367829</v>
      </c>
      <c r="CC84" s="60">
        <f t="shared" si="65"/>
        <v>753.24151115717973</v>
      </c>
      <c r="CD84" s="60">
        <f ca="1">AVERAGE(OFFSET($CC$3,0,0,'Données projet'!$E$12+1,1))-AVERAGE(OFFSET($H$3,0,0,'Données projet'!$E$12+1,1))</f>
        <v>469.67944008675863</v>
      </c>
      <c r="CE84" s="60">
        <f t="shared" si="94"/>
        <v>266.11908070867173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8.8675733422860506E-14</v>
      </c>
      <c r="CV84" s="14">
        <f t="shared" si="95"/>
        <v>1.3509285393066301E-12</v>
      </c>
      <c r="CW84" s="22">
        <f t="shared" si="67"/>
        <v>2.5073107750038623E-12</v>
      </c>
      <c r="CX84" s="60">
        <f t="shared" si="68"/>
        <v>271.12075302350394</v>
      </c>
      <c r="CY84" s="60">
        <f ca="1">AVERAGE(OFFSET($CX$3,0,0,'Données projet'!$E$13+1,1))-AVERAGE(OFFSET($H$3,0,0,'Données projet'!$E$13+1,1))</f>
        <v>312.59632808777332</v>
      </c>
      <c r="CZ84" s="60">
        <f t="shared" si="96"/>
        <v>302.59481222418219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3.8461538461538454</v>
      </c>
      <c r="DO84" s="13">
        <f>IF('Données projet'!$A$166&gt;35,DO83+DN84-DW83,IF(A84&lt;'Données projet'!$A$166,$DL$205^A84,IF(A84='Données projet'!$A$166,'Données projet'!$B$166,DO83+DN84-DW83)))</f>
        <v>203.84615384615378</v>
      </c>
      <c r="DP84" s="18">
        <f>DO84*VLOOKUP('Données projet'!$B$14,Paramètres!$A$1:$I$89,3,0)*VLOOKUP('Données projet'!$B$14,Paramètres!$A$1:$I$89,5,0)</f>
        <v>193.97999999999996</v>
      </c>
      <c r="DQ84" s="14">
        <f t="shared" si="97"/>
        <v>48.418809868414776</v>
      </c>
      <c r="DR84" s="22">
        <f t="shared" si="70"/>
        <v>422.17792718748893</v>
      </c>
      <c r="DS84" s="60">
        <f t="shared" si="71"/>
        <v>693.29868021099037</v>
      </c>
      <c r="DT84" s="60">
        <f ca="1">AVERAGE(OFFSET($DS$3,0,0,'Données projet'!$E$14+1,1))-AVERAGE(OFFSET($H$3,0,0,'Données projet'!$E$14+1,1))</f>
        <v>398.29746143975166</v>
      </c>
      <c r="DU84" s="60">
        <f t="shared" si="98"/>
        <v>300.63705521148802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5.6</v>
      </c>
      <c r="EJ84" s="13">
        <f>IF('Données projet'!$A$192&gt;35,EJ83+EI84-ER83,IF(A84&lt;'Données projet'!$A$192,$EG$205^A84,IF(A84='Données projet'!$A$192,'Données projet'!$B$192,EJ83+EI84-ER83)))</f>
        <v>245.59999999999991</v>
      </c>
      <c r="EK84" s="18">
        <f>EJ84*VLOOKUP('Données projet'!$B$15,Paramètres!$A$1:$I$89,3,0)*VLOOKUP('Données projet'!$B$15,Paramètres!$A$1:$I$89,5,0)</f>
        <v>237.54431999999991</v>
      </c>
      <c r="EL84" s="14">
        <f t="shared" si="99"/>
        <v>57.910863128487989</v>
      </c>
      <c r="EM84" s="22">
        <f t="shared" si="73"/>
        <v>514.58444394878302</v>
      </c>
      <c r="EN84" s="60">
        <f t="shared" si="74"/>
        <v>785.70519697228451</v>
      </c>
      <c r="EO84" s="60">
        <f ca="1">AVERAGE(OFFSET($EN$3,0,0,'Données projet'!$E$15+1,1))-AVERAGE(OFFSET($H$3,0,0,'Données projet'!$E$15+1,1))</f>
        <v>496.33873798282525</v>
      </c>
      <c r="EP84" s="60">
        <f t="shared" si="100"/>
        <v>280.25465074992246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3.4106051316484809E-13</v>
      </c>
      <c r="FF84" s="18">
        <f>FE84*VLOOKUP('Données projet'!$B$16,Paramètres!$A$1:$I$89,3,0)*VLOOKUP('Données projet'!$B$16,Paramètres!$A$1:$I$89,5,0)</f>
        <v>2.9795046430081134E-13</v>
      </c>
      <c r="FG84" s="14">
        <f t="shared" si="101"/>
        <v>3.9419014464513778E-12</v>
      </c>
      <c r="FH84" s="22">
        <f t="shared" si="76"/>
        <v>7.384408744560063E-12</v>
      </c>
      <c r="FI84" s="60">
        <f t="shared" si="77"/>
        <v>271.12075302350883</v>
      </c>
      <c r="FJ84" s="60">
        <f ca="1">AVERAGE(OFFSET($FI$3,0,0,'Données projet'!$E$16+1,1))-AVERAGE(OFFSET($H$3,0,0,'Données projet'!$E$16+1,1))</f>
        <v>363.28611056308665</v>
      </c>
      <c r="FK84" s="60">
        <f t="shared" si="102"/>
        <v>389.43647559455974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4.1025641025640995</v>
      </c>
      <c r="FZ84" s="13">
        <f>IF('Données projet'!$A$244&gt;35,FZ83+FY84-GH83,IF(A84&lt;'Données projet'!$A$244,$FW$205^A84,IF(A84='Données projet'!$A$244,'Données projet'!$B$244,FZ83+FY84-GH83)))</f>
        <v>259.87179487179492</v>
      </c>
      <c r="GA84" s="18">
        <f>FZ84*VLOOKUP('Données projet'!$B$17,Paramètres!$A$1:$I$89,3,0)*VLOOKUP('Données projet'!$B$17,Paramètres!$A$1:$I$89,5,0)</f>
        <v>174.32200000000003</v>
      </c>
      <c r="GB84" s="14">
        <f t="shared" si="103"/>
        <v>44.056588905148665</v>
      </c>
      <c r="GC84" s="22">
        <f t="shared" si="79"/>
        <v>380.34270900980056</v>
      </c>
      <c r="GD84" s="60">
        <f t="shared" si="80"/>
        <v>651.46346203330199</v>
      </c>
      <c r="GE84" s="60">
        <f ca="1">AVERAGE(OFFSET($GD$3,0,0,'Données projet'!$E$17+1,1))-AVERAGE(OFFSET($H$3,0,0,'Données projet'!$E$17+1,1))</f>
        <v>344.62096650402731</v>
      </c>
      <c r="GF84" s="60">
        <f t="shared" si="104"/>
        <v>277.30931495079346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7.9</v>
      </c>
      <c r="N85" s="14">
        <f>IF('Données projet'!$A$36&gt;35,N84+M85-V84,IF(A85&lt;'Données projet'!$A$36,$K$205^A85,IF(A85='Données projet'!$A$36,'Données projet'!$B$36,N84+M85-V84)))</f>
        <v>366.79999999999984</v>
      </c>
      <c r="O85" s="14">
        <f>N85*VLOOKUP('Données projet'!$B$9,Paramètres!$A$1:$I$89,3,0)*VLOOKUP('Données projet'!$B$9,Paramètres!$A$1:$I$89,5,0)</f>
        <v>314.7143999999999</v>
      </c>
      <c r="P85" s="14">
        <f t="shared" si="87"/>
        <v>74.252518002602514</v>
      </c>
      <c r="Q85" s="22">
        <f t="shared" si="54"/>
        <v>677.45071552119919</v>
      </c>
      <c r="R85" s="60">
        <f t="shared" si="55"/>
        <v>948.95680715318622</v>
      </c>
      <c r="S85" s="60">
        <f ca="1">AVERAGE(OFFSET($R$3,0,0,'Données projet'!$E$9+1,1))-AVERAGE(OFFSET($H$3,0,0,'Données projet'!$E$9+1,1))</f>
        <v>632.26350546340541</v>
      </c>
      <c r="T85" s="60">
        <f t="shared" si="88"/>
        <v>340.45335016367915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3.4106051316484809E-13</v>
      </c>
      <c r="AJ85" s="14">
        <f>AI85*VLOOKUP('Données projet'!$B$10,Paramètres!$A$1:$I$89,3,0)*VLOOKUP('Données projet'!$B$10,Paramètres!$A$1:$I$89,5,0)</f>
        <v>2.7134774427395314E-13</v>
      </c>
      <c r="AK85" s="14">
        <f t="shared" si="89"/>
        <v>3.6292411711343559E-12</v>
      </c>
      <c r="AL85" s="22">
        <f t="shared" si="58"/>
        <v>6.7935256943361388E-12</v>
      </c>
      <c r="AM85" s="60">
        <f t="shared" si="59"/>
        <v>271.50609163199385</v>
      </c>
      <c r="AN85" s="60">
        <f ca="1">AVERAGE(OFFSET($AM$3,0,0,'Données projet'!$E$10+1,1))-AVERAGE(OFFSET($H$3,0,0,'Données projet'!$E$10+1,1))</f>
        <v>336.25341821407534</v>
      </c>
      <c r="AO85" s="60">
        <f t="shared" si="90"/>
        <v>360.3246221345039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2.7134774427395314E-13</v>
      </c>
      <c r="BF85" s="14">
        <f t="shared" si="91"/>
        <v>3.6292411711343559E-12</v>
      </c>
      <c r="BG85" s="22">
        <f t="shared" si="61"/>
        <v>6.7935256943361388E-12</v>
      </c>
      <c r="BH85" s="60">
        <f t="shared" si="62"/>
        <v>271.50609163199385</v>
      </c>
      <c r="BI85" s="60">
        <f ca="1">AVERAGE(OFFSET($BH$3,0,0,'Données projet'!$E$11+1,1))-AVERAGE(OFFSET($H$3,0,0,'Données projet'!$E$11+1,1))</f>
        <v>336.25341821407534</v>
      </c>
      <c r="BJ85" s="60">
        <f t="shared" si="92"/>
        <v>360.3246221345039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227.28575999999993</v>
      </c>
      <c r="CA85" s="14">
        <f t="shared" si="93"/>
        <v>55.695394520076327</v>
      </c>
      <c r="CB85" s="22">
        <f t="shared" si="64"/>
        <v>492.85884412246605</v>
      </c>
      <c r="CC85" s="60">
        <f t="shared" si="65"/>
        <v>764.36493575445309</v>
      </c>
      <c r="CD85" s="60">
        <f ca="1">AVERAGE(OFFSET($CC$3,0,0,'Données projet'!$E$12+1,1))-AVERAGE(OFFSET($H$3,0,0,'Données projet'!$E$12+1,1))</f>
        <v>469.67944008675863</v>
      </c>
      <c r="CE85" s="60">
        <f t="shared" si="94"/>
        <v>266.11908070867173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8.8675733422860506E-14</v>
      </c>
      <c r="CV85" s="14">
        <f t="shared" si="95"/>
        <v>1.3509285393066301E-12</v>
      </c>
      <c r="CW85" s="22">
        <f t="shared" si="67"/>
        <v>2.5073107750038623E-12</v>
      </c>
      <c r="CX85" s="60">
        <f t="shared" si="68"/>
        <v>271.50609163198953</v>
      </c>
      <c r="CY85" s="60">
        <f ca="1">AVERAGE(OFFSET($CX$3,0,0,'Données projet'!$E$13+1,1))-AVERAGE(OFFSET($H$3,0,0,'Données projet'!$E$13+1,1))</f>
        <v>312.59632808777332</v>
      </c>
      <c r="CZ85" s="60">
        <f t="shared" si="96"/>
        <v>302.59481222418219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3.8461538461538454</v>
      </c>
      <c r="DO85" s="13">
        <f>IF('Données projet'!$A$166&gt;35,DO84+DN85-DW84,IF(A85&lt;'Données projet'!$A$166,$DL$205^A85,IF(A85='Données projet'!$A$166,'Données projet'!$B$166,DO84+DN85-DW84)))</f>
        <v>207.69230769230762</v>
      </c>
      <c r="DP85" s="18">
        <f>DO85*VLOOKUP('Données projet'!$B$14,Paramètres!$A$1:$I$89,3,0)*VLOOKUP('Données projet'!$B$14,Paramètres!$A$1:$I$89,5,0)</f>
        <v>197.63999999999993</v>
      </c>
      <c r="DQ85" s="14">
        <f t="shared" si="97"/>
        <v>49.22515338895078</v>
      </c>
      <c r="DR85" s="22">
        <f t="shared" si="70"/>
        <v>429.95680881908919</v>
      </c>
      <c r="DS85" s="60">
        <f t="shared" si="71"/>
        <v>701.46290045107617</v>
      </c>
      <c r="DT85" s="60">
        <f ca="1">AVERAGE(OFFSET($DS$3,0,0,'Données projet'!$E$14+1,1))-AVERAGE(OFFSET($H$3,0,0,'Données projet'!$E$14+1,1))</f>
        <v>398.29746143975166</v>
      </c>
      <c r="DU85" s="60">
        <f t="shared" si="98"/>
        <v>300.63705521148802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5.6</v>
      </c>
      <c r="EJ85" s="13">
        <f>IF('Données projet'!$A$192&gt;35,EJ84+EI85-ER84,IF(A85&lt;'Données projet'!$A$192,$EG$205^A85,IF(A85='Données projet'!$A$192,'Données projet'!$B$192,EJ84+EI85-ER84)))</f>
        <v>251.1999999999999</v>
      </c>
      <c r="EK85" s="18">
        <f>EJ85*VLOOKUP('Données projet'!$B$15,Paramètres!$A$1:$I$89,3,0)*VLOOKUP('Données projet'!$B$15,Paramètres!$A$1:$I$89,5,0)</f>
        <v>242.96063999999993</v>
      </c>
      <c r="EL85" s="14">
        <f t="shared" si="99"/>
        <v>59.076071351835715</v>
      </c>
      <c r="EM85" s="22">
        <f t="shared" si="73"/>
        <v>526.04727227111368</v>
      </c>
      <c r="EN85" s="60">
        <f t="shared" si="74"/>
        <v>797.55336390310072</v>
      </c>
      <c r="EO85" s="60">
        <f ca="1">AVERAGE(OFFSET($EN$3,0,0,'Données projet'!$E$15+1,1))-AVERAGE(OFFSET($H$3,0,0,'Données projet'!$E$15+1,1))</f>
        <v>496.33873798282525</v>
      </c>
      <c r="EP85" s="60">
        <f t="shared" si="100"/>
        <v>280.25465074992246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3.4106051316484809E-13</v>
      </c>
      <c r="FF85" s="18">
        <f>FE85*VLOOKUP('Données projet'!$B$16,Paramètres!$A$1:$I$89,3,0)*VLOOKUP('Données projet'!$B$16,Paramètres!$A$1:$I$89,5,0)</f>
        <v>2.9795046430081134E-13</v>
      </c>
      <c r="FG85" s="14">
        <f t="shared" si="101"/>
        <v>3.9419014464513778E-12</v>
      </c>
      <c r="FH85" s="22">
        <f t="shared" si="76"/>
        <v>7.384408744560063E-12</v>
      </c>
      <c r="FI85" s="60">
        <f t="shared" si="77"/>
        <v>271.50609163199442</v>
      </c>
      <c r="FJ85" s="60">
        <f ca="1">AVERAGE(OFFSET($FI$3,0,0,'Données projet'!$E$16+1,1))-AVERAGE(OFFSET($H$3,0,0,'Données projet'!$E$16+1,1))</f>
        <v>363.28611056308665</v>
      </c>
      <c r="FK85" s="60">
        <f t="shared" si="102"/>
        <v>389.43647559455974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4.1025641025640995</v>
      </c>
      <c r="FZ85" s="13">
        <f>IF('Données projet'!$A$244&gt;35,FZ84+FY85-GH84,IF(A85&lt;'Données projet'!$A$244,$FW$205^A85,IF(A85='Données projet'!$A$244,'Données projet'!$B$244,FZ84+FY85-GH84)))</f>
        <v>263.97435897435901</v>
      </c>
      <c r="GA85" s="18">
        <f>FZ85*VLOOKUP('Données projet'!$B$17,Paramètres!$A$1:$I$89,3,0)*VLOOKUP('Données projet'!$B$17,Paramètres!$A$1:$I$89,5,0)</f>
        <v>177.07400000000001</v>
      </c>
      <c r="GB85" s="14">
        <f t="shared" si="103"/>
        <v>44.670585441115527</v>
      </c>
      <c r="GC85" s="22">
        <f t="shared" si="79"/>
        <v>386.2051529766095</v>
      </c>
      <c r="GD85" s="60">
        <f t="shared" si="80"/>
        <v>657.71124460859653</v>
      </c>
      <c r="GE85" s="60">
        <f ca="1">AVERAGE(OFFSET($GD$3,0,0,'Données projet'!$E$17+1,1))-AVERAGE(OFFSET($H$3,0,0,'Données projet'!$E$17+1,1))</f>
        <v>344.62096650402731</v>
      </c>
      <c r="GF85" s="60">
        <f t="shared" si="104"/>
        <v>277.30931495079346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7.9</v>
      </c>
      <c r="N86" s="14">
        <f>IF('Données projet'!$A$36&gt;35,N85+M86-V85,IF(A86&lt;'Données projet'!$A$36,$K$205^A86,IF(A86='Données projet'!$A$36,'Données projet'!$B$36,N85+M86-V85)))</f>
        <v>374.69999999999982</v>
      </c>
      <c r="O86" s="14">
        <f>N86*VLOOKUP('Données projet'!$B$9,Paramètres!$A$1:$I$89,3,0)*VLOOKUP('Données projet'!$B$9,Paramètres!$A$1:$I$89,5,0)</f>
        <v>321.49259999999987</v>
      </c>
      <c r="P86" s="14">
        <f t="shared" si="87"/>
        <v>75.663833958711322</v>
      </c>
      <c r="Q86" s="22">
        <f t="shared" si="54"/>
        <v>691.7141224780886</v>
      </c>
      <c r="R86" s="60">
        <f t="shared" si="55"/>
        <v>963.59886795519208</v>
      </c>
      <c r="S86" s="60">
        <f ca="1">AVERAGE(OFFSET($R$3,0,0,'Données projet'!$E$9+1,1))-AVERAGE(OFFSET($H$3,0,0,'Données projet'!$E$9+1,1))</f>
        <v>632.26350546340541</v>
      </c>
      <c r="T86" s="60">
        <f t="shared" si="88"/>
        <v>340.45335016367915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3.4106051316484809E-13</v>
      </c>
      <c r="AJ86" s="14">
        <f>AI86*VLOOKUP('Données projet'!$B$10,Paramètres!$A$1:$I$89,3,0)*VLOOKUP('Données projet'!$B$10,Paramètres!$A$1:$I$89,5,0)</f>
        <v>2.7134774427395314E-13</v>
      </c>
      <c r="AK86" s="14">
        <f t="shared" si="89"/>
        <v>3.6292411711343559E-12</v>
      </c>
      <c r="AL86" s="22">
        <f t="shared" si="58"/>
        <v>6.7935256943361388E-12</v>
      </c>
      <c r="AM86" s="60">
        <f t="shared" si="59"/>
        <v>271.8847454771103</v>
      </c>
      <c r="AN86" s="60">
        <f ca="1">AVERAGE(OFFSET($AM$3,0,0,'Données projet'!$E$10+1,1))-AVERAGE(OFFSET($H$3,0,0,'Données projet'!$E$10+1,1))</f>
        <v>336.25341821407534</v>
      </c>
      <c r="AO86" s="60">
        <f t="shared" si="90"/>
        <v>360.3246221345039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2.7134774427395314E-13</v>
      </c>
      <c r="BF86" s="14">
        <f t="shared" si="91"/>
        <v>3.6292411711343559E-12</v>
      </c>
      <c r="BG86" s="22">
        <f t="shared" si="61"/>
        <v>6.7935256943361388E-12</v>
      </c>
      <c r="BH86" s="60">
        <f t="shared" si="62"/>
        <v>271.8847454771103</v>
      </c>
      <c r="BI86" s="60">
        <f ca="1">AVERAGE(OFFSET($BH$3,0,0,'Données projet'!$E$11+1,1))-AVERAGE(OFFSET($H$3,0,0,'Données projet'!$E$11+1,1))</f>
        <v>336.25341821407534</v>
      </c>
      <c r="BJ86" s="60">
        <f t="shared" si="92"/>
        <v>360.3246221345039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232.35263999999989</v>
      </c>
      <c r="CA86" s="14">
        <f t="shared" si="93"/>
        <v>56.791075613550255</v>
      </c>
      <c r="CB86" s="22">
        <f t="shared" si="64"/>
        <v>503.59197136026643</v>
      </c>
      <c r="CC86" s="60">
        <f t="shared" si="65"/>
        <v>775.47671683736985</v>
      </c>
      <c r="CD86" s="60">
        <f ca="1">AVERAGE(OFFSET($CC$3,0,0,'Données projet'!$E$12+1,1))-AVERAGE(OFFSET($H$3,0,0,'Données projet'!$E$12+1,1))</f>
        <v>469.67944008675863</v>
      </c>
      <c r="CE86" s="60">
        <f t="shared" si="94"/>
        <v>266.11908070867173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8.8675733422860506E-14</v>
      </c>
      <c r="CV86" s="14">
        <f t="shared" si="95"/>
        <v>1.3509285393066301E-12</v>
      </c>
      <c r="CW86" s="22">
        <f t="shared" si="67"/>
        <v>2.5073107750038623E-12</v>
      </c>
      <c r="CX86" s="60">
        <f t="shared" si="68"/>
        <v>271.88474547710598</v>
      </c>
      <c r="CY86" s="60">
        <f ca="1">AVERAGE(OFFSET($CX$3,0,0,'Données projet'!$E$13+1,1))-AVERAGE(OFFSET($H$3,0,0,'Données projet'!$E$13+1,1))</f>
        <v>312.59632808777332</v>
      </c>
      <c r="CZ86" s="60">
        <f t="shared" si="96"/>
        <v>302.59481222418219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3.8461538461538454</v>
      </c>
      <c r="DO86" s="13">
        <f>IF('Données projet'!$A$166&gt;35,DO85+DN86-DW85,IF(A86&lt;'Données projet'!$A$166,$DL$205^A86,IF(A86='Données projet'!$A$166,'Données projet'!$B$166,DO85+DN86-DW85)))</f>
        <v>211.53846153846146</v>
      </c>
      <c r="DP86" s="18">
        <f>DO86*VLOOKUP('Données projet'!$B$14,Paramètres!$A$1:$I$89,3,0)*VLOOKUP('Données projet'!$B$14,Paramètres!$A$1:$I$89,5,0)</f>
        <v>201.29999999999993</v>
      </c>
      <c r="DQ86" s="14">
        <f t="shared" si="97"/>
        <v>50.029760558277118</v>
      </c>
      <c r="DR86" s="22">
        <f t="shared" si="70"/>
        <v>437.73266630566582</v>
      </c>
      <c r="DS86" s="60">
        <f t="shared" si="71"/>
        <v>709.6174117827693</v>
      </c>
      <c r="DT86" s="60">
        <f ca="1">AVERAGE(OFFSET($DS$3,0,0,'Données projet'!$E$14+1,1))-AVERAGE(OFFSET($H$3,0,0,'Données projet'!$E$14+1,1))</f>
        <v>398.29746143975166</v>
      </c>
      <c r="DU86" s="60">
        <f t="shared" si="98"/>
        <v>300.63705521148802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5.6</v>
      </c>
      <c r="EJ86" s="13">
        <f>IF('Données projet'!$A$192&gt;35,EJ85+EI86-ER85,IF(A86&lt;'Données projet'!$A$192,$EG$205^A86,IF(A86='Données projet'!$A$192,'Données projet'!$B$192,EJ85+EI86-ER85)))</f>
        <v>256.7999999999999</v>
      </c>
      <c r="EK86" s="18">
        <f>EJ86*VLOOKUP('Données projet'!$B$15,Paramètres!$A$1:$I$89,3,0)*VLOOKUP('Données projet'!$B$15,Paramètres!$A$1:$I$89,5,0)</f>
        <v>248.37695999999988</v>
      </c>
      <c r="EL86" s="14">
        <f t="shared" si="99"/>
        <v>60.238259626372319</v>
      </c>
      <c r="EM86" s="22">
        <f t="shared" si="73"/>
        <v>537.50484084926495</v>
      </c>
      <c r="EN86" s="60">
        <f t="shared" si="74"/>
        <v>809.38958632636843</v>
      </c>
      <c r="EO86" s="60">
        <f ca="1">AVERAGE(OFFSET($EN$3,0,0,'Données projet'!$E$15+1,1))-AVERAGE(OFFSET($H$3,0,0,'Données projet'!$E$15+1,1))</f>
        <v>496.33873798282525</v>
      </c>
      <c r="EP86" s="60">
        <f t="shared" si="100"/>
        <v>280.25465074992246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3.4106051316484809E-13</v>
      </c>
      <c r="FF86" s="18">
        <f>FE86*VLOOKUP('Données projet'!$B$16,Paramètres!$A$1:$I$89,3,0)*VLOOKUP('Données projet'!$B$16,Paramètres!$A$1:$I$89,5,0)</f>
        <v>2.9795046430081134E-13</v>
      </c>
      <c r="FG86" s="14">
        <f t="shared" si="101"/>
        <v>3.9419014464513778E-12</v>
      </c>
      <c r="FH86" s="22">
        <f t="shared" si="76"/>
        <v>7.384408744560063E-12</v>
      </c>
      <c r="FI86" s="60">
        <f t="shared" si="77"/>
        <v>271.88474547711087</v>
      </c>
      <c r="FJ86" s="60">
        <f ca="1">AVERAGE(OFFSET($FI$3,0,0,'Données projet'!$E$16+1,1))-AVERAGE(OFFSET($H$3,0,0,'Données projet'!$E$16+1,1))</f>
        <v>363.28611056308665</v>
      </c>
      <c r="FK86" s="60">
        <f t="shared" si="102"/>
        <v>389.43647559455974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4.1025641025640995</v>
      </c>
      <c r="FZ86" s="13">
        <f>IF('Données projet'!$A$244&gt;35,FZ85+FY86-GH85,IF(A86&lt;'Données projet'!$A$244,$FW$205^A86,IF(A86='Données projet'!$A$244,'Données projet'!$B$244,FZ85+FY86-GH85)))</f>
        <v>268.07692307692309</v>
      </c>
      <c r="GA86" s="18">
        <f>FZ86*VLOOKUP('Données projet'!$B$17,Paramètres!$A$1:$I$89,3,0)*VLOOKUP('Données projet'!$B$17,Paramètres!$A$1:$I$89,5,0)</f>
        <v>179.82600000000002</v>
      </c>
      <c r="GB86" s="14">
        <f t="shared" si="103"/>
        <v>45.283472193614408</v>
      </c>
      <c r="GC86" s="22">
        <f t="shared" si="79"/>
        <v>392.06566407054515</v>
      </c>
      <c r="GD86" s="60">
        <f t="shared" si="80"/>
        <v>663.95040954764863</v>
      </c>
      <c r="GE86" s="60">
        <f ca="1">AVERAGE(OFFSET($GD$3,0,0,'Données projet'!$E$17+1,1))-AVERAGE(OFFSET($H$3,0,0,'Données projet'!$E$17+1,1))</f>
        <v>344.62096650402731</v>
      </c>
      <c r="GF86" s="60">
        <f t="shared" si="104"/>
        <v>277.30931495079346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7.9</v>
      </c>
      <c r="N87" s="14">
        <f>IF('Données projet'!$A$36&gt;35,N86+M87-V86,IF(A87&lt;'Données projet'!$A$36,$K$205^A87,IF(A87='Données projet'!$A$36,'Données projet'!$B$36,N86+M87-V86)))</f>
        <v>382.5999999999998</v>
      </c>
      <c r="O87" s="14">
        <f>N87*VLOOKUP('Données projet'!$B$9,Paramètres!$A$1:$I$89,3,0)*VLOOKUP('Données projet'!$B$9,Paramètres!$A$1:$I$89,5,0)</f>
        <v>328.27079999999984</v>
      </c>
      <c r="P87" s="14">
        <f t="shared" si="87"/>
        <v>77.071690347038597</v>
      </c>
      <c r="Q87" s="22">
        <f t="shared" si="54"/>
        <v>705.97150402109185</v>
      </c>
      <c r="R87" s="60">
        <f t="shared" si="55"/>
        <v>978.22833454564216</v>
      </c>
      <c r="S87" s="60">
        <f ca="1">AVERAGE(OFFSET($R$3,0,0,'Données projet'!$E$9+1,1))-AVERAGE(OFFSET($H$3,0,0,'Données projet'!$E$9+1,1))</f>
        <v>632.26350546340541</v>
      </c>
      <c r="T87" s="60">
        <f t="shared" si="88"/>
        <v>340.45335016367915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3.4106051316484809E-13</v>
      </c>
      <c r="AJ87" s="14">
        <f>AI87*VLOOKUP('Données projet'!$B$10,Paramètres!$A$1:$I$89,3,0)*VLOOKUP('Données projet'!$B$10,Paramètres!$A$1:$I$89,5,0)</f>
        <v>2.7134774427395314E-13</v>
      </c>
      <c r="AK87" s="14">
        <f t="shared" si="89"/>
        <v>3.6292411711343559E-12</v>
      </c>
      <c r="AL87" s="22">
        <f t="shared" si="58"/>
        <v>6.7935256943361388E-12</v>
      </c>
      <c r="AM87" s="60">
        <f t="shared" si="59"/>
        <v>272.25683052455713</v>
      </c>
      <c r="AN87" s="60">
        <f ca="1">AVERAGE(OFFSET($AM$3,0,0,'Données projet'!$E$10+1,1))-AVERAGE(OFFSET($H$3,0,0,'Données projet'!$E$10+1,1))</f>
        <v>336.25341821407534</v>
      </c>
      <c r="AO87" s="60">
        <f t="shared" si="90"/>
        <v>360.3246221345039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2.7134774427395314E-13</v>
      </c>
      <c r="BF87" s="14">
        <f t="shared" si="91"/>
        <v>3.6292411711343559E-12</v>
      </c>
      <c r="BG87" s="22">
        <f t="shared" si="61"/>
        <v>6.7935256943361388E-12</v>
      </c>
      <c r="BH87" s="60">
        <f t="shared" si="62"/>
        <v>272.25683052455713</v>
      </c>
      <c r="BI87" s="60">
        <f ca="1">AVERAGE(OFFSET($BH$3,0,0,'Données projet'!$E$11+1,1))-AVERAGE(OFFSET($H$3,0,0,'Données projet'!$E$11+1,1))</f>
        <v>336.25341821407534</v>
      </c>
      <c r="BJ87" s="60">
        <f t="shared" si="92"/>
        <v>360.3246221345039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237.41951999999992</v>
      </c>
      <c r="CA87" s="14">
        <f t="shared" si="93"/>
        <v>57.883978814320919</v>
      </c>
      <c r="CB87" s="22">
        <f t="shared" si="64"/>
        <v>514.32026043494204</v>
      </c>
      <c r="CC87" s="60">
        <f t="shared" si="65"/>
        <v>786.57709095949235</v>
      </c>
      <c r="CD87" s="60">
        <f ca="1">AVERAGE(OFFSET($CC$3,0,0,'Données projet'!$E$12+1,1))-AVERAGE(OFFSET($H$3,0,0,'Données projet'!$E$12+1,1))</f>
        <v>469.67944008675863</v>
      </c>
      <c r="CE87" s="60">
        <f t="shared" si="94"/>
        <v>266.11908070867173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8.8675733422860506E-14</v>
      </c>
      <c r="CV87" s="14">
        <f t="shared" si="95"/>
        <v>1.3509285393066301E-12</v>
      </c>
      <c r="CW87" s="22">
        <f t="shared" si="67"/>
        <v>2.5073107750038623E-12</v>
      </c>
      <c r="CX87" s="60">
        <f t="shared" si="68"/>
        <v>272.25683052455281</v>
      </c>
      <c r="CY87" s="60">
        <f ca="1">AVERAGE(OFFSET($CX$3,0,0,'Données projet'!$E$13+1,1))-AVERAGE(OFFSET($H$3,0,0,'Données projet'!$E$13+1,1))</f>
        <v>312.59632808777332</v>
      </c>
      <c r="CZ87" s="60">
        <f t="shared" si="96"/>
        <v>302.59481222418219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3.8461538461538454</v>
      </c>
      <c r="DO87" s="13">
        <f>IF('Données projet'!$A$166&gt;35,DO86+DN87-DW86,IF(A87&lt;'Données projet'!$A$166,$DL$205^A87,IF(A87='Données projet'!$A$166,'Données projet'!$B$166,DO86+DN87-DW86)))</f>
        <v>215.3846153846153</v>
      </c>
      <c r="DP87" s="18">
        <f>DO87*VLOOKUP('Données projet'!$B$14,Paramètres!$A$1:$I$89,3,0)*VLOOKUP('Données projet'!$B$14,Paramètres!$A$1:$I$89,5,0)</f>
        <v>204.95999999999992</v>
      </c>
      <c r="DQ87" s="14">
        <f t="shared" si="97"/>
        <v>50.832666587809335</v>
      </c>
      <c r="DR87" s="22">
        <f t="shared" si="70"/>
        <v>445.50556097376779</v>
      </c>
      <c r="DS87" s="60">
        <f t="shared" si="71"/>
        <v>717.76239149831804</v>
      </c>
      <c r="DT87" s="60">
        <f ca="1">AVERAGE(OFFSET($DS$3,0,0,'Données projet'!$E$14+1,1))-AVERAGE(OFFSET($H$3,0,0,'Données projet'!$E$14+1,1))</f>
        <v>398.29746143975166</v>
      </c>
      <c r="DU87" s="60">
        <f t="shared" si="98"/>
        <v>300.63705521148802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5.6</v>
      </c>
      <c r="EJ87" s="13">
        <f>IF('Données projet'!$A$192&gt;35,EJ86+EI87-ER86,IF(A87&lt;'Données projet'!$A$192,$EG$205^A87,IF(A87='Données projet'!$A$192,'Données projet'!$B$192,EJ86+EI87-ER86)))</f>
        <v>262.39999999999992</v>
      </c>
      <c r="EK87" s="18">
        <f>EJ87*VLOOKUP('Données projet'!$B$15,Paramètres!$A$1:$I$89,3,0)*VLOOKUP('Données projet'!$B$15,Paramètres!$A$1:$I$89,5,0)</f>
        <v>253.79327999999995</v>
      </c>
      <c r="EL87" s="14">
        <f t="shared" si="99"/>
        <v>61.39750139179521</v>
      </c>
      <c r="EM87" s="22">
        <f t="shared" si="73"/>
        <v>548.95727759070985</v>
      </c>
      <c r="EN87" s="60">
        <f t="shared" si="74"/>
        <v>821.21410811526016</v>
      </c>
      <c r="EO87" s="60">
        <f ca="1">AVERAGE(OFFSET($EN$3,0,0,'Données projet'!$E$15+1,1))-AVERAGE(OFFSET($H$3,0,0,'Données projet'!$E$15+1,1))</f>
        <v>496.33873798282525</v>
      </c>
      <c r="EP87" s="60">
        <f t="shared" si="100"/>
        <v>280.25465074992246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3.4106051316484809E-13</v>
      </c>
      <c r="FF87" s="18">
        <f>FE87*VLOOKUP('Données projet'!$B$16,Paramètres!$A$1:$I$89,3,0)*VLOOKUP('Données projet'!$B$16,Paramètres!$A$1:$I$89,5,0)</f>
        <v>2.9795046430081134E-13</v>
      </c>
      <c r="FG87" s="14">
        <f t="shared" si="101"/>
        <v>3.9419014464513778E-12</v>
      </c>
      <c r="FH87" s="22">
        <f t="shared" si="76"/>
        <v>7.384408744560063E-12</v>
      </c>
      <c r="FI87" s="60">
        <f t="shared" si="77"/>
        <v>272.2568305245577</v>
      </c>
      <c r="FJ87" s="60">
        <f ca="1">AVERAGE(OFFSET($FI$3,0,0,'Données projet'!$E$16+1,1))-AVERAGE(OFFSET($H$3,0,0,'Données projet'!$E$16+1,1))</f>
        <v>363.28611056308665</v>
      </c>
      <c r="FK87" s="60">
        <f t="shared" si="102"/>
        <v>389.43647559455974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4.1025641025640995</v>
      </c>
      <c r="FZ87" s="13">
        <f>IF('Données projet'!$A$244&gt;35,FZ86+FY87-GH86,IF(A87&lt;'Données projet'!$A$244,$FW$205^A87,IF(A87='Données projet'!$A$244,'Données projet'!$B$244,FZ86+FY87-GH86)))</f>
        <v>272.17948717948718</v>
      </c>
      <c r="GA87" s="18">
        <f>FZ87*VLOOKUP('Données projet'!$B$17,Paramètres!$A$1:$I$89,3,0)*VLOOKUP('Données projet'!$B$17,Paramètres!$A$1:$I$89,5,0)</f>
        <v>182.578</v>
      </c>
      <c r="GB87" s="14">
        <f t="shared" si="103"/>
        <v>45.895268107941853</v>
      </c>
      <c r="GC87" s="22">
        <f t="shared" si="79"/>
        <v>397.9242752879988</v>
      </c>
      <c r="GD87" s="60">
        <f t="shared" si="80"/>
        <v>670.18110581254905</v>
      </c>
      <c r="GE87" s="60">
        <f ca="1">AVERAGE(OFFSET($GD$3,0,0,'Données projet'!$E$17+1,1))-AVERAGE(OFFSET($H$3,0,0,'Données projet'!$E$17+1,1))</f>
        <v>344.62096650402731</v>
      </c>
      <c r="GF87" s="60">
        <f t="shared" si="104"/>
        <v>277.30931495079346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7.9</v>
      </c>
      <c r="N88" s="14">
        <f>IF('Données projet'!$A$36&gt;35,N87+M88-V87,IF(A88&lt;'Données projet'!$A$36,$K$205^A88,IF(A88='Données projet'!$A$36,'Données projet'!$B$36,N87+M88-V87)))</f>
        <v>390.49999999999977</v>
      </c>
      <c r="O88" s="14">
        <f>N88*VLOOKUP('Données projet'!$B$9,Paramètres!$A$1:$I$89,3,0)*VLOOKUP('Données projet'!$B$9,Paramètres!$A$1:$I$89,5,0)</f>
        <v>335.04899999999986</v>
      </c>
      <c r="P88" s="14">
        <f t="shared" si="87"/>
        <v>78.476166831987385</v>
      </c>
      <c r="Q88" s="22">
        <f t="shared" si="54"/>
        <v>720.22299889904434</v>
      </c>
      <c r="R88" s="60">
        <f t="shared" si="55"/>
        <v>992.84545962732591</v>
      </c>
      <c r="S88" s="60">
        <f ca="1">AVERAGE(OFFSET($R$3,0,0,'Données projet'!$E$9+1,1))-AVERAGE(OFFSET($H$3,0,0,'Données projet'!$E$9+1,1))</f>
        <v>632.26350546340541</v>
      </c>
      <c r="T88" s="60">
        <f t="shared" si="88"/>
        <v>340.45335016367915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3.4106051316484809E-13</v>
      </c>
      <c r="AJ88" s="14">
        <f>AI88*VLOOKUP('Données projet'!$B$10,Paramètres!$A$1:$I$89,3,0)*VLOOKUP('Données projet'!$B$10,Paramètres!$A$1:$I$89,5,0)</f>
        <v>2.7134774427395314E-13</v>
      </c>
      <c r="AK88" s="14">
        <f t="shared" si="89"/>
        <v>3.6292411711343559E-12</v>
      </c>
      <c r="AL88" s="22">
        <f t="shared" si="58"/>
        <v>6.7935256943361388E-12</v>
      </c>
      <c r="AM88" s="60">
        <f t="shared" si="59"/>
        <v>272.62246072828833</v>
      </c>
      <c r="AN88" s="60">
        <f ca="1">AVERAGE(OFFSET($AM$3,0,0,'Données projet'!$E$10+1,1))-AVERAGE(OFFSET($H$3,0,0,'Données projet'!$E$10+1,1))</f>
        <v>336.25341821407534</v>
      </c>
      <c r="AO88" s="60">
        <f t="shared" si="90"/>
        <v>360.3246221345039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2.7134774427395314E-13</v>
      </c>
      <c r="BF88" s="14">
        <f t="shared" si="91"/>
        <v>3.6292411711343559E-12</v>
      </c>
      <c r="BG88" s="22">
        <f t="shared" si="61"/>
        <v>6.7935256943361388E-12</v>
      </c>
      <c r="BH88" s="60">
        <f t="shared" si="62"/>
        <v>272.62246072828833</v>
      </c>
      <c r="BI88" s="60">
        <f ca="1">AVERAGE(OFFSET($BH$3,0,0,'Données projet'!$E$11+1,1))-AVERAGE(OFFSET($H$3,0,0,'Données projet'!$E$11+1,1))</f>
        <v>336.25341821407534</v>
      </c>
      <c r="BJ88" s="60">
        <f t="shared" si="92"/>
        <v>360.3246221345039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242.48639999999995</v>
      </c>
      <c r="CA88" s="14">
        <f t="shared" si="93"/>
        <v>58.974170235372419</v>
      </c>
      <c r="CB88" s="22">
        <f t="shared" si="64"/>
        <v>525.04382649327351</v>
      </c>
      <c r="CC88" s="60">
        <f t="shared" si="65"/>
        <v>797.66628722155497</v>
      </c>
      <c r="CD88" s="60">
        <f ca="1">AVERAGE(OFFSET($CC$3,0,0,'Données projet'!$E$12+1,1))-AVERAGE(OFFSET($H$3,0,0,'Données projet'!$E$12+1,1))</f>
        <v>469.67944008675863</v>
      </c>
      <c r="CE88" s="60">
        <f t="shared" si="94"/>
        <v>266.11908070867173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8.8675733422860506E-14</v>
      </c>
      <c r="CV88" s="14">
        <f t="shared" si="95"/>
        <v>1.3509285393066301E-12</v>
      </c>
      <c r="CW88" s="22">
        <f t="shared" si="67"/>
        <v>2.5073107750038623E-12</v>
      </c>
      <c r="CX88" s="60">
        <f t="shared" si="68"/>
        <v>272.62246072828401</v>
      </c>
      <c r="CY88" s="60">
        <f ca="1">AVERAGE(OFFSET($CX$3,0,0,'Données projet'!$E$13+1,1))-AVERAGE(OFFSET($H$3,0,0,'Données projet'!$E$13+1,1))</f>
        <v>312.59632808777332</v>
      </c>
      <c r="CZ88" s="60">
        <f t="shared" si="96"/>
        <v>302.59481222418219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219.23076923076923</v>
      </c>
      <c r="DM88" s="13">
        <f>VLOOKUP(A88,'Données projet'!$A$165:$I$185,9,0)</f>
        <v>3.8461538461538454</v>
      </c>
      <c r="DN88" s="13">
        <f t="array" ref="DN88">INDEX(DM:DM,MIN(IF(ISNUMBER(DM88:DM284),ROW(DM88:DM284),"")))</f>
        <v>3.8461538461538454</v>
      </c>
      <c r="DO88" s="13">
        <f>IF('Données projet'!$A$166&gt;35,DO87+DN88-DW87,IF(A88&lt;'Données projet'!$A$166,$DL$205^A88,IF(A88='Données projet'!$A$166,'Données projet'!$B$166,DO87+DN88-DW87)))</f>
        <v>219.23076923076914</v>
      </c>
      <c r="DP88" s="18">
        <f>DO88*VLOOKUP('Données projet'!$B$14,Paramètres!$A$1:$I$89,3,0)*VLOOKUP('Données projet'!$B$14,Paramètres!$A$1:$I$89,5,0)</f>
        <v>208.61999999999992</v>
      </c>
      <c r="DQ88" s="14">
        <f t="shared" si="97"/>
        <v>51.63390535939368</v>
      </c>
      <c r="DR88" s="22">
        <f t="shared" si="70"/>
        <v>453.27555183427711</v>
      </c>
      <c r="DS88" s="60">
        <f t="shared" si="71"/>
        <v>725.89801256255862</v>
      </c>
      <c r="DT88" s="60">
        <f ca="1">AVERAGE(OFFSET($DS$3,0,0,'Données projet'!$E$14+1,1))-AVERAGE(OFFSET($H$3,0,0,'Données projet'!$E$14+1,1))</f>
        <v>398.29746143975166</v>
      </c>
      <c r="DU88" s="60">
        <f t="shared" si="98"/>
        <v>300.63705521148802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5.6</v>
      </c>
      <c r="EJ88" s="13">
        <f>IF('Données projet'!$A$192&gt;35,EJ87+EI88-ER87,IF(A88&lt;'Données projet'!$A$192,$EG$205^A88,IF(A88='Données projet'!$A$192,'Données projet'!$B$192,EJ87+EI88-ER87)))</f>
        <v>267.99999999999994</v>
      </c>
      <c r="EK88" s="18">
        <f>EJ88*VLOOKUP('Données projet'!$B$15,Paramètres!$A$1:$I$89,3,0)*VLOOKUP('Données projet'!$B$15,Paramètres!$A$1:$I$89,5,0)</f>
        <v>259.20959999999997</v>
      </c>
      <c r="EL88" s="14">
        <f t="shared" si="99"/>
        <v>62.553866774106702</v>
      </c>
      <c r="EM88" s="22">
        <f t="shared" si="73"/>
        <v>560.40470463156907</v>
      </c>
      <c r="EN88" s="60">
        <f t="shared" si="74"/>
        <v>833.02716535985064</v>
      </c>
      <c r="EO88" s="60">
        <f ca="1">AVERAGE(OFFSET($EN$3,0,0,'Données projet'!$E$15+1,1))-AVERAGE(OFFSET($H$3,0,0,'Données projet'!$E$15+1,1))</f>
        <v>496.33873798282525</v>
      </c>
      <c r="EP88" s="60">
        <f t="shared" si="100"/>
        <v>280.25465074992246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3.4106051316484809E-13</v>
      </c>
      <c r="FF88" s="18">
        <f>FE88*VLOOKUP('Données projet'!$B$16,Paramètres!$A$1:$I$89,3,0)*VLOOKUP('Données projet'!$B$16,Paramètres!$A$1:$I$89,5,0)</f>
        <v>2.9795046430081134E-13</v>
      </c>
      <c r="FG88" s="14">
        <f t="shared" si="101"/>
        <v>3.9419014464513778E-12</v>
      </c>
      <c r="FH88" s="22">
        <f t="shared" si="76"/>
        <v>7.384408744560063E-12</v>
      </c>
      <c r="FI88" s="60">
        <f t="shared" si="77"/>
        <v>272.6224607282889</v>
      </c>
      <c r="FJ88" s="60">
        <f ca="1">AVERAGE(OFFSET($FI$3,0,0,'Données projet'!$E$16+1,1))-AVERAGE(OFFSET($H$3,0,0,'Données projet'!$E$16+1,1))</f>
        <v>363.28611056308665</v>
      </c>
      <c r="FK88" s="60">
        <f t="shared" si="102"/>
        <v>389.43647559455974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276.28205128205127</v>
      </c>
      <c r="FX88" s="13">
        <f>VLOOKUP(A88,'Données projet'!$A$243:$I$263,9,0)</f>
        <v>4.1025641025640995</v>
      </c>
      <c r="FY88" s="13">
        <f t="array" ref="FY88">INDEX(FX:FX,MIN(IF(ISNUMBER(FX88:FX284),ROW(FX88:FX284),"")))</f>
        <v>4.1025641025640995</v>
      </c>
      <c r="FZ88" s="13">
        <f>IF('Données projet'!$A$244&gt;35,FZ87+FY88-GH87,IF(A88&lt;'Données projet'!$A$244,$FW$205^A88,IF(A88='Données projet'!$A$244,'Données projet'!$B$244,FZ87+FY88-GH87)))</f>
        <v>276.28205128205127</v>
      </c>
      <c r="GA88" s="18">
        <f>FZ88*VLOOKUP('Données projet'!$B$17,Paramètres!$A$1:$I$89,3,0)*VLOOKUP('Données projet'!$B$17,Paramètres!$A$1:$I$89,5,0)</f>
        <v>185.32999999999998</v>
      </c>
      <c r="GB88" s="14">
        <f t="shared" si="103"/>
        <v>46.505991525491268</v>
      </c>
      <c r="GC88" s="22">
        <f t="shared" si="79"/>
        <v>403.78101857356387</v>
      </c>
      <c r="GD88" s="60">
        <f t="shared" si="80"/>
        <v>676.40347930184544</v>
      </c>
      <c r="GE88" s="60">
        <f ca="1">AVERAGE(OFFSET($GD$3,0,0,'Données projet'!$E$17+1,1))-AVERAGE(OFFSET($H$3,0,0,'Données projet'!$E$17+1,1))</f>
        <v>344.62096650402731</v>
      </c>
      <c r="GF88" s="60">
        <f t="shared" si="104"/>
        <v>277.30931495079346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7.9</v>
      </c>
      <c r="N89" s="14">
        <f>IF('Données projet'!$A$36&gt;35,N88+M89-V88,IF(A89&lt;'Données projet'!$A$36,$K$205^A89,IF(A89='Données projet'!$A$36,'Données projet'!$B$36,N88+M89-V88)))</f>
        <v>398.39999999999975</v>
      </c>
      <c r="O89" s="14">
        <f>N89*VLOOKUP('Données projet'!$B$9,Paramètres!$A$1:$I$89,3,0)*VLOOKUP('Données projet'!$B$9,Paramètres!$A$1:$I$89,5,0)</f>
        <v>341.82719999999983</v>
      </c>
      <c r="P89" s="14">
        <f t="shared" si="87"/>
        <v>79.877339670383009</v>
      </c>
      <c r="Q89" s="22">
        <f t="shared" si="54"/>
        <v>734.46873992591679</v>
      </c>
      <c r="R89" s="60">
        <f t="shared" si="55"/>
        <v>1007.4504879913216</v>
      </c>
      <c r="S89" s="60">
        <f ca="1">AVERAGE(OFFSET($R$3,0,0,'Données projet'!$E$9+1,1))-AVERAGE(OFFSET($H$3,0,0,'Données projet'!$E$9+1,1))</f>
        <v>632.26350546340541</v>
      </c>
      <c r="T89" s="60">
        <f t="shared" si="88"/>
        <v>340.45335016367915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3.4106051316484809E-13</v>
      </c>
      <c r="AJ89" s="14">
        <f>AI89*VLOOKUP('Données projet'!$B$10,Paramètres!$A$1:$I$89,3,0)*VLOOKUP('Données projet'!$B$10,Paramètres!$A$1:$I$89,5,0)</f>
        <v>2.7134774427395314E-13</v>
      </c>
      <c r="AK89" s="14">
        <f t="shared" si="89"/>
        <v>3.6292411711343559E-12</v>
      </c>
      <c r="AL89" s="22">
        <f t="shared" si="58"/>
        <v>6.7935256943361388E-12</v>
      </c>
      <c r="AM89" s="60">
        <f t="shared" si="59"/>
        <v>272.98174806541152</v>
      </c>
      <c r="AN89" s="60">
        <f ca="1">AVERAGE(OFFSET($AM$3,0,0,'Données projet'!$E$10+1,1))-AVERAGE(OFFSET($H$3,0,0,'Données projet'!$E$10+1,1))</f>
        <v>336.25341821407534</v>
      </c>
      <c r="AO89" s="60">
        <f t="shared" si="90"/>
        <v>360.3246221345039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2.7134774427395314E-13</v>
      </c>
      <c r="BF89" s="14">
        <f t="shared" si="91"/>
        <v>3.6292411711343559E-12</v>
      </c>
      <c r="BG89" s="22">
        <f t="shared" si="61"/>
        <v>6.7935256943361388E-12</v>
      </c>
      <c r="BH89" s="60">
        <f t="shared" si="62"/>
        <v>272.98174806541152</v>
      </c>
      <c r="BI89" s="60">
        <f ca="1">AVERAGE(OFFSET($BH$3,0,0,'Données projet'!$E$11+1,1))-AVERAGE(OFFSET($H$3,0,0,'Données projet'!$E$11+1,1))</f>
        <v>336.25341821407534</v>
      </c>
      <c r="BJ89" s="60">
        <f t="shared" si="92"/>
        <v>360.3246221345039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247.55327999999994</v>
      </c>
      <c r="CA89" s="14">
        <f t="shared" si="93"/>
        <v>60.061713068870255</v>
      </c>
      <c r="CB89" s="22">
        <f t="shared" si="64"/>
        <v>535.76277959494894</v>
      </c>
      <c r="CC89" s="60">
        <f t="shared" si="65"/>
        <v>808.7445276603537</v>
      </c>
      <c r="CD89" s="60">
        <f ca="1">AVERAGE(OFFSET($CC$3,0,0,'Données projet'!$E$12+1,1))-AVERAGE(OFFSET($H$3,0,0,'Données projet'!$E$12+1,1))</f>
        <v>469.67944008675863</v>
      </c>
      <c r="CE89" s="60">
        <f t="shared" si="94"/>
        <v>266.11908070867173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8.8675733422860506E-14</v>
      </c>
      <c r="CV89" s="14">
        <f t="shared" si="95"/>
        <v>1.3509285393066301E-12</v>
      </c>
      <c r="CW89" s="22">
        <f t="shared" si="67"/>
        <v>2.5073107750038623E-12</v>
      </c>
      <c r="CX89" s="60">
        <f t="shared" si="68"/>
        <v>272.9817480654072</v>
      </c>
      <c r="CY89" s="60">
        <f ca="1">AVERAGE(OFFSET($CX$3,0,0,'Données projet'!$E$13+1,1))-AVERAGE(OFFSET($H$3,0,0,'Données projet'!$E$13+1,1))</f>
        <v>312.59632808777332</v>
      </c>
      <c r="CZ89" s="60">
        <f t="shared" si="96"/>
        <v>302.59481222418219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3.5897435897435912</v>
      </c>
      <c r="DO89" s="13">
        <f>IF('Données projet'!$A$166&gt;35,DO88+DN89-DW88,IF(A89&lt;'Données projet'!$A$166,$DL$205^A89,IF(A89='Données projet'!$A$166,'Données projet'!$B$166,DO88+DN89-DW88)))</f>
        <v>222.82051282051273</v>
      </c>
      <c r="DP89" s="18">
        <f>DO89*VLOOKUP('Données projet'!$B$14,Paramètres!$A$1:$I$89,3,0)*VLOOKUP('Données projet'!$B$14,Paramètres!$A$1:$I$89,5,0)</f>
        <v>212.03599999999992</v>
      </c>
      <c r="DQ89" s="14">
        <f t="shared" si="97"/>
        <v>52.380252774201118</v>
      </c>
      <c r="DR89" s="22">
        <f t="shared" si="70"/>
        <v>460.52497358173349</v>
      </c>
      <c r="DS89" s="60">
        <f t="shared" si="71"/>
        <v>733.50672164713819</v>
      </c>
      <c r="DT89" s="60">
        <f ca="1">AVERAGE(OFFSET($DS$3,0,0,'Données projet'!$E$14+1,1))-AVERAGE(OFFSET($H$3,0,0,'Données projet'!$E$14+1,1))</f>
        <v>398.29746143975166</v>
      </c>
      <c r="DU89" s="60">
        <f t="shared" si="98"/>
        <v>300.63705521148802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5.6</v>
      </c>
      <c r="EJ89" s="13">
        <f>IF('Données projet'!$A$192&gt;35,EJ88+EI89-ER88,IF(A89&lt;'Données projet'!$A$192,$EG$205^A89,IF(A89='Données projet'!$A$192,'Données projet'!$B$192,EJ88+EI89-ER88)))</f>
        <v>273.59999999999997</v>
      </c>
      <c r="EK89" s="18">
        <f>EJ89*VLOOKUP('Données projet'!$B$15,Paramètres!$A$1:$I$89,3,0)*VLOOKUP('Données projet'!$B$15,Paramètres!$A$1:$I$89,5,0)</f>
        <v>264.62591999999995</v>
      </c>
      <c r="EL89" s="14">
        <f t="shared" si="99"/>
        <v>63.707422801198604</v>
      </c>
      <c r="EM89" s="22">
        <f t="shared" si="73"/>
        <v>571.84723871208746</v>
      </c>
      <c r="EN89" s="60">
        <f t="shared" si="74"/>
        <v>844.82898677749222</v>
      </c>
      <c r="EO89" s="60">
        <f ca="1">AVERAGE(OFFSET($EN$3,0,0,'Données projet'!$E$15+1,1))-AVERAGE(OFFSET($H$3,0,0,'Données projet'!$E$15+1,1))</f>
        <v>496.33873798282525</v>
      </c>
      <c r="EP89" s="60">
        <f t="shared" si="100"/>
        <v>280.25465074992246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3.4106051316484809E-13</v>
      </c>
      <c r="FF89" s="18">
        <f>FE89*VLOOKUP('Données projet'!$B$16,Paramètres!$A$1:$I$89,3,0)*VLOOKUP('Données projet'!$B$16,Paramètres!$A$1:$I$89,5,0)</f>
        <v>2.9795046430081134E-13</v>
      </c>
      <c r="FG89" s="14">
        <f t="shared" si="101"/>
        <v>3.9419014464513778E-12</v>
      </c>
      <c r="FH89" s="22">
        <f t="shared" si="76"/>
        <v>7.384408744560063E-12</v>
      </c>
      <c r="FI89" s="60">
        <f t="shared" si="77"/>
        <v>272.98174806541209</v>
      </c>
      <c r="FJ89" s="60">
        <f ca="1">AVERAGE(OFFSET($FI$3,0,0,'Données projet'!$E$16+1,1))-AVERAGE(OFFSET($H$3,0,0,'Données projet'!$E$16+1,1))</f>
        <v>363.28611056308665</v>
      </c>
      <c r="FK89" s="60">
        <f t="shared" si="102"/>
        <v>389.43647559455974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3.8461538461538454</v>
      </c>
      <c r="FZ89" s="13">
        <f>IF('Données projet'!$A$244&gt;35,FZ88+FY89-GH88,IF(A89&lt;'Données projet'!$A$244,$FW$205^A89,IF(A89='Données projet'!$A$244,'Données projet'!$B$244,FZ88+FY89-GH88)))</f>
        <v>280.12820512820514</v>
      </c>
      <c r="GA89" s="18">
        <f>FZ89*VLOOKUP('Données projet'!$B$17,Paramètres!$A$1:$I$89,3,0)*VLOOKUP('Données projet'!$B$17,Paramètres!$A$1:$I$89,5,0)</f>
        <v>187.91</v>
      </c>
      <c r="GB89" s="14">
        <f t="shared" si="103"/>
        <v>47.077586490700433</v>
      </c>
      <c r="GC89" s="22">
        <f t="shared" si="79"/>
        <v>409.27004647130326</v>
      </c>
      <c r="GD89" s="60">
        <f t="shared" si="80"/>
        <v>682.25179453670796</v>
      </c>
      <c r="GE89" s="60">
        <f ca="1">AVERAGE(OFFSET($GD$3,0,0,'Données projet'!$E$17+1,1))-AVERAGE(OFFSET($H$3,0,0,'Données projet'!$E$17+1,1))</f>
        <v>344.62096650402731</v>
      </c>
      <c r="GF89" s="60">
        <f t="shared" si="104"/>
        <v>277.30931495079346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7.9</v>
      </c>
      <c r="N90" s="14">
        <f>IF('Données projet'!$A$36&gt;35,N89+M90-V89,IF(A90&lt;'Données projet'!$A$36,$K$205^A90,IF(A90='Données projet'!$A$36,'Données projet'!$B$36,N89+M90-V89)))</f>
        <v>406.29999999999973</v>
      </c>
      <c r="O90" s="14">
        <f>N90*VLOOKUP('Données projet'!$B$9,Paramètres!$A$1:$I$89,3,0)*VLOOKUP('Données projet'!$B$9,Paramètres!$A$1:$I$89,5,0)</f>
        <v>348.6053999999998</v>
      </c>
      <c r="P90" s="14">
        <f t="shared" si="87"/>
        <v>81.275281921860611</v>
      </c>
      <c r="Q90" s="22">
        <f t="shared" si="54"/>
        <v>748.70885434724005</v>
      </c>
      <c r="R90" s="60">
        <f t="shared" si="55"/>
        <v>1022.0436569177149</v>
      </c>
      <c r="S90" s="60">
        <f ca="1">AVERAGE(OFFSET($R$3,0,0,'Données projet'!$E$9+1,1))-AVERAGE(OFFSET($H$3,0,0,'Données projet'!$E$9+1,1))</f>
        <v>632.26350546340541</v>
      </c>
      <c r="T90" s="60">
        <f t="shared" si="88"/>
        <v>340.45335016367915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3.4106051316484809E-13</v>
      </c>
      <c r="AJ90" s="14">
        <f>AI90*VLOOKUP('Données projet'!$B$10,Paramètres!$A$1:$I$89,3,0)*VLOOKUP('Données projet'!$B$10,Paramètres!$A$1:$I$89,5,0)</f>
        <v>2.7134774427395314E-13</v>
      </c>
      <c r="AK90" s="14">
        <f t="shared" si="89"/>
        <v>3.6292411711343559E-12</v>
      </c>
      <c r="AL90" s="22">
        <f t="shared" si="58"/>
        <v>6.7935256943361388E-12</v>
      </c>
      <c r="AM90" s="60">
        <f t="shared" si="59"/>
        <v>273.33480257048166</v>
      </c>
      <c r="AN90" s="60">
        <f ca="1">AVERAGE(OFFSET($AM$3,0,0,'Données projet'!$E$10+1,1))-AVERAGE(OFFSET($H$3,0,0,'Données projet'!$E$10+1,1))</f>
        <v>336.25341821407534</v>
      </c>
      <c r="AO90" s="60">
        <f t="shared" si="90"/>
        <v>360.3246221345039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2.7134774427395314E-13</v>
      </c>
      <c r="BF90" s="14">
        <f t="shared" si="91"/>
        <v>3.6292411711343559E-12</v>
      </c>
      <c r="BG90" s="22">
        <f t="shared" si="61"/>
        <v>6.7935256943361388E-12</v>
      </c>
      <c r="BH90" s="60">
        <f t="shared" si="62"/>
        <v>273.33480257048166</v>
      </c>
      <c r="BI90" s="60">
        <f ca="1">AVERAGE(OFFSET($BH$3,0,0,'Données projet'!$E$11+1,1))-AVERAGE(OFFSET($H$3,0,0,'Données projet'!$E$11+1,1))</f>
        <v>336.25341821407534</v>
      </c>
      <c r="BJ90" s="60">
        <f t="shared" si="92"/>
        <v>360.3246221345039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252.62015999999997</v>
      </c>
      <c r="CA90" s="14">
        <f t="shared" si="93"/>
        <v>61.14666777229877</v>
      </c>
      <c r="CB90" s="22">
        <f t="shared" si="64"/>
        <v>546.47722503675357</v>
      </c>
      <c r="CC90" s="60">
        <f t="shared" si="65"/>
        <v>819.8120276072284</v>
      </c>
      <c r="CD90" s="60">
        <f ca="1">AVERAGE(OFFSET($CC$3,0,0,'Données projet'!$E$12+1,1))-AVERAGE(OFFSET($H$3,0,0,'Données projet'!$E$12+1,1))</f>
        <v>469.67944008675863</v>
      </c>
      <c r="CE90" s="60">
        <f t="shared" si="94"/>
        <v>266.11908070867173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8.8675733422860506E-14</v>
      </c>
      <c r="CV90" s="14">
        <f t="shared" si="95"/>
        <v>1.3509285393066301E-12</v>
      </c>
      <c r="CW90" s="22">
        <f t="shared" si="67"/>
        <v>2.5073107750038623E-12</v>
      </c>
      <c r="CX90" s="60">
        <f t="shared" si="68"/>
        <v>273.33480257047734</v>
      </c>
      <c r="CY90" s="60">
        <f ca="1">AVERAGE(OFFSET($CX$3,0,0,'Données projet'!$E$13+1,1))-AVERAGE(OFFSET($H$3,0,0,'Données projet'!$E$13+1,1))</f>
        <v>312.59632808777332</v>
      </c>
      <c r="CZ90" s="60">
        <f t="shared" si="96"/>
        <v>302.59481222418219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3.5897435897435912</v>
      </c>
      <c r="DO90" s="13">
        <f>IF('Données projet'!$A$166&gt;35,DO89+DN90-DW89,IF(A90&lt;'Données projet'!$A$166,$DL$205^A90,IF(A90='Données projet'!$A$166,'Données projet'!$B$166,DO89+DN90-DW89)))</f>
        <v>226.41025641025632</v>
      </c>
      <c r="DP90" s="18">
        <f>DO90*VLOOKUP('Données projet'!$B$14,Paramètres!$A$1:$I$89,3,0)*VLOOKUP('Données projet'!$B$14,Paramètres!$A$1:$I$89,5,0)</f>
        <v>215.45199999999988</v>
      </c>
      <c r="DQ90" s="14">
        <f t="shared" si="97"/>
        <v>53.125201841889961</v>
      </c>
      <c r="DR90" s="22">
        <f t="shared" si="70"/>
        <v>467.77195987462483</v>
      </c>
      <c r="DS90" s="60">
        <f t="shared" si="71"/>
        <v>741.10676244509966</v>
      </c>
      <c r="DT90" s="60">
        <f ca="1">AVERAGE(OFFSET($DS$3,0,0,'Données projet'!$E$14+1,1))-AVERAGE(OFFSET($H$3,0,0,'Données projet'!$E$14+1,1))</f>
        <v>398.29746143975166</v>
      </c>
      <c r="DU90" s="60">
        <f t="shared" si="98"/>
        <v>300.63705521148802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5.6</v>
      </c>
      <c r="EJ90" s="13">
        <f>IF('Données projet'!$A$192&gt;35,EJ89+EI90-ER89,IF(A90&lt;'Données projet'!$A$192,$EG$205^A90,IF(A90='Données projet'!$A$192,'Données projet'!$B$192,EJ89+EI90-ER89)))</f>
        <v>279.2</v>
      </c>
      <c r="EK90" s="18">
        <f>EJ90*VLOOKUP('Données projet'!$B$15,Paramètres!$A$1:$I$89,3,0)*VLOOKUP('Données projet'!$B$15,Paramètres!$A$1:$I$89,5,0)</f>
        <v>270.04223999999999</v>
      </c>
      <c r="EL90" s="14">
        <f t="shared" si="99"/>
        <v>64.858233600288145</v>
      </c>
      <c r="EM90" s="22">
        <f t="shared" si="73"/>
        <v>583.28499152050188</v>
      </c>
      <c r="EN90" s="60">
        <f t="shared" si="74"/>
        <v>856.61979409097671</v>
      </c>
      <c r="EO90" s="60">
        <f ca="1">AVERAGE(OFFSET($EN$3,0,0,'Données projet'!$E$15+1,1))-AVERAGE(OFFSET($H$3,0,0,'Données projet'!$E$15+1,1))</f>
        <v>496.33873798282525</v>
      </c>
      <c r="EP90" s="60">
        <f t="shared" si="100"/>
        <v>280.25465074992246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3.4106051316484809E-13</v>
      </c>
      <c r="FF90" s="18">
        <f>FE90*VLOOKUP('Données projet'!$B$16,Paramètres!$A$1:$I$89,3,0)*VLOOKUP('Données projet'!$B$16,Paramètres!$A$1:$I$89,5,0)</f>
        <v>2.9795046430081134E-13</v>
      </c>
      <c r="FG90" s="14">
        <f t="shared" si="101"/>
        <v>3.9419014464513778E-12</v>
      </c>
      <c r="FH90" s="22">
        <f t="shared" si="76"/>
        <v>7.384408744560063E-12</v>
      </c>
      <c r="FI90" s="60">
        <f t="shared" si="77"/>
        <v>273.33480257048222</v>
      </c>
      <c r="FJ90" s="60">
        <f ca="1">AVERAGE(OFFSET($FI$3,0,0,'Données projet'!$E$16+1,1))-AVERAGE(OFFSET($H$3,0,0,'Données projet'!$E$16+1,1))</f>
        <v>363.28611056308665</v>
      </c>
      <c r="FK90" s="60">
        <f t="shared" si="102"/>
        <v>389.43647559455974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3.8461538461538454</v>
      </c>
      <c r="FZ90" s="13">
        <f>IF('Données projet'!$A$244&gt;35,FZ89+FY90-GH89,IF(A90&lt;'Données projet'!$A$244,$FW$205^A90,IF(A90='Données projet'!$A$244,'Données projet'!$B$244,FZ89+FY90-GH89)))</f>
        <v>283.97435897435901</v>
      </c>
      <c r="GA90" s="18">
        <f>FZ90*VLOOKUP('Données projet'!$B$17,Paramètres!$A$1:$I$89,3,0)*VLOOKUP('Données projet'!$B$17,Paramètres!$A$1:$I$89,5,0)</f>
        <v>190.49</v>
      </c>
      <c r="GB90" s="14">
        <f t="shared" si="103"/>
        <v>47.648268649617435</v>
      </c>
      <c r="GC90" s="22">
        <f t="shared" si="79"/>
        <v>414.75748456475031</v>
      </c>
      <c r="GD90" s="60">
        <f t="shared" si="80"/>
        <v>688.09228713522521</v>
      </c>
      <c r="GE90" s="60">
        <f ca="1">AVERAGE(OFFSET($GD$3,0,0,'Données projet'!$E$17+1,1))-AVERAGE(OFFSET($H$3,0,0,'Données projet'!$E$17+1,1))</f>
        <v>344.62096650402731</v>
      </c>
      <c r="GF90" s="60">
        <f t="shared" si="104"/>
        <v>277.30931495079346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7.9</v>
      </c>
      <c r="N91" s="14">
        <f>IF('Données projet'!$A$36&gt;35,N90+M91-V90,IF(A91&lt;'Données projet'!$A$36,$K$205^A91,IF(A91='Données projet'!$A$36,'Données projet'!$B$36,N90+M91-V90)))</f>
        <v>414.1999999999997</v>
      </c>
      <c r="O91" s="14">
        <f>N91*VLOOKUP('Données projet'!$B$9,Paramètres!$A$1:$I$89,3,0)*VLOOKUP('Données projet'!$B$9,Paramètres!$A$1:$I$89,5,0)</f>
        <v>355.38359999999977</v>
      </c>
      <c r="P91" s="14">
        <f t="shared" si="87"/>
        <v>82.670063642426967</v>
      </c>
      <c r="Q91" s="22">
        <f t="shared" si="54"/>
        <v>762.94346417722647</v>
      </c>
      <c r="R91" s="60">
        <f t="shared" si="55"/>
        <v>1036.6251965464203</v>
      </c>
      <c r="S91" s="60">
        <f ca="1">AVERAGE(OFFSET($R$3,0,0,'Données projet'!$E$9+1,1))-AVERAGE(OFFSET($H$3,0,0,'Données projet'!$E$9+1,1))</f>
        <v>632.26350546340541</v>
      </c>
      <c r="T91" s="60">
        <f t="shared" si="88"/>
        <v>340.45335016367915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3.4106051316484809E-13</v>
      </c>
      <c r="AJ91" s="14">
        <f>AI91*VLOOKUP('Données projet'!$B$10,Paramètres!$A$1:$I$89,3,0)*VLOOKUP('Données projet'!$B$10,Paramètres!$A$1:$I$89,5,0)</f>
        <v>2.7134774427395314E-13</v>
      </c>
      <c r="AK91" s="14">
        <f t="shared" si="89"/>
        <v>3.6292411711343559E-12</v>
      </c>
      <c r="AL91" s="22">
        <f t="shared" si="58"/>
        <v>6.7935256943361388E-12</v>
      </c>
      <c r="AM91" s="60">
        <f t="shared" si="59"/>
        <v>273.68173236920052</v>
      </c>
      <c r="AN91" s="60">
        <f ca="1">AVERAGE(OFFSET($AM$3,0,0,'Données projet'!$E$10+1,1))-AVERAGE(OFFSET($H$3,0,0,'Données projet'!$E$10+1,1))</f>
        <v>336.25341821407534</v>
      </c>
      <c r="AO91" s="60">
        <f t="shared" si="90"/>
        <v>360.3246221345039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2.7134774427395314E-13</v>
      </c>
      <c r="BF91" s="14">
        <f t="shared" si="91"/>
        <v>3.6292411711343559E-12</v>
      </c>
      <c r="BG91" s="22">
        <f t="shared" si="61"/>
        <v>6.7935256943361388E-12</v>
      </c>
      <c r="BH91" s="60">
        <f t="shared" si="62"/>
        <v>273.68173236920052</v>
      </c>
      <c r="BI91" s="60">
        <f ca="1">AVERAGE(OFFSET($BH$3,0,0,'Données projet'!$E$11+1,1))-AVERAGE(OFFSET($H$3,0,0,'Données projet'!$E$11+1,1))</f>
        <v>336.25341821407534</v>
      </c>
      <c r="BJ91" s="60">
        <f t="shared" si="92"/>
        <v>360.3246221345039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257.68704000000002</v>
      </c>
      <c r="CA91" s="14">
        <f t="shared" si="93"/>
        <v>62.229092239243343</v>
      </c>
      <c r="CB91" s="22">
        <f t="shared" si="64"/>
        <v>557.18726365001555</v>
      </c>
      <c r="CC91" s="60">
        <f t="shared" si="65"/>
        <v>830.86899601920925</v>
      </c>
      <c r="CD91" s="60">
        <f ca="1">AVERAGE(OFFSET($CC$3,0,0,'Données projet'!$E$12+1,1))-AVERAGE(OFFSET($H$3,0,0,'Données projet'!$E$12+1,1))</f>
        <v>469.67944008675863</v>
      </c>
      <c r="CE91" s="60">
        <f t="shared" si="94"/>
        <v>266.11908070867173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8.8675733422860506E-14</v>
      </c>
      <c r="CV91" s="14">
        <f t="shared" si="95"/>
        <v>1.3509285393066301E-12</v>
      </c>
      <c r="CW91" s="22">
        <f t="shared" si="67"/>
        <v>2.5073107750038623E-12</v>
      </c>
      <c r="CX91" s="60">
        <f t="shared" si="68"/>
        <v>273.6817323691962</v>
      </c>
      <c r="CY91" s="60">
        <f ca="1">AVERAGE(OFFSET($CX$3,0,0,'Données projet'!$E$13+1,1))-AVERAGE(OFFSET($H$3,0,0,'Données projet'!$E$13+1,1))</f>
        <v>312.59632808777332</v>
      </c>
      <c r="CZ91" s="60">
        <f t="shared" si="96"/>
        <v>302.59481222418219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3.5897435897435912</v>
      </c>
      <c r="DO91" s="13">
        <f>IF('Données projet'!$A$166&gt;35,DO90+DN91-DW90,IF(A91&lt;'Données projet'!$A$166,$DL$205^A91,IF(A91='Données projet'!$A$166,'Données projet'!$B$166,DO90+DN91-DW90)))</f>
        <v>229.99999999999991</v>
      </c>
      <c r="DP91" s="18">
        <f>DO91*VLOOKUP('Données projet'!$B$14,Paramètres!$A$1:$I$89,3,0)*VLOOKUP('Données projet'!$B$14,Paramètres!$A$1:$I$89,5,0)</f>
        <v>218.86799999999994</v>
      </c>
      <c r="DQ91" s="14">
        <f t="shared" si="97"/>
        <v>53.868777293257502</v>
      </c>
      <c r="DR91" s="22">
        <f t="shared" si="70"/>
        <v>475.01655378575668</v>
      </c>
      <c r="DS91" s="60">
        <f t="shared" si="71"/>
        <v>748.69828615495044</v>
      </c>
      <c r="DT91" s="60">
        <f ca="1">AVERAGE(OFFSET($DS$3,0,0,'Données projet'!$E$14+1,1))-AVERAGE(OFFSET($H$3,0,0,'Données projet'!$E$14+1,1))</f>
        <v>398.29746143975166</v>
      </c>
      <c r="DU91" s="60">
        <f t="shared" si="98"/>
        <v>300.63705521148802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5.6</v>
      </c>
      <c r="EJ91" s="13">
        <f>IF('Données projet'!$A$192&gt;35,EJ90+EI91-ER90,IF(A91&lt;'Données projet'!$A$192,$EG$205^A91,IF(A91='Données projet'!$A$192,'Données projet'!$B$192,EJ90+EI91-ER90)))</f>
        <v>284.8</v>
      </c>
      <c r="EK91" s="18">
        <f>EJ91*VLOOKUP('Données projet'!$B$15,Paramètres!$A$1:$I$89,3,0)*VLOOKUP('Données projet'!$B$15,Paramètres!$A$1:$I$89,5,0)</f>
        <v>275.45855999999998</v>
      </c>
      <c r="EL91" s="14">
        <f t="shared" si="99"/>
        <v>66.006360579066197</v>
      </c>
      <c r="EM91" s="22">
        <f t="shared" si="73"/>
        <v>594.71807000854017</v>
      </c>
      <c r="EN91" s="60">
        <f t="shared" si="74"/>
        <v>868.39980237773386</v>
      </c>
      <c r="EO91" s="60">
        <f ca="1">AVERAGE(OFFSET($EN$3,0,0,'Données projet'!$E$15+1,1))-AVERAGE(OFFSET($H$3,0,0,'Données projet'!$E$15+1,1))</f>
        <v>496.33873798282525</v>
      </c>
      <c r="EP91" s="60">
        <f t="shared" si="100"/>
        <v>280.25465074992246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3.4106051316484809E-13</v>
      </c>
      <c r="FF91" s="18">
        <f>FE91*VLOOKUP('Données projet'!$B$16,Paramètres!$A$1:$I$89,3,0)*VLOOKUP('Données projet'!$B$16,Paramètres!$A$1:$I$89,5,0)</f>
        <v>2.9795046430081134E-13</v>
      </c>
      <c r="FG91" s="14">
        <f t="shared" si="101"/>
        <v>3.9419014464513778E-12</v>
      </c>
      <c r="FH91" s="22">
        <f t="shared" si="76"/>
        <v>7.384408744560063E-12</v>
      </c>
      <c r="FI91" s="60">
        <f t="shared" si="77"/>
        <v>273.68173236920109</v>
      </c>
      <c r="FJ91" s="60">
        <f ca="1">AVERAGE(OFFSET($FI$3,0,0,'Données projet'!$E$16+1,1))-AVERAGE(OFFSET($H$3,0,0,'Données projet'!$E$16+1,1))</f>
        <v>363.28611056308665</v>
      </c>
      <c r="FK91" s="60">
        <f t="shared" si="102"/>
        <v>389.43647559455974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3.8461538461538454</v>
      </c>
      <c r="FZ91" s="13">
        <f>IF('Données projet'!$A$244&gt;35,FZ90+FY91-GH90,IF(A91&lt;'Données projet'!$A$244,$FW$205^A91,IF(A91='Données projet'!$A$244,'Données projet'!$B$244,FZ90+FY91-GH90)))</f>
        <v>287.82051282051287</v>
      </c>
      <c r="GA91" s="18">
        <f>FZ91*VLOOKUP('Données projet'!$B$17,Paramètres!$A$1:$I$89,3,0)*VLOOKUP('Données projet'!$B$17,Paramètres!$A$1:$I$89,5,0)</f>
        <v>193.07000000000005</v>
      </c>
      <c r="GB91" s="14">
        <f t="shared" si="103"/>
        <v>48.218051794342536</v>
      </c>
      <c r="GC91" s="22">
        <f t="shared" si="79"/>
        <v>420.24335687514667</v>
      </c>
      <c r="GD91" s="60">
        <f t="shared" si="80"/>
        <v>693.92508924434037</v>
      </c>
      <c r="GE91" s="60">
        <f ca="1">AVERAGE(OFFSET($GD$3,0,0,'Données projet'!$E$17+1,1))-AVERAGE(OFFSET($H$3,0,0,'Données projet'!$E$17+1,1))</f>
        <v>344.62096650402731</v>
      </c>
      <c r="GF91" s="60">
        <f t="shared" si="104"/>
        <v>277.30931495079346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7.9</v>
      </c>
      <c r="N92" s="14">
        <f>IF('Données projet'!$A$36&gt;35,N91+M92-V91,IF(A92&lt;'Données projet'!$A$36,$K$205^A92,IF(A92='Données projet'!$A$36,'Données projet'!$B$36,N91+M92-V91)))</f>
        <v>422.09999999999968</v>
      </c>
      <c r="O92" s="14">
        <f>N92*VLOOKUP('Données projet'!$B$9,Paramètres!$A$1:$I$89,3,0)*VLOOKUP('Données projet'!$B$9,Paramètres!$A$1:$I$89,5,0)</f>
        <v>362.16179999999974</v>
      </c>
      <c r="P92" s="14">
        <f t="shared" si="87"/>
        <v>84.061752062837698</v>
      </c>
      <c r="Q92" s="22">
        <f t="shared" si="54"/>
        <v>777.17268650944186</v>
      </c>
      <c r="R92" s="60">
        <f t="shared" si="55"/>
        <v>1051.1953302209654</v>
      </c>
      <c r="S92" s="60">
        <f ca="1">AVERAGE(OFFSET($R$3,0,0,'Données projet'!$E$9+1,1))-AVERAGE(OFFSET($H$3,0,0,'Données projet'!$E$9+1,1))</f>
        <v>632.26350546340541</v>
      </c>
      <c r="T92" s="60">
        <f t="shared" si="88"/>
        <v>340.45335016367915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3.4106051316484809E-13</v>
      </c>
      <c r="AJ92" s="14">
        <f>AI92*VLOOKUP('Données projet'!$B$10,Paramètres!$A$1:$I$89,3,0)*VLOOKUP('Données projet'!$B$10,Paramètres!$A$1:$I$89,5,0)</f>
        <v>2.7134774427395314E-13</v>
      </c>
      <c r="AK92" s="14">
        <f t="shared" si="89"/>
        <v>3.6292411711343559E-12</v>
      </c>
      <c r="AL92" s="22">
        <f t="shared" si="58"/>
        <v>6.7935256943361388E-12</v>
      </c>
      <c r="AM92" s="60">
        <f t="shared" si="59"/>
        <v>274.02264371153041</v>
      </c>
      <c r="AN92" s="60">
        <f ca="1">AVERAGE(OFFSET($AM$3,0,0,'Données projet'!$E$10+1,1))-AVERAGE(OFFSET($H$3,0,0,'Données projet'!$E$10+1,1))</f>
        <v>336.25341821407534</v>
      </c>
      <c r="AO92" s="60">
        <f t="shared" si="90"/>
        <v>360.3246221345039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2.7134774427395314E-13</v>
      </c>
      <c r="BF92" s="14">
        <f t="shared" si="91"/>
        <v>3.6292411711343559E-12</v>
      </c>
      <c r="BG92" s="22">
        <f t="shared" si="61"/>
        <v>6.7935256943361388E-12</v>
      </c>
      <c r="BH92" s="60">
        <f t="shared" si="62"/>
        <v>274.02264371153041</v>
      </c>
      <c r="BI92" s="60">
        <f ca="1">AVERAGE(OFFSET($BH$3,0,0,'Données projet'!$E$11+1,1))-AVERAGE(OFFSET($H$3,0,0,'Données projet'!$E$11+1,1))</f>
        <v>336.25341821407534</v>
      </c>
      <c r="BJ92" s="60">
        <f t="shared" si="92"/>
        <v>360.3246221345039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262.75392000000005</v>
      </c>
      <c r="CA92" s="14">
        <f t="shared" si="93"/>
        <v>63.309041956360382</v>
      </c>
      <c r="CB92" s="22">
        <f t="shared" si="64"/>
        <v>567.89299207399438</v>
      </c>
      <c r="CC92" s="60">
        <f t="shared" si="65"/>
        <v>841.91563578551791</v>
      </c>
      <c r="CD92" s="60">
        <f ca="1">AVERAGE(OFFSET($CC$3,0,0,'Données projet'!$E$12+1,1))-AVERAGE(OFFSET($H$3,0,0,'Données projet'!$E$12+1,1))</f>
        <v>469.67944008675863</v>
      </c>
      <c r="CE92" s="60">
        <f t="shared" si="94"/>
        <v>266.11908070867173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8.8675733422860506E-14</v>
      </c>
      <c r="CV92" s="14">
        <f t="shared" si="95"/>
        <v>1.3509285393066301E-12</v>
      </c>
      <c r="CW92" s="22">
        <f t="shared" si="67"/>
        <v>2.5073107750038623E-12</v>
      </c>
      <c r="CX92" s="60">
        <f t="shared" si="68"/>
        <v>274.02264371152609</v>
      </c>
      <c r="CY92" s="60">
        <f ca="1">AVERAGE(OFFSET($CX$3,0,0,'Données projet'!$E$13+1,1))-AVERAGE(OFFSET($H$3,0,0,'Données projet'!$E$13+1,1))</f>
        <v>312.59632808777332</v>
      </c>
      <c r="CZ92" s="60">
        <f t="shared" si="96"/>
        <v>302.59481222418219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3.5897435897435912</v>
      </c>
      <c r="DO92" s="13">
        <f>IF('Données projet'!$A$166&gt;35,DO91+DN92-DW91,IF(A92&lt;'Données projet'!$A$166,$DL$205^A92,IF(A92='Données projet'!$A$166,'Données projet'!$B$166,DO91+DN92-DW91)))</f>
        <v>233.58974358974351</v>
      </c>
      <c r="DP92" s="18">
        <f>DO92*VLOOKUP('Données projet'!$B$14,Paramètres!$A$1:$I$89,3,0)*VLOOKUP('Données projet'!$B$14,Paramètres!$A$1:$I$89,5,0)</f>
        <v>222.28399999999993</v>
      </c>
      <c r="DQ92" s="14">
        <f t="shared" si="97"/>
        <v>54.611003042838703</v>
      </c>
      <c r="DR92" s="22">
        <f t="shared" si="70"/>
        <v>482.25879696627726</v>
      </c>
      <c r="DS92" s="60">
        <f t="shared" si="71"/>
        <v>756.2814406778009</v>
      </c>
      <c r="DT92" s="60">
        <f ca="1">AVERAGE(OFFSET($DS$3,0,0,'Données projet'!$E$14+1,1))-AVERAGE(OFFSET($H$3,0,0,'Données projet'!$E$14+1,1))</f>
        <v>398.29746143975166</v>
      </c>
      <c r="DU92" s="60">
        <f t="shared" si="98"/>
        <v>300.63705521148802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5.6</v>
      </c>
      <c r="EJ92" s="13">
        <f>IF('Données projet'!$A$192&gt;35,EJ91+EI92-ER91,IF(A92&lt;'Données projet'!$A$192,$EG$205^A92,IF(A92='Données projet'!$A$192,'Données projet'!$B$192,EJ91+EI92-ER91)))</f>
        <v>290.40000000000003</v>
      </c>
      <c r="EK92" s="18">
        <f>EJ92*VLOOKUP('Données projet'!$B$15,Paramètres!$A$1:$I$89,3,0)*VLOOKUP('Données projet'!$B$15,Paramètres!$A$1:$I$89,5,0)</f>
        <v>280.87488000000008</v>
      </c>
      <c r="EL92" s="14">
        <f t="shared" si="99"/>
        <v>67.151862592195855</v>
      </c>
      <c r="EM92" s="22">
        <f t="shared" si="73"/>
        <v>606.14657668140785</v>
      </c>
      <c r="EN92" s="60">
        <f t="shared" si="74"/>
        <v>880.16922039293149</v>
      </c>
      <c r="EO92" s="60">
        <f ca="1">AVERAGE(OFFSET($EN$3,0,0,'Données projet'!$E$15+1,1))-AVERAGE(OFFSET($H$3,0,0,'Données projet'!$E$15+1,1))</f>
        <v>496.33873798282525</v>
      </c>
      <c r="EP92" s="60">
        <f t="shared" si="100"/>
        <v>280.25465074992246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3.4106051316484809E-13</v>
      </c>
      <c r="FF92" s="18">
        <f>FE92*VLOOKUP('Données projet'!$B$16,Paramètres!$A$1:$I$89,3,0)*VLOOKUP('Données projet'!$B$16,Paramètres!$A$1:$I$89,5,0)</f>
        <v>2.9795046430081134E-13</v>
      </c>
      <c r="FG92" s="14">
        <f t="shared" si="101"/>
        <v>3.9419014464513778E-12</v>
      </c>
      <c r="FH92" s="22">
        <f t="shared" si="76"/>
        <v>7.384408744560063E-12</v>
      </c>
      <c r="FI92" s="60">
        <f t="shared" si="77"/>
        <v>274.02264371153097</v>
      </c>
      <c r="FJ92" s="60">
        <f ca="1">AVERAGE(OFFSET($FI$3,0,0,'Données projet'!$E$16+1,1))-AVERAGE(OFFSET($H$3,0,0,'Données projet'!$E$16+1,1))</f>
        <v>363.28611056308665</v>
      </c>
      <c r="FK92" s="60">
        <f t="shared" si="102"/>
        <v>389.43647559455974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3.8461538461538454</v>
      </c>
      <c r="FZ92" s="13">
        <f>IF('Données projet'!$A$244&gt;35,FZ91+FY92-GH91,IF(A92&lt;'Données projet'!$A$244,$FW$205^A92,IF(A92='Données projet'!$A$244,'Données projet'!$B$244,FZ91+FY92-GH91)))</f>
        <v>291.66666666666674</v>
      </c>
      <c r="GA92" s="18">
        <f>FZ92*VLOOKUP('Données projet'!$B$17,Paramètres!$A$1:$I$89,3,0)*VLOOKUP('Données projet'!$B$17,Paramètres!$A$1:$I$89,5,0)</f>
        <v>195.65000000000006</v>
      </c>
      <c r="GB92" s="14">
        <f t="shared" si="103"/>
        <v>48.786949327182981</v>
      </c>
      <c r="GC92" s="22">
        <f t="shared" si="79"/>
        <v>425.72768674484382</v>
      </c>
      <c r="GD92" s="60">
        <f t="shared" si="80"/>
        <v>699.75033045636746</v>
      </c>
      <c r="GE92" s="60">
        <f ca="1">AVERAGE(OFFSET($GD$3,0,0,'Données projet'!$E$17+1,1))-AVERAGE(OFFSET($H$3,0,0,'Données projet'!$E$17+1,1))</f>
        <v>344.62096650402731</v>
      </c>
      <c r="GF92" s="60">
        <f t="shared" si="104"/>
        <v>277.30931495079346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430</v>
      </c>
      <c r="L93" s="13">
        <f>VLOOKUP(A93,'Données projet'!$A$35:$I$55,9,0)</f>
        <v>7.9</v>
      </c>
      <c r="M93" s="13">
        <f t="array" ref="M93">INDEX(L:L,MIN(IF(ISNUMBER(L93:L289),ROW(L93:L289),"")))</f>
        <v>7.9</v>
      </c>
      <c r="N93" s="14">
        <f>IF('Données projet'!$A$36&gt;35,N92+M93-V92,IF(A93&lt;'Données projet'!$A$36,$K$205^A93,IF(A93='Données projet'!$A$36,'Données projet'!$B$36,N92+M93-V92)))</f>
        <v>429.99999999999966</v>
      </c>
      <c r="O93" s="14">
        <f>N93*VLOOKUP('Données projet'!$B$9,Paramètres!$A$1:$I$89,3,0)*VLOOKUP('Données projet'!$B$9,Paramètres!$A$1:$I$89,5,0)</f>
        <v>368.93999999999977</v>
      </c>
      <c r="P93" s="14">
        <f t="shared" si="87"/>
        <v>85.450411753243188</v>
      </c>
      <c r="Q93" s="22">
        <f t="shared" si="54"/>
        <v>791.39663380356478</v>
      </c>
      <c r="R93" s="60">
        <f t="shared" si="55"/>
        <v>1065.7542748077924</v>
      </c>
      <c r="S93" s="60">
        <f ca="1">AVERAGE(OFFSET($R$3,0,0,'Données projet'!$E$9+1,1))-AVERAGE(OFFSET($H$3,0,0,'Données projet'!$E$9+1,1))</f>
        <v>632.26350546340541</v>
      </c>
      <c r="T93" s="60">
        <f t="shared" si="88"/>
        <v>340.45335016367915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53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3.4106051316484809E-13</v>
      </c>
      <c r="AJ93" s="14">
        <f>AI93*VLOOKUP('Données projet'!$B$10,Paramètres!$A$1:$I$89,3,0)*VLOOKUP('Données projet'!$B$10,Paramètres!$A$1:$I$89,5,0)</f>
        <v>2.7134774427395314E-13</v>
      </c>
      <c r="AK93" s="14">
        <f t="shared" si="89"/>
        <v>3.6292411711343559E-12</v>
      </c>
      <c r="AL93" s="22">
        <f t="shared" si="58"/>
        <v>6.7935256943361388E-12</v>
      </c>
      <c r="AM93" s="60">
        <f t="shared" si="59"/>
        <v>274.35764100423449</v>
      </c>
      <c r="AN93" s="60">
        <f ca="1">AVERAGE(OFFSET($AM$3,0,0,'Données projet'!$E$10+1,1))-AVERAGE(OFFSET($H$3,0,0,'Données projet'!$E$10+1,1))</f>
        <v>336.25341821407534</v>
      </c>
      <c r="AO93" s="60">
        <f t="shared" si="90"/>
        <v>360.3246221345039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2.7134774427395314E-13</v>
      </c>
      <c r="BF93" s="14">
        <f t="shared" si="91"/>
        <v>3.6292411711343559E-12</v>
      </c>
      <c r="BG93" s="22">
        <f t="shared" si="61"/>
        <v>6.7935256943361388E-12</v>
      </c>
      <c r="BH93" s="60">
        <f t="shared" si="62"/>
        <v>274.35764100423449</v>
      </c>
      <c r="BI93" s="60">
        <f ca="1">AVERAGE(OFFSET($BH$3,0,0,'Données projet'!$E$11+1,1))-AVERAGE(OFFSET($H$3,0,0,'Données projet'!$E$11+1,1))</f>
        <v>336.25341821407534</v>
      </c>
      <c r="BJ93" s="60">
        <f t="shared" si="92"/>
        <v>360.3246221345039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267.82080000000008</v>
      </c>
      <c r="CA93" s="14">
        <f t="shared" si="93"/>
        <v>64.386570147897373</v>
      </c>
      <c r="CB93" s="22">
        <f t="shared" si="64"/>
        <v>578.59450300758806</v>
      </c>
      <c r="CC93" s="60">
        <f t="shared" si="65"/>
        <v>852.95214401181579</v>
      </c>
      <c r="CD93" s="60">
        <f ca="1">AVERAGE(OFFSET($CC$3,0,0,'Données projet'!$E$12+1,1))-AVERAGE(OFFSET($H$3,0,0,'Données projet'!$E$12+1,1))</f>
        <v>469.67944008675863</v>
      </c>
      <c r="CE93" s="60">
        <f t="shared" si="94"/>
        <v>266.11908070867173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8.8675733422860506E-14</v>
      </c>
      <c r="CV93" s="14">
        <f t="shared" si="95"/>
        <v>1.3509285393066301E-12</v>
      </c>
      <c r="CW93" s="22">
        <f t="shared" si="67"/>
        <v>2.5073107750038623E-12</v>
      </c>
      <c r="CX93" s="60">
        <f t="shared" si="68"/>
        <v>274.35764100423017</v>
      </c>
      <c r="CY93" s="60">
        <f ca="1">AVERAGE(OFFSET($CX$3,0,0,'Données projet'!$E$13+1,1))-AVERAGE(OFFSET($H$3,0,0,'Données projet'!$E$13+1,1))</f>
        <v>312.59632808777332</v>
      </c>
      <c r="CZ93" s="60">
        <f t="shared" si="96"/>
        <v>302.59481222418219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237.17948717948718</v>
      </c>
      <c r="DM93" s="13">
        <f>VLOOKUP(A93,'Données projet'!$A$165:$I$185,9,0)</f>
        <v>3.5897435897435912</v>
      </c>
      <c r="DN93" s="13">
        <f t="array" ref="DN93">INDEX(DM:DM,MIN(IF(ISNUMBER(DM93:DM289),ROW(DM93:DM289),"")))</f>
        <v>3.5897435897435912</v>
      </c>
      <c r="DO93" s="13">
        <f>IF('Données projet'!$A$166&gt;35,DO92+DN93-DW92,IF(A93&lt;'Données projet'!$A$166,$DL$205^A93,IF(A93='Données projet'!$A$166,'Données projet'!$B$166,DO92+DN93-DW92)))</f>
        <v>237.1794871794871</v>
      </c>
      <c r="DP93" s="18">
        <f>DO93*VLOOKUP('Données projet'!$B$14,Paramètres!$A$1:$I$89,3,0)*VLOOKUP('Données projet'!$B$14,Paramètres!$A$1:$I$89,5,0)</f>
        <v>225.69999999999993</v>
      </c>
      <c r="DQ93" s="14">
        <f t="shared" si="97"/>
        <v>55.351902227969966</v>
      </c>
      <c r="DR93" s="22">
        <f t="shared" si="70"/>
        <v>489.49872971371423</v>
      </c>
      <c r="DS93" s="60">
        <f t="shared" si="71"/>
        <v>763.8563707179419</v>
      </c>
      <c r="DT93" s="60">
        <f ca="1">AVERAGE(OFFSET($DS$3,0,0,'Données projet'!$E$14+1,1))-AVERAGE(OFFSET($H$3,0,0,'Données projet'!$E$14+1,1))</f>
        <v>398.29746143975166</v>
      </c>
      <c r="DU93" s="60">
        <f t="shared" si="98"/>
        <v>300.63705521148802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25.641025641025639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296</v>
      </c>
      <c r="EH93" s="13">
        <f>VLOOKUP(A93,'Données projet'!$A$191:$I$211,9,0)</f>
        <v>5.6</v>
      </c>
      <c r="EI93" s="13">
        <f t="array" ref="EI93">INDEX(EH:EH,MIN(IF(ISNUMBER(EH93:EH289),ROW(EH93:EH289),"")))</f>
        <v>5.6</v>
      </c>
      <c r="EJ93" s="13">
        <f>IF('Données projet'!$A$192&gt;35,EJ92+EI93-ER92,IF(A93&lt;'Données projet'!$A$192,$EG$205^A93,IF(A93='Données projet'!$A$192,'Données projet'!$B$192,EJ92+EI93-ER92)))</f>
        <v>296.00000000000006</v>
      </c>
      <c r="EK93" s="18">
        <f>EJ93*VLOOKUP('Données projet'!$B$15,Paramètres!$A$1:$I$89,3,0)*VLOOKUP('Données projet'!$B$15,Paramètres!$A$1:$I$89,5,0)</f>
        <v>286.29120000000006</v>
      </c>
      <c r="EL93" s="14">
        <f t="shared" si="99"/>
        <v>68.294796094604408</v>
      </c>
      <c r="EM93" s="22">
        <f t="shared" si="73"/>
        <v>617.57060986476938</v>
      </c>
      <c r="EN93" s="60">
        <f t="shared" si="74"/>
        <v>891.92825086899711</v>
      </c>
      <c r="EO93" s="60">
        <f ca="1">AVERAGE(OFFSET($EN$3,0,0,'Données projet'!$E$15+1,1))-AVERAGE(OFFSET($H$3,0,0,'Données projet'!$E$15+1,1))</f>
        <v>496.33873798282525</v>
      </c>
      <c r="EP93" s="60">
        <f t="shared" si="100"/>
        <v>280.25465074992246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42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3.4106051316484809E-13</v>
      </c>
      <c r="FF93" s="18">
        <f>FE93*VLOOKUP('Données projet'!$B$16,Paramètres!$A$1:$I$89,3,0)*VLOOKUP('Données projet'!$B$16,Paramètres!$A$1:$I$89,5,0)</f>
        <v>2.9795046430081134E-13</v>
      </c>
      <c r="FG93" s="14">
        <f t="shared" si="101"/>
        <v>3.9419014464513778E-12</v>
      </c>
      <c r="FH93" s="22">
        <f t="shared" si="76"/>
        <v>7.384408744560063E-12</v>
      </c>
      <c r="FI93" s="60">
        <f t="shared" si="77"/>
        <v>274.35764100423506</v>
      </c>
      <c r="FJ93" s="60">
        <f ca="1">AVERAGE(OFFSET($FI$3,0,0,'Données projet'!$E$16+1,1))-AVERAGE(OFFSET($H$3,0,0,'Données projet'!$E$16+1,1))</f>
        <v>363.28611056308665</v>
      </c>
      <c r="FK93" s="60">
        <f t="shared" si="102"/>
        <v>389.43647559455974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295.5128205128205</v>
      </c>
      <c r="FX93" s="13">
        <f>VLOOKUP(A93,'Données projet'!$A$243:$I$263,9,0)</f>
        <v>3.8461538461538454</v>
      </c>
      <c r="FY93" s="13">
        <f t="array" ref="FY93">INDEX(FX:FX,MIN(IF(ISNUMBER(FX93:FX289),ROW(FX93:FX289),"")))</f>
        <v>3.8461538461538454</v>
      </c>
      <c r="FZ93" s="13">
        <f>IF('Données projet'!$A$244&gt;35,FZ92+FY93-GH92,IF(A93&lt;'Données projet'!$A$244,$FW$205^A93,IF(A93='Données projet'!$A$244,'Données projet'!$B$244,FZ92+FY93-GH92)))</f>
        <v>295.51282051282061</v>
      </c>
      <c r="GA93" s="18">
        <f>FZ93*VLOOKUP('Données projet'!$B$17,Paramètres!$A$1:$I$89,3,0)*VLOOKUP('Données projet'!$B$17,Paramètres!$A$1:$I$89,5,0)</f>
        <v>198.23000000000008</v>
      </c>
      <c r="GB93" s="14">
        <f t="shared" si="103"/>
        <v>49.354974276661508</v>
      </c>
      <c r="GC93" s="22">
        <f t="shared" si="79"/>
        <v>431.21049686518558</v>
      </c>
      <c r="GD93" s="60">
        <f t="shared" si="80"/>
        <v>705.56813786941325</v>
      </c>
      <c r="GE93" s="60">
        <f ca="1">AVERAGE(OFFSET($GD$3,0,0,'Données projet'!$E$17+1,1))-AVERAGE(OFFSET($H$3,0,0,'Données projet'!$E$17+1,1))</f>
        <v>344.62096650402731</v>
      </c>
      <c r="GF93" s="60">
        <f t="shared" si="104"/>
        <v>277.30931495079346</v>
      </c>
      <c r="GG93" s="16">
        <f>IF(ISNA(VLOOKUP(A93,'Données projet'!$A$243:$I$263,3,0)),0,VLOOKUP(A93,'Données projet'!$A$243:$I$263,3,0))</f>
        <v>8</v>
      </c>
      <c r="GH93" s="16">
        <f>IF(ISNA(VLOOKUP(A93,'Données projet'!$A$243:$I$263,4,0)),0,VLOOKUP(A93,'Données projet'!$A$243:$I$263,4,0))</f>
        <v>24.358974358974358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7.2</v>
      </c>
      <c r="N94" s="14">
        <f>IF('Données projet'!$A$36&gt;35,N93+M94-V93,IF(A94&lt;'Données projet'!$A$36,$K$205^A94,IF(A94='Données projet'!$A$36,'Données projet'!$B$36,N93+M94-V93)))</f>
        <v>384.19999999999965</v>
      </c>
      <c r="O94" s="14">
        <f>N94*VLOOKUP('Données projet'!$B$9,Paramètres!$A$1:$I$89,3,0)*VLOOKUP('Données projet'!$B$9,Paramètres!$A$1:$I$89,5,0)</f>
        <v>329.64359999999976</v>
      </c>
      <c r="P94" s="14">
        <f t="shared" si="87"/>
        <v>77.356411712502833</v>
      </c>
      <c r="Q94" s="22">
        <f t="shared" si="54"/>
        <v>708.85835373260863</v>
      </c>
      <c r="R94" s="60">
        <f t="shared" si="55"/>
        <v>983.54518057545374</v>
      </c>
      <c r="S94" s="60">
        <f ca="1">AVERAGE(OFFSET($R$3,0,0,'Données projet'!$E$9+1,1))-AVERAGE(OFFSET($H$3,0,0,'Données projet'!$E$9+1,1))</f>
        <v>632.26350546340541</v>
      </c>
      <c r="T94" s="60">
        <f t="shared" si="88"/>
        <v>340.45335016367915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3.4106051316484809E-13</v>
      </c>
      <c r="AJ94" s="14">
        <f>AI94*VLOOKUP('Données projet'!$B$10,Paramètres!$A$1:$I$89,3,0)*VLOOKUP('Données projet'!$B$10,Paramètres!$A$1:$I$89,5,0)</f>
        <v>2.7134774427395314E-13</v>
      </c>
      <c r="AK94" s="14">
        <f t="shared" si="89"/>
        <v>3.6292411711343559E-12</v>
      </c>
      <c r="AL94" s="22">
        <f t="shared" si="58"/>
        <v>6.7935256943361388E-12</v>
      </c>
      <c r="AM94" s="60">
        <f t="shared" si="59"/>
        <v>274.68682684285187</v>
      </c>
      <c r="AN94" s="60">
        <f ca="1">AVERAGE(OFFSET($AM$3,0,0,'Données projet'!$E$10+1,1))-AVERAGE(OFFSET($H$3,0,0,'Données projet'!$E$10+1,1))</f>
        <v>336.25341821407534</v>
      </c>
      <c r="AO94" s="60">
        <f t="shared" si="90"/>
        <v>360.3246221345039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2.7134774427395314E-13</v>
      </c>
      <c r="BF94" s="14">
        <f t="shared" si="91"/>
        <v>3.6292411711343559E-12</v>
      </c>
      <c r="BG94" s="22">
        <f t="shared" si="61"/>
        <v>6.7935256943361388E-12</v>
      </c>
      <c r="BH94" s="60">
        <f t="shared" si="62"/>
        <v>274.68682684285187</v>
      </c>
      <c r="BI94" s="60">
        <f ca="1">AVERAGE(OFFSET($BH$3,0,0,'Données projet'!$E$11+1,1))-AVERAGE(OFFSET($H$3,0,0,'Données projet'!$E$11+1,1))</f>
        <v>336.25341821407534</v>
      </c>
      <c r="BJ94" s="60">
        <f t="shared" si="92"/>
        <v>360.3246221345039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234.25272000000001</v>
      </c>
      <c r="CA94" s="14">
        <f t="shared" si="93"/>
        <v>57.201236231171301</v>
      </c>
      <c r="CB94" s="22">
        <f t="shared" si="64"/>
        <v>507.61564043595672</v>
      </c>
      <c r="CC94" s="60">
        <f t="shared" si="65"/>
        <v>782.30246727880171</v>
      </c>
      <c r="CD94" s="60">
        <f ca="1">AVERAGE(OFFSET($CC$3,0,0,'Données projet'!$E$12+1,1))-AVERAGE(OFFSET($H$3,0,0,'Données projet'!$E$12+1,1))</f>
        <v>469.67944008675863</v>
      </c>
      <c r="CE94" s="60">
        <f t="shared" si="94"/>
        <v>266.11908070867173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8.8675733422860506E-14</v>
      </c>
      <c r="CV94" s="14">
        <f t="shared" si="95"/>
        <v>1.3509285393066301E-12</v>
      </c>
      <c r="CW94" s="22">
        <f t="shared" si="67"/>
        <v>2.5073107750038623E-12</v>
      </c>
      <c r="CX94" s="60">
        <f t="shared" si="68"/>
        <v>274.68682684284755</v>
      </c>
      <c r="CY94" s="60">
        <f ca="1">AVERAGE(OFFSET($CX$3,0,0,'Données projet'!$E$13+1,1))-AVERAGE(OFFSET($H$3,0,0,'Données projet'!$E$13+1,1))</f>
        <v>312.59632808777332</v>
      </c>
      <c r="CZ94" s="60">
        <f t="shared" si="96"/>
        <v>302.59481222418219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3.5897435897435854</v>
      </c>
      <c r="DO94" s="13">
        <f>IF('Données projet'!$A$166&gt;35,DO93+DN94-DW93,IF(A94&lt;'Données projet'!$A$166,$DL$205^A94,IF(A94='Données projet'!$A$166,'Données projet'!$B$166,DO93+DN94-DW93)))</f>
        <v>215.12820512820505</v>
      </c>
      <c r="DP94" s="18">
        <f>DO94*VLOOKUP('Données projet'!$B$14,Paramètres!$A$1:$I$89,3,0)*VLOOKUP('Données projet'!$B$14,Paramètres!$A$1:$I$89,5,0)</f>
        <v>204.71599999999992</v>
      </c>
      <c r="DQ94" s="14">
        <f t="shared" si="97"/>
        <v>50.779191757337983</v>
      </c>
      <c r="DR94" s="22">
        <f t="shared" si="70"/>
        <v>444.98745897736353</v>
      </c>
      <c r="DS94" s="60">
        <f t="shared" si="71"/>
        <v>719.67428582020852</v>
      </c>
      <c r="DT94" s="60">
        <f ca="1">AVERAGE(OFFSET($DS$3,0,0,'Données projet'!$E$14+1,1))-AVERAGE(OFFSET($H$3,0,0,'Données projet'!$E$14+1,1))</f>
        <v>398.29746143975166</v>
      </c>
      <c r="DU94" s="60">
        <f t="shared" si="98"/>
        <v>300.63705521148802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4.9000000000000004</v>
      </c>
      <c r="EJ94" s="13">
        <f>IF('Données projet'!$A$192&gt;35,EJ93+EI94-ER93,IF(A94&lt;'Données projet'!$A$192,$EG$205^A94,IF(A94='Données projet'!$A$192,'Données projet'!$B$192,EJ93+EI94-ER93)))</f>
        <v>258.90000000000003</v>
      </c>
      <c r="EK94" s="18">
        <f>EJ94*VLOOKUP('Données projet'!$B$15,Paramètres!$A$1:$I$89,3,0)*VLOOKUP('Données projet'!$B$15,Paramètres!$A$1:$I$89,5,0)</f>
        <v>250.40808000000004</v>
      </c>
      <c r="EL94" s="14">
        <f t="shared" si="99"/>
        <v>60.67331674592576</v>
      </c>
      <c r="EM94" s="22">
        <f t="shared" si="73"/>
        <v>541.80009933248743</v>
      </c>
      <c r="EN94" s="60">
        <f t="shared" si="74"/>
        <v>816.48692617533243</v>
      </c>
      <c r="EO94" s="60">
        <f ca="1">AVERAGE(OFFSET($EN$3,0,0,'Données projet'!$E$15+1,1))-AVERAGE(OFFSET($H$3,0,0,'Données projet'!$E$15+1,1))</f>
        <v>496.33873798282525</v>
      </c>
      <c r="EP94" s="60">
        <f t="shared" si="100"/>
        <v>280.25465074992246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3.4106051316484809E-13</v>
      </c>
      <c r="FF94" s="18">
        <f>FE94*VLOOKUP('Données projet'!$B$16,Paramètres!$A$1:$I$89,3,0)*VLOOKUP('Données projet'!$B$16,Paramètres!$A$1:$I$89,5,0)</f>
        <v>2.9795046430081134E-13</v>
      </c>
      <c r="FG94" s="14">
        <f t="shared" si="101"/>
        <v>3.9419014464513778E-12</v>
      </c>
      <c r="FH94" s="22">
        <f t="shared" si="76"/>
        <v>7.384408744560063E-12</v>
      </c>
      <c r="FI94" s="60">
        <f t="shared" si="77"/>
        <v>274.68682684285244</v>
      </c>
      <c r="FJ94" s="60">
        <f ca="1">AVERAGE(OFFSET($FI$3,0,0,'Données projet'!$E$16+1,1))-AVERAGE(OFFSET($H$3,0,0,'Données projet'!$E$16+1,1))</f>
        <v>363.28611056308665</v>
      </c>
      <c r="FK94" s="60">
        <f t="shared" si="102"/>
        <v>389.43647559455974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3.7179487179487181</v>
      </c>
      <c r="FZ94" s="13">
        <f>IF('Données projet'!$A$244&gt;35,FZ93+FY94-GH93,IF(A94&lt;'Données projet'!$A$244,$FW$205^A94,IF(A94='Données projet'!$A$244,'Données projet'!$B$244,FZ93+FY94-GH93)))</f>
        <v>274.87179487179498</v>
      </c>
      <c r="GA94" s="18">
        <f>FZ94*VLOOKUP('Données projet'!$B$17,Paramètres!$A$1:$I$89,3,0)*VLOOKUP('Données projet'!$B$17,Paramètres!$A$1:$I$89,5,0)</f>
        <v>184.38400000000007</v>
      </c>
      <c r="GB94" s="14">
        <f t="shared" si="103"/>
        <v>46.296175202781576</v>
      </c>
      <c r="GC94" s="22">
        <f t="shared" si="79"/>
        <v>401.76797181151136</v>
      </c>
      <c r="GD94" s="60">
        <f t="shared" si="80"/>
        <v>676.45479865435641</v>
      </c>
      <c r="GE94" s="60">
        <f ca="1">AVERAGE(OFFSET($GD$3,0,0,'Données projet'!$E$17+1,1))-AVERAGE(OFFSET($H$3,0,0,'Données projet'!$E$17+1,1))</f>
        <v>344.62096650402731</v>
      </c>
      <c r="GF94" s="60">
        <f t="shared" si="104"/>
        <v>277.30931495079346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7.2</v>
      </c>
      <c r="N95" s="14">
        <f>IF('Données projet'!$A$36&gt;35,N94+M95-V94,IF(A95&lt;'Données projet'!$A$36,$K$205^A95,IF(A95='Données projet'!$A$36,'Données projet'!$B$36,N94+M95-V94)))</f>
        <v>391.39999999999964</v>
      </c>
      <c r="O95" s="14">
        <f>N95*VLOOKUP('Données projet'!$B$9,Paramètres!$A$1:$I$89,3,0)*VLOOKUP('Données projet'!$B$9,Paramètres!$A$1:$I$89,5,0)</f>
        <v>335.82119999999969</v>
      </c>
      <c r="P95" s="14">
        <f t="shared" si="87"/>
        <v>78.63595946456698</v>
      </c>
      <c r="Q95" s="22">
        <f t="shared" si="54"/>
        <v>721.84621940078694</v>
      </c>
      <c r="R95" s="60">
        <f t="shared" si="55"/>
        <v>996.8565214438986</v>
      </c>
      <c r="S95" s="60">
        <f ca="1">AVERAGE(OFFSET($R$3,0,0,'Données projet'!$E$9+1,1))-AVERAGE(OFFSET($H$3,0,0,'Données projet'!$E$9+1,1))</f>
        <v>632.26350546340541</v>
      </c>
      <c r="T95" s="60">
        <f t="shared" si="88"/>
        <v>340.45335016367915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3.4106051316484809E-13</v>
      </c>
      <c r="AJ95" s="14">
        <f>AI95*VLOOKUP('Données projet'!$B$10,Paramètres!$A$1:$I$89,3,0)*VLOOKUP('Données projet'!$B$10,Paramètres!$A$1:$I$89,5,0)</f>
        <v>2.7134774427395314E-13</v>
      </c>
      <c r="AK95" s="14">
        <f t="shared" si="89"/>
        <v>3.6292411711343559E-12</v>
      </c>
      <c r="AL95" s="22">
        <f t="shared" si="58"/>
        <v>6.7935256943361388E-12</v>
      </c>
      <c r="AM95" s="60">
        <f t="shared" si="59"/>
        <v>275.01030204311854</v>
      </c>
      <c r="AN95" s="60">
        <f ca="1">AVERAGE(OFFSET($AM$3,0,0,'Données projet'!$E$10+1,1))-AVERAGE(OFFSET($H$3,0,0,'Données projet'!$E$10+1,1))</f>
        <v>336.25341821407534</v>
      </c>
      <c r="AO95" s="60">
        <f t="shared" si="90"/>
        <v>360.3246221345039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2.7134774427395314E-13</v>
      </c>
      <c r="BF95" s="14">
        <f t="shared" si="91"/>
        <v>3.6292411711343559E-12</v>
      </c>
      <c r="BG95" s="22">
        <f t="shared" si="61"/>
        <v>6.7935256943361388E-12</v>
      </c>
      <c r="BH95" s="60">
        <f t="shared" si="62"/>
        <v>275.01030204311854</v>
      </c>
      <c r="BI95" s="60">
        <f ca="1">AVERAGE(OFFSET($BH$3,0,0,'Données projet'!$E$11+1,1))-AVERAGE(OFFSET($H$3,0,0,'Données projet'!$E$11+1,1))</f>
        <v>336.25341821407534</v>
      </c>
      <c r="BJ95" s="60">
        <f t="shared" si="92"/>
        <v>360.3246221345039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238.68624</v>
      </c>
      <c r="CA95" s="14">
        <f t="shared" si="93"/>
        <v>58.156778382060871</v>
      </c>
      <c r="CB95" s="22">
        <f t="shared" si="64"/>
        <v>517.00159034875594</v>
      </c>
      <c r="CC95" s="60">
        <f t="shared" si="65"/>
        <v>792.0118923918676</v>
      </c>
      <c r="CD95" s="60">
        <f ca="1">AVERAGE(OFFSET($CC$3,0,0,'Données projet'!$E$12+1,1))-AVERAGE(OFFSET($H$3,0,0,'Données projet'!$E$12+1,1))</f>
        <v>469.67944008675863</v>
      </c>
      <c r="CE95" s="60">
        <f t="shared" si="94"/>
        <v>266.11908070867173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8.8675733422860506E-14</v>
      </c>
      <c r="CV95" s="14">
        <f t="shared" si="95"/>
        <v>1.3509285393066301E-12</v>
      </c>
      <c r="CW95" s="22">
        <f t="shared" si="67"/>
        <v>2.5073107750038623E-12</v>
      </c>
      <c r="CX95" s="60">
        <f t="shared" si="68"/>
        <v>275.01030204311422</v>
      </c>
      <c r="CY95" s="60">
        <f ca="1">AVERAGE(OFFSET($CX$3,0,0,'Données projet'!$E$13+1,1))-AVERAGE(OFFSET($H$3,0,0,'Données projet'!$E$13+1,1))</f>
        <v>312.59632808777332</v>
      </c>
      <c r="CZ95" s="60">
        <f t="shared" si="96"/>
        <v>302.59481222418219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3.5897435897435854</v>
      </c>
      <c r="DO95" s="13">
        <f>IF('Données projet'!$A$166&gt;35,DO94+DN95-DW94,IF(A95&lt;'Données projet'!$A$166,$DL$205^A95,IF(A95='Données projet'!$A$166,'Données projet'!$B$166,DO94+DN95-DW94)))</f>
        <v>218.71794871794864</v>
      </c>
      <c r="DP95" s="18">
        <f>DO95*VLOOKUP('Données projet'!$B$14,Paramètres!$A$1:$I$89,3,0)*VLOOKUP('Données projet'!$B$14,Paramètres!$A$1:$I$89,5,0)</f>
        <v>208.13199999999992</v>
      </c>
      <c r="DQ95" s="14">
        <f t="shared" si="97"/>
        <v>51.527168668357106</v>
      </c>
      <c r="DR95" s="22">
        <f t="shared" si="70"/>
        <v>452.23971876405511</v>
      </c>
      <c r="DS95" s="60">
        <f t="shared" si="71"/>
        <v>727.25002080716683</v>
      </c>
      <c r="DT95" s="60">
        <f ca="1">AVERAGE(OFFSET($DS$3,0,0,'Données projet'!$E$14+1,1))-AVERAGE(OFFSET($H$3,0,0,'Données projet'!$E$14+1,1))</f>
        <v>398.29746143975166</v>
      </c>
      <c r="DU95" s="60">
        <f t="shared" si="98"/>
        <v>300.63705521148802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4.9000000000000004</v>
      </c>
      <c r="EJ95" s="13">
        <f>IF('Données projet'!$A$192&gt;35,EJ94+EI95-ER94,IF(A95&lt;'Données projet'!$A$192,$EG$205^A95,IF(A95='Données projet'!$A$192,'Données projet'!$B$192,EJ94+EI95-ER94)))</f>
        <v>263.8</v>
      </c>
      <c r="EK95" s="18">
        <f>EJ95*VLOOKUP('Données projet'!$B$15,Paramètres!$A$1:$I$89,3,0)*VLOOKUP('Données projet'!$B$15,Paramètres!$A$1:$I$89,5,0)</f>
        <v>255.14736000000002</v>
      </c>
      <c r="EL95" s="14">
        <f t="shared" si="99"/>
        <v>61.686859728645651</v>
      </c>
      <c r="EM95" s="22">
        <f t="shared" si="73"/>
        <v>551.81959936072451</v>
      </c>
      <c r="EN95" s="60">
        <f t="shared" si="74"/>
        <v>826.82990140383617</v>
      </c>
      <c r="EO95" s="60">
        <f ca="1">AVERAGE(OFFSET($EN$3,0,0,'Données projet'!$E$15+1,1))-AVERAGE(OFFSET($H$3,0,0,'Données projet'!$E$15+1,1))</f>
        <v>496.33873798282525</v>
      </c>
      <c r="EP95" s="60">
        <f t="shared" si="100"/>
        <v>280.25465074992246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3.4106051316484809E-13</v>
      </c>
      <c r="FF95" s="18">
        <f>FE95*VLOOKUP('Données projet'!$B$16,Paramètres!$A$1:$I$89,3,0)*VLOOKUP('Données projet'!$B$16,Paramètres!$A$1:$I$89,5,0)</f>
        <v>2.9795046430081134E-13</v>
      </c>
      <c r="FG95" s="14">
        <f t="shared" si="101"/>
        <v>3.9419014464513778E-12</v>
      </c>
      <c r="FH95" s="22">
        <f t="shared" si="76"/>
        <v>7.384408744560063E-12</v>
      </c>
      <c r="FI95" s="60">
        <f t="shared" si="77"/>
        <v>275.01030204311911</v>
      </c>
      <c r="FJ95" s="60">
        <f ca="1">AVERAGE(OFFSET($FI$3,0,0,'Données projet'!$E$16+1,1))-AVERAGE(OFFSET($H$3,0,0,'Données projet'!$E$16+1,1))</f>
        <v>363.28611056308665</v>
      </c>
      <c r="FK95" s="60">
        <f t="shared" si="102"/>
        <v>389.43647559455974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3.7179487179487181</v>
      </c>
      <c r="FZ95" s="13">
        <f>IF('Données projet'!$A$244&gt;35,FZ94+FY95-GH94,IF(A95&lt;'Données projet'!$A$244,$FW$205^A95,IF(A95='Données projet'!$A$244,'Données projet'!$B$244,FZ94+FY95-GH94)))</f>
        <v>278.5897435897437</v>
      </c>
      <c r="GA95" s="18">
        <f>FZ95*VLOOKUP('Données projet'!$B$17,Paramètres!$A$1:$I$89,3,0)*VLOOKUP('Données projet'!$B$17,Paramètres!$A$1:$I$89,5,0)</f>
        <v>186.87800000000007</v>
      </c>
      <c r="GB95" s="14">
        <f t="shared" si="103"/>
        <v>46.849058827207365</v>
      </c>
      <c r="GC95" s="22">
        <f t="shared" si="79"/>
        <v>407.07462745738621</v>
      </c>
      <c r="GD95" s="60">
        <f t="shared" si="80"/>
        <v>682.08492950049799</v>
      </c>
      <c r="GE95" s="60">
        <f ca="1">AVERAGE(OFFSET($GD$3,0,0,'Données projet'!$E$17+1,1))-AVERAGE(OFFSET($H$3,0,0,'Données projet'!$E$17+1,1))</f>
        <v>344.62096650402731</v>
      </c>
      <c r="GF95" s="60">
        <f t="shared" si="104"/>
        <v>277.30931495079346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7.2</v>
      </c>
      <c r="N96" s="14">
        <f>IF('Données projet'!$A$36&gt;35,N95+M96-V95,IF(A96&lt;'Données projet'!$A$36,$K$205^A96,IF(A96='Données projet'!$A$36,'Données projet'!$B$36,N95+M96-V95)))</f>
        <v>398.59999999999962</v>
      </c>
      <c r="O96" s="14">
        <f>N96*VLOOKUP('Données projet'!$B$9,Paramètres!$A$1:$I$89,3,0)*VLOOKUP('Données projet'!$B$9,Paramètres!$A$1:$I$89,5,0)</f>
        <v>341.99879999999973</v>
      </c>
      <c r="P96" s="14">
        <f t="shared" si="87"/>
        <v>79.912770170183464</v>
      </c>
      <c r="Q96" s="22">
        <f t="shared" si="54"/>
        <v>734.82931804640248</v>
      </c>
      <c r="R96" s="60">
        <f t="shared" si="55"/>
        <v>1010.1574837182384</v>
      </c>
      <c r="S96" s="60">
        <f ca="1">AVERAGE(OFFSET($R$3,0,0,'Données projet'!$E$9+1,1))-AVERAGE(OFFSET($H$3,0,0,'Données projet'!$E$9+1,1))</f>
        <v>632.26350546340541</v>
      </c>
      <c r="T96" s="60">
        <f t="shared" si="88"/>
        <v>340.45335016367915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3.4106051316484809E-13</v>
      </c>
      <c r="AJ96" s="14">
        <f>AI96*VLOOKUP('Données projet'!$B$10,Paramètres!$A$1:$I$89,3,0)*VLOOKUP('Données projet'!$B$10,Paramètres!$A$1:$I$89,5,0)</f>
        <v>2.7134774427395314E-13</v>
      </c>
      <c r="AK96" s="14">
        <f t="shared" si="89"/>
        <v>3.6292411711343559E-12</v>
      </c>
      <c r="AL96" s="22">
        <f t="shared" si="58"/>
        <v>6.7935256943361388E-12</v>
      </c>
      <c r="AM96" s="60">
        <f t="shared" si="59"/>
        <v>275.32816567184278</v>
      </c>
      <c r="AN96" s="60">
        <f ca="1">AVERAGE(OFFSET($AM$3,0,0,'Données projet'!$E$10+1,1))-AVERAGE(OFFSET($H$3,0,0,'Données projet'!$E$10+1,1))</f>
        <v>336.25341821407534</v>
      </c>
      <c r="AO96" s="60">
        <f t="shared" si="90"/>
        <v>360.3246221345039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2.7134774427395314E-13</v>
      </c>
      <c r="BF96" s="14">
        <f t="shared" si="91"/>
        <v>3.6292411711343559E-12</v>
      </c>
      <c r="BG96" s="22">
        <f t="shared" si="61"/>
        <v>6.7935256943361388E-12</v>
      </c>
      <c r="BH96" s="60">
        <f t="shared" si="62"/>
        <v>275.32816567184278</v>
      </c>
      <c r="BI96" s="60">
        <f ca="1">AVERAGE(OFFSET($BH$3,0,0,'Données projet'!$E$11+1,1))-AVERAGE(OFFSET($H$3,0,0,'Données projet'!$E$11+1,1))</f>
        <v>336.25341821407534</v>
      </c>
      <c r="BJ96" s="60">
        <f t="shared" si="92"/>
        <v>360.3246221345039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243.11975999999996</v>
      </c>
      <c r="CA96" s="14">
        <f t="shared" si="93"/>
        <v>59.110256668778533</v>
      </c>
      <c r="CB96" s="22">
        <f t="shared" si="64"/>
        <v>526.3839456981226</v>
      </c>
      <c r="CC96" s="60">
        <f t="shared" si="65"/>
        <v>801.71211136995862</v>
      </c>
      <c r="CD96" s="60">
        <f ca="1">AVERAGE(OFFSET($CC$3,0,0,'Données projet'!$E$12+1,1))-AVERAGE(OFFSET($H$3,0,0,'Données projet'!$E$12+1,1))</f>
        <v>469.67944008675863</v>
      </c>
      <c r="CE96" s="60">
        <f t="shared" si="94"/>
        <v>266.11908070867173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8.8675733422860506E-14</v>
      </c>
      <c r="CV96" s="14">
        <f t="shared" si="95"/>
        <v>1.3509285393066301E-12</v>
      </c>
      <c r="CW96" s="22">
        <f t="shared" si="67"/>
        <v>2.5073107750038623E-12</v>
      </c>
      <c r="CX96" s="60">
        <f t="shared" si="68"/>
        <v>275.32816567183846</v>
      </c>
      <c r="CY96" s="60">
        <f ca="1">AVERAGE(OFFSET($CX$3,0,0,'Données projet'!$E$13+1,1))-AVERAGE(OFFSET($H$3,0,0,'Données projet'!$E$13+1,1))</f>
        <v>312.59632808777332</v>
      </c>
      <c r="CZ96" s="60">
        <f t="shared" si="96"/>
        <v>302.59481222418219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3.5897435897435854</v>
      </c>
      <c r="DO96" s="13">
        <f>IF('Données projet'!$A$166&gt;35,DO95+DN96-DW95,IF(A96&lt;'Données projet'!$A$166,$DL$205^A96,IF(A96='Données projet'!$A$166,'Données projet'!$B$166,DO95+DN96-DW95)))</f>
        <v>222.30769230769224</v>
      </c>
      <c r="DP96" s="18">
        <f>DO96*VLOOKUP('Données projet'!$B$14,Paramètres!$A$1:$I$89,3,0)*VLOOKUP('Données projet'!$B$14,Paramètres!$A$1:$I$89,5,0)</f>
        <v>211.54799999999992</v>
      </c>
      <c r="DQ96" s="14">
        <f t="shared" si="97"/>
        <v>52.273717915363171</v>
      </c>
      <c r="DR96" s="22">
        <f t="shared" si="70"/>
        <v>459.489492035924</v>
      </c>
      <c r="DS96" s="60">
        <f t="shared" si="71"/>
        <v>734.81765770775996</v>
      </c>
      <c r="DT96" s="60">
        <f ca="1">AVERAGE(OFFSET($DS$3,0,0,'Données projet'!$E$14+1,1))-AVERAGE(OFFSET($H$3,0,0,'Données projet'!$E$14+1,1))</f>
        <v>398.29746143975166</v>
      </c>
      <c r="DU96" s="60">
        <f t="shared" si="98"/>
        <v>300.63705521148802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4.9000000000000004</v>
      </c>
      <c r="EJ96" s="13">
        <f>IF('Données projet'!$A$192&gt;35,EJ95+EI96-ER95,IF(A96&lt;'Données projet'!$A$192,$EG$205^A96,IF(A96='Données projet'!$A$192,'Données projet'!$B$192,EJ95+EI96-ER95)))</f>
        <v>268.7</v>
      </c>
      <c r="EK96" s="18">
        <f>EJ96*VLOOKUP('Données projet'!$B$15,Paramètres!$A$1:$I$89,3,0)*VLOOKUP('Données projet'!$B$15,Paramètres!$A$1:$I$89,5,0)</f>
        <v>259.88664</v>
      </c>
      <c r="EL96" s="14">
        <f t="shared" si="99"/>
        <v>62.698213571884004</v>
      </c>
      <c r="EM96" s="22">
        <f t="shared" si="73"/>
        <v>561.835286637698</v>
      </c>
      <c r="EN96" s="60">
        <f t="shared" si="74"/>
        <v>837.16345230953402</v>
      </c>
      <c r="EO96" s="60">
        <f ca="1">AVERAGE(OFFSET($EN$3,0,0,'Données projet'!$E$15+1,1))-AVERAGE(OFFSET($H$3,0,0,'Données projet'!$E$15+1,1))</f>
        <v>496.33873798282525</v>
      </c>
      <c r="EP96" s="60">
        <f t="shared" si="100"/>
        <v>280.25465074992246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3.4106051316484809E-13</v>
      </c>
      <c r="FF96" s="18">
        <f>FE96*VLOOKUP('Données projet'!$B$16,Paramètres!$A$1:$I$89,3,0)*VLOOKUP('Données projet'!$B$16,Paramètres!$A$1:$I$89,5,0)</f>
        <v>2.9795046430081134E-13</v>
      </c>
      <c r="FG96" s="14">
        <f t="shared" si="101"/>
        <v>3.9419014464513778E-12</v>
      </c>
      <c r="FH96" s="22">
        <f t="shared" si="76"/>
        <v>7.384408744560063E-12</v>
      </c>
      <c r="FI96" s="60">
        <f t="shared" si="77"/>
        <v>275.32816567184335</v>
      </c>
      <c r="FJ96" s="60">
        <f ca="1">AVERAGE(OFFSET($FI$3,0,0,'Données projet'!$E$16+1,1))-AVERAGE(OFFSET($H$3,0,0,'Données projet'!$E$16+1,1))</f>
        <v>363.28611056308665</v>
      </c>
      <c r="FK96" s="60">
        <f t="shared" si="102"/>
        <v>389.43647559455974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3.7179487179487181</v>
      </c>
      <c r="FZ96" s="13">
        <f>IF('Données projet'!$A$244&gt;35,FZ95+FY96-GH95,IF(A96&lt;'Données projet'!$A$244,$FW$205^A96,IF(A96='Données projet'!$A$244,'Données projet'!$B$244,FZ95+FY96-GH95)))</f>
        <v>282.30769230769243</v>
      </c>
      <c r="GA96" s="18">
        <f>FZ96*VLOOKUP('Données projet'!$B$17,Paramètres!$A$1:$I$89,3,0)*VLOOKUP('Données projet'!$B$17,Paramètres!$A$1:$I$89,5,0)</f>
        <v>189.37200000000007</v>
      </c>
      <c r="GB96" s="14">
        <f t="shared" si="103"/>
        <v>47.401084226295815</v>
      </c>
      <c r="GC96" s="22">
        <f t="shared" si="79"/>
        <v>412.37978836079861</v>
      </c>
      <c r="GD96" s="60">
        <f t="shared" si="80"/>
        <v>687.70795403263458</v>
      </c>
      <c r="GE96" s="60">
        <f ca="1">AVERAGE(OFFSET($GD$3,0,0,'Données projet'!$E$17+1,1))-AVERAGE(OFFSET($H$3,0,0,'Données projet'!$E$17+1,1))</f>
        <v>344.62096650402731</v>
      </c>
      <c r="GF96" s="60">
        <f t="shared" si="104"/>
        <v>277.30931495079346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7.2</v>
      </c>
      <c r="N97" s="14">
        <f>IF('Données projet'!$A$36&gt;35,N96+M97-V96,IF(A97&lt;'Données projet'!$A$36,$K$205^A97,IF(A97='Données projet'!$A$36,'Données projet'!$B$36,N96+M97-V96)))</f>
        <v>405.79999999999961</v>
      </c>
      <c r="O97" s="14">
        <f>N97*VLOOKUP('Données projet'!$B$9,Paramètres!$A$1:$I$89,3,0)*VLOOKUP('Données projet'!$B$9,Paramètres!$A$1:$I$89,5,0)</f>
        <v>348.17639999999972</v>
      </c>
      <c r="P97" s="14">
        <f t="shared" si="87"/>
        <v>81.186898972091555</v>
      </c>
      <c r="Q97" s="22">
        <f t="shared" si="54"/>
        <v>747.80774570972562</v>
      </c>
      <c r="R97" s="60">
        <f t="shared" si="55"/>
        <v>1023.4482607869641</v>
      </c>
      <c r="S97" s="60">
        <f ca="1">AVERAGE(OFFSET($R$3,0,0,'Données projet'!$E$9+1,1))-AVERAGE(OFFSET($H$3,0,0,'Données projet'!$E$9+1,1))</f>
        <v>632.26350546340541</v>
      </c>
      <c r="T97" s="60">
        <f t="shared" si="88"/>
        <v>340.45335016367915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3.4106051316484809E-13</v>
      </c>
      <c r="AJ97" s="14">
        <f>AI97*VLOOKUP('Données projet'!$B$10,Paramètres!$A$1:$I$89,3,0)*VLOOKUP('Données projet'!$B$10,Paramètres!$A$1:$I$89,5,0)</f>
        <v>2.7134774427395314E-13</v>
      </c>
      <c r="AK97" s="14">
        <f t="shared" si="89"/>
        <v>3.6292411711343559E-12</v>
      </c>
      <c r="AL97" s="22">
        <f t="shared" si="58"/>
        <v>6.7935256943361388E-12</v>
      </c>
      <c r="AM97" s="60">
        <f t="shared" si="59"/>
        <v>275.64051507724531</v>
      </c>
      <c r="AN97" s="60">
        <f ca="1">AVERAGE(OFFSET($AM$3,0,0,'Données projet'!$E$10+1,1))-AVERAGE(OFFSET($H$3,0,0,'Données projet'!$E$10+1,1))</f>
        <v>336.25341821407534</v>
      </c>
      <c r="AO97" s="60">
        <f t="shared" si="90"/>
        <v>360.3246221345039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2.7134774427395314E-13</v>
      </c>
      <c r="BF97" s="14">
        <f t="shared" si="91"/>
        <v>3.6292411711343559E-12</v>
      </c>
      <c r="BG97" s="22">
        <f t="shared" si="61"/>
        <v>6.7935256943361388E-12</v>
      </c>
      <c r="BH97" s="60">
        <f t="shared" si="62"/>
        <v>275.64051507724531</v>
      </c>
      <c r="BI97" s="60">
        <f ca="1">AVERAGE(OFFSET($BH$3,0,0,'Données projet'!$E$11+1,1))-AVERAGE(OFFSET($H$3,0,0,'Données projet'!$E$11+1,1))</f>
        <v>336.25341821407534</v>
      </c>
      <c r="BJ97" s="60">
        <f t="shared" si="92"/>
        <v>360.3246221345039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247.55327999999994</v>
      </c>
      <c r="CA97" s="14">
        <f t="shared" si="93"/>
        <v>60.061713068870255</v>
      </c>
      <c r="CB97" s="22">
        <f t="shared" si="64"/>
        <v>535.76277959494894</v>
      </c>
      <c r="CC97" s="60">
        <f t="shared" si="65"/>
        <v>811.40329467218749</v>
      </c>
      <c r="CD97" s="60">
        <f ca="1">AVERAGE(OFFSET($CC$3,0,0,'Données projet'!$E$12+1,1))-AVERAGE(OFFSET($H$3,0,0,'Données projet'!$E$12+1,1))</f>
        <v>469.67944008675863</v>
      </c>
      <c r="CE97" s="60">
        <f t="shared" si="94"/>
        <v>266.11908070867173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8.8675733422860506E-14</v>
      </c>
      <c r="CV97" s="14">
        <f t="shared" si="95"/>
        <v>1.3509285393066301E-12</v>
      </c>
      <c r="CW97" s="22">
        <f t="shared" si="67"/>
        <v>2.5073107750038623E-12</v>
      </c>
      <c r="CX97" s="60">
        <f t="shared" si="68"/>
        <v>275.64051507724099</v>
      </c>
      <c r="CY97" s="60">
        <f ca="1">AVERAGE(OFFSET($CX$3,0,0,'Données projet'!$E$13+1,1))-AVERAGE(OFFSET($H$3,0,0,'Données projet'!$E$13+1,1))</f>
        <v>312.59632808777332</v>
      </c>
      <c r="CZ97" s="60">
        <f t="shared" si="96"/>
        <v>302.59481222418219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3.5897435897435854</v>
      </c>
      <c r="DO97" s="13">
        <f>IF('Données projet'!$A$166&gt;35,DO96+DN97-DW96,IF(A97&lt;'Données projet'!$A$166,$DL$205^A97,IF(A97='Données projet'!$A$166,'Données projet'!$B$166,DO96+DN97-DW96)))</f>
        <v>225.89743589743583</v>
      </c>
      <c r="DP97" s="18">
        <f>DO97*VLOOKUP('Données projet'!$B$14,Paramètres!$A$1:$I$89,3,0)*VLOOKUP('Données projet'!$B$14,Paramètres!$A$1:$I$89,5,0)</f>
        <v>214.96399999999994</v>
      </c>
      <c r="DQ97" s="14">
        <f t="shared" si="97"/>
        <v>53.018865213249249</v>
      </c>
      <c r="DR97" s="22">
        <f t="shared" si="70"/>
        <v>466.73682357974229</v>
      </c>
      <c r="DS97" s="60">
        <f t="shared" si="71"/>
        <v>742.37733865698078</v>
      </c>
      <c r="DT97" s="60">
        <f ca="1">AVERAGE(OFFSET($DS$3,0,0,'Données projet'!$E$14+1,1))-AVERAGE(OFFSET($H$3,0,0,'Données projet'!$E$14+1,1))</f>
        <v>398.29746143975166</v>
      </c>
      <c r="DU97" s="60">
        <f t="shared" si="98"/>
        <v>300.63705521148802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4.9000000000000004</v>
      </c>
      <c r="EJ97" s="13">
        <f>IF('Données projet'!$A$192&gt;35,EJ96+EI97-ER96,IF(A97&lt;'Données projet'!$A$192,$EG$205^A97,IF(A97='Données projet'!$A$192,'Données projet'!$B$192,EJ96+EI97-ER96)))</f>
        <v>273.59999999999997</v>
      </c>
      <c r="EK97" s="18">
        <f>EJ97*VLOOKUP('Données projet'!$B$15,Paramètres!$A$1:$I$89,3,0)*VLOOKUP('Données projet'!$B$15,Paramètres!$A$1:$I$89,5,0)</f>
        <v>264.62591999999995</v>
      </c>
      <c r="EL97" s="14">
        <f t="shared" si="99"/>
        <v>63.707422801198604</v>
      </c>
      <c r="EM97" s="22">
        <f t="shared" si="73"/>
        <v>571.84723871208746</v>
      </c>
      <c r="EN97" s="60">
        <f t="shared" si="74"/>
        <v>847.48775378932601</v>
      </c>
      <c r="EO97" s="60">
        <f ca="1">AVERAGE(OFFSET($EN$3,0,0,'Données projet'!$E$15+1,1))-AVERAGE(OFFSET($H$3,0,0,'Données projet'!$E$15+1,1))</f>
        <v>496.33873798282525</v>
      </c>
      <c r="EP97" s="60">
        <f t="shared" si="100"/>
        <v>280.25465074992246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3.4106051316484809E-13</v>
      </c>
      <c r="FF97" s="18">
        <f>FE97*VLOOKUP('Données projet'!$B$16,Paramètres!$A$1:$I$89,3,0)*VLOOKUP('Données projet'!$B$16,Paramètres!$A$1:$I$89,5,0)</f>
        <v>2.9795046430081134E-13</v>
      </c>
      <c r="FG97" s="14">
        <f t="shared" si="101"/>
        <v>3.9419014464513778E-12</v>
      </c>
      <c r="FH97" s="22">
        <f t="shared" si="76"/>
        <v>7.384408744560063E-12</v>
      </c>
      <c r="FI97" s="60">
        <f t="shared" si="77"/>
        <v>275.64051507724588</v>
      </c>
      <c r="FJ97" s="60">
        <f ca="1">AVERAGE(OFFSET($FI$3,0,0,'Données projet'!$E$16+1,1))-AVERAGE(OFFSET($H$3,0,0,'Données projet'!$E$16+1,1))</f>
        <v>363.28611056308665</v>
      </c>
      <c r="FK97" s="60">
        <f t="shared" si="102"/>
        <v>389.43647559455974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3.7179487179487181</v>
      </c>
      <c r="FZ97" s="13">
        <f>IF('Données projet'!$A$244&gt;35,FZ96+FY97-GH96,IF(A97&lt;'Données projet'!$A$244,$FW$205^A97,IF(A97='Données projet'!$A$244,'Données projet'!$B$244,FZ96+FY97-GH96)))</f>
        <v>286.02564102564116</v>
      </c>
      <c r="GA97" s="18">
        <f>FZ97*VLOOKUP('Données projet'!$B$17,Paramètres!$A$1:$I$89,3,0)*VLOOKUP('Données projet'!$B$17,Paramètres!$A$1:$I$89,5,0)</f>
        <v>191.8660000000001</v>
      </c>
      <c r="GB97" s="14">
        <f t="shared" si="103"/>
        <v>47.952264009442366</v>
      </c>
      <c r="GC97" s="22">
        <f t="shared" si="79"/>
        <v>417.6834764831122</v>
      </c>
      <c r="GD97" s="60">
        <f t="shared" si="80"/>
        <v>693.32399156035069</v>
      </c>
      <c r="GE97" s="60">
        <f ca="1">AVERAGE(OFFSET($GD$3,0,0,'Données projet'!$E$17+1,1))-AVERAGE(OFFSET($H$3,0,0,'Données projet'!$E$17+1,1))</f>
        <v>344.62096650402731</v>
      </c>
      <c r="GF97" s="60">
        <f t="shared" si="104"/>
        <v>277.30931495079346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7.2</v>
      </c>
      <c r="N98" s="14">
        <f>IF('Données projet'!$A$36&gt;35,N97+M98-V97,IF(A98&lt;'Données projet'!$A$36,$K$205^A98,IF(A98='Données projet'!$A$36,'Données projet'!$B$36,N97+M98-V97)))</f>
        <v>412.9999999999996</v>
      </c>
      <c r="O98" s="14">
        <f>N98*VLOOKUP('Données projet'!$B$9,Paramètres!$A$1:$I$89,3,0)*VLOOKUP('Données projet'!$B$9,Paramètres!$A$1:$I$89,5,0)</f>
        <v>354.3539999999997</v>
      </c>
      <c r="P98" s="14">
        <f t="shared" si="87"/>
        <v>82.458398944193249</v>
      </c>
      <c r="Q98" s="22">
        <f t="shared" si="54"/>
        <v>760.78159482780268</v>
      </c>
      <c r="R98" s="60">
        <f t="shared" si="55"/>
        <v>1036.7290407465687</v>
      </c>
      <c r="S98" s="60">
        <f ca="1">AVERAGE(OFFSET($R$3,0,0,'Données projet'!$E$9+1,1))-AVERAGE(OFFSET($H$3,0,0,'Données projet'!$E$9+1,1))</f>
        <v>632.26350546340541</v>
      </c>
      <c r="T98" s="60">
        <f t="shared" si="88"/>
        <v>340.45335016367915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3.4106051316484809E-13</v>
      </c>
      <c r="AJ98" s="14">
        <f>AI98*VLOOKUP('Données projet'!$B$10,Paramètres!$A$1:$I$89,3,0)*VLOOKUP('Données projet'!$B$10,Paramètres!$A$1:$I$89,5,0)</f>
        <v>2.7134774427395314E-13</v>
      </c>
      <c r="AK98" s="14">
        <f t="shared" si="89"/>
        <v>3.6292411711343559E-12</v>
      </c>
      <c r="AL98" s="22">
        <f t="shared" si="58"/>
        <v>6.7935256943361388E-12</v>
      </c>
      <c r="AM98" s="60">
        <f t="shared" si="59"/>
        <v>275.94744591877276</v>
      </c>
      <c r="AN98" s="60">
        <f ca="1">AVERAGE(OFFSET($AM$3,0,0,'Données projet'!$E$10+1,1))-AVERAGE(OFFSET($H$3,0,0,'Données projet'!$E$10+1,1))</f>
        <v>336.25341821407534</v>
      </c>
      <c r="AO98" s="60">
        <f t="shared" si="90"/>
        <v>360.3246221345039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2.7134774427395314E-13</v>
      </c>
      <c r="BF98" s="14">
        <f t="shared" si="91"/>
        <v>3.6292411711343559E-12</v>
      </c>
      <c r="BG98" s="22">
        <f t="shared" si="61"/>
        <v>6.7935256943361388E-12</v>
      </c>
      <c r="BH98" s="60">
        <f t="shared" si="62"/>
        <v>275.94744591877276</v>
      </c>
      <c r="BI98" s="60">
        <f ca="1">AVERAGE(OFFSET($BH$3,0,0,'Données projet'!$E$11+1,1))-AVERAGE(OFFSET($H$3,0,0,'Données projet'!$E$11+1,1))</f>
        <v>336.25341821407534</v>
      </c>
      <c r="BJ98" s="60">
        <f t="shared" si="92"/>
        <v>360.3246221345039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251.98679999999993</v>
      </c>
      <c r="CA98" s="14">
        <f t="shared" si="93"/>
        <v>61.011187970195053</v>
      </c>
      <c r="CB98" s="22">
        <f t="shared" si="64"/>
        <v>545.13816238142283</v>
      </c>
      <c r="CC98" s="60">
        <f t="shared" si="65"/>
        <v>821.08560830018882</v>
      </c>
      <c r="CD98" s="60">
        <f ca="1">AVERAGE(OFFSET($CC$3,0,0,'Données projet'!$E$12+1,1))-AVERAGE(OFFSET($H$3,0,0,'Données projet'!$E$12+1,1))</f>
        <v>469.67944008675863</v>
      </c>
      <c r="CE98" s="60">
        <f t="shared" si="94"/>
        <v>266.11908070867173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8.8675733422860506E-14</v>
      </c>
      <c r="CV98" s="14">
        <f t="shared" si="95"/>
        <v>1.3509285393066301E-12</v>
      </c>
      <c r="CW98" s="22">
        <f t="shared" si="67"/>
        <v>2.5073107750038623E-12</v>
      </c>
      <c r="CX98" s="60">
        <f t="shared" si="68"/>
        <v>275.94744591876844</v>
      </c>
      <c r="CY98" s="60">
        <f ca="1">AVERAGE(OFFSET($CX$3,0,0,'Données projet'!$E$13+1,1))-AVERAGE(OFFSET($H$3,0,0,'Données projet'!$E$13+1,1))</f>
        <v>312.59632808777332</v>
      </c>
      <c r="CZ98" s="60">
        <f t="shared" si="96"/>
        <v>302.59481222418219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229.48717948717947</v>
      </c>
      <c r="DM98" s="13">
        <f>VLOOKUP(A98,'Données projet'!$A$165:$I$185,9,0)</f>
        <v>3.5897435897435854</v>
      </c>
      <c r="DN98" s="13">
        <f t="array" ref="DN98">INDEX(DM:DM,MIN(IF(ISNUMBER(DM98:DM294),ROW(DM98:DM294),"")))</f>
        <v>3.5897435897435854</v>
      </c>
      <c r="DO98" s="13">
        <f>IF('Données projet'!$A$166&gt;35,DO97+DN98-DW97,IF(A98&lt;'Données projet'!$A$166,$DL$205^A98,IF(A98='Données projet'!$A$166,'Données projet'!$B$166,DO97+DN98-DW97)))</f>
        <v>229.48717948717942</v>
      </c>
      <c r="DP98" s="18">
        <f>DO98*VLOOKUP('Données projet'!$B$14,Paramètres!$A$1:$I$89,3,0)*VLOOKUP('Données projet'!$B$14,Paramètres!$A$1:$I$89,5,0)</f>
        <v>218.37999999999994</v>
      </c>
      <c r="DQ98" s="14">
        <f t="shared" si="97"/>
        <v>53.762635412761199</v>
      </c>
      <c r="DR98" s="22">
        <f t="shared" si="70"/>
        <v>473.98175667722558</v>
      </c>
      <c r="DS98" s="60">
        <f t="shared" si="71"/>
        <v>749.92920259599146</v>
      </c>
      <c r="DT98" s="60">
        <f ca="1">AVERAGE(OFFSET($DS$3,0,0,'Données projet'!$E$14+1,1))-AVERAGE(OFFSET($H$3,0,0,'Données projet'!$E$14+1,1))</f>
        <v>398.29746143975166</v>
      </c>
      <c r="DU98" s="60">
        <f t="shared" si="98"/>
        <v>300.63705521148802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4.9000000000000004</v>
      </c>
      <c r="EJ98" s="13">
        <f>IF('Données projet'!$A$192&gt;35,EJ97+EI98-ER97,IF(A98&lt;'Données projet'!$A$192,$EG$205^A98,IF(A98='Données projet'!$A$192,'Données projet'!$B$192,EJ97+EI98-ER97)))</f>
        <v>278.49999999999994</v>
      </c>
      <c r="EK98" s="18">
        <f>EJ98*VLOOKUP('Données projet'!$B$15,Paramètres!$A$1:$I$89,3,0)*VLOOKUP('Données projet'!$B$15,Paramètres!$A$1:$I$89,5,0)</f>
        <v>269.36519999999996</v>
      </c>
      <c r="EL98" s="14">
        <f t="shared" si="99"/>
        <v>64.714530255967034</v>
      </c>
      <c r="EM98" s="22">
        <f t="shared" si="73"/>
        <v>581.85553019580914</v>
      </c>
      <c r="EN98" s="60">
        <f t="shared" si="74"/>
        <v>857.80297611457513</v>
      </c>
      <c r="EO98" s="60">
        <f ca="1">AVERAGE(OFFSET($EN$3,0,0,'Données projet'!$E$15+1,1))-AVERAGE(OFFSET($H$3,0,0,'Données projet'!$E$15+1,1))</f>
        <v>496.33873798282525</v>
      </c>
      <c r="EP98" s="60">
        <f t="shared" si="100"/>
        <v>280.25465074992246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3.4106051316484809E-13</v>
      </c>
      <c r="FF98" s="18">
        <f>FE98*VLOOKUP('Données projet'!$B$16,Paramètres!$A$1:$I$89,3,0)*VLOOKUP('Données projet'!$B$16,Paramètres!$A$1:$I$89,5,0)</f>
        <v>2.9795046430081134E-13</v>
      </c>
      <c r="FG98" s="14">
        <f t="shared" si="101"/>
        <v>3.9419014464513778E-12</v>
      </c>
      <c r="FH98" s="22">
        <f t="shared" si="76"/>
        <v>7.384408744560063E-12</v>
      </c>
      <c r="FI98" s="60">
        <f t="shared" si="77"/>
        <v>275.94744591877333</v>
      </c>
      <c r="FJ98" s="60">
        <f ca="1">AVERAGE(OFFSET($FI$3,0,0,'Données projet'!$E$16+1,1))-AVERAGE(OFFSET($H$3,0,0,'Données projet'!$E$16+1,1))</f>
        <v>363.28611056308665</v>
      </c>
      <c r="FK98" s="60">
        <f t="shared" si="102"/>
        <v>389.43647559455974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289.74358974358972</v>
      </c>
      <c r="FX98" s="13">
        <f>VLOOKUP(A98,'Données projet'!$A$243:$I$263,9,0)</f>
        <v>3.7179487179487181</v>
      </c>
      <c r="FY98" s="13">
        <f t="array" ref="FY98">INDEX(FX:FX,MIN(IF(ISNUMBER(FX98:FX294),ROW(FX98:FX294),"")))</f>
        <v>3.7179487179487181</v>
      </c>
      <c r="FZ98" s="13">
        <f>IF('Données projet'!$A$244&gt;35,FZ97+FY98-GH97,IF(A98&lt;'Données projet'!$A$244,$FW$205^A98,IF(A98='Données projet'!$A$244,'Données projet'!$B$244,FZ97+FY98-GH97)))</f>
        <v>289.74358974358989</v>
      </c>
      <c r="GA98" s="18">
        <f>FZ98*VLOOKUP('Données projet'!$B$17,Paramètres!$A$1:$I$89,3,0)*VLOOKUP('Données projet'!$B$17,Paramètres!$A$1:$I$89,5,0)</f>
        <v>194.3600000000001</v>
      </c>
      <c r="GB98" s="14">
        <f t="shared" si="103"/>
        <v>48.502610439386679</v>
      </c>
      <c r="GC98" s="22">
        <f t="shared" si="79"/>
        <v>422.98571318193194</v>
      </c>
      <c r="GD98" s="60">
        <f t="shared" si="80"/>
        <v>698.93315910069782</v>
      </c>
      <c r="GE98" s="60">
        <f ca="1">AVERAGE(OFFSET($GD$3,0,0,'Données projet'!$E$17+1,1))-AVERAGE(OFFSET($H$3,0,0,'Données projet'!$E$17+1,1))</f>
        <v>344.62096650402731</v>
      </c>
      <c r="GF98" s="60">
        <f t="shared" si="104"/>
        <v>277.30931495079346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7.2</v>
      </c>
      <c r="N99" s="14">
        <f>IF('Données projet'!$A$36&gt;35,N98+M99-V98,IF(A99&lt;'Données projet'!$A$36,$K$205^A99,IF(A99='Données projet'!$A$36,'Données projet'!$B$36,N98+M99-V98)))</f>
        <v>420.19999999999959</v>
      </c>
      <c r="O99" s="14">
        <f>N99*VLOOKUP('Données projet'!$B$9,Paramètres!$A$1:$I$89,3,0)*VLOOKUP('Données projet'!$B$9,Paramètres!$A$1:$I$89,5,0)</f>
        <v>360.53159999999968</v>
      </c>
      <c r="P99" s="14">
        <f t="shared" si="87"/>
        <v>83.727321203860683</v>
      </c>
      <c r="Q99" s="22">
        <f t="shared" ref="Q99:Q130" si="107">(O99+P99)*0.475*44/12</f>
        <v>773.75095443005682</v>
      </c>
      <c r="R99" s="60">
        <f t="shared" si="55"/>
        <v>1050.0000066264442</v>
      </c>
      <c r="S99" s="60">
        <f ca="1">AVERAGE(OFFSET($R$3,0,0,'Données projet'!$E$9+1,1))-AVERAGE(OFFSET($H$3,0,0,'Données projet'!$E$9+1,1))</f>
        <v>632.26350546340541</v>
      </c>
      <c r="T99" s="60">
        <f t="shared" si="88"/>
        <v>340.45335016367915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3.4106051316484809E-13</v>
      </c>
      <c r="AJ99" s="14">
        <f>AI99*VLOOKUP('Données projet'!$B$10,Paramètres!$A$1:$I$89,3,0)*VLOOKUP('Données projet'!$B$10,Paramètres!$A$1:$I$89,5,0)</f>
        <v>2.7134774427395314E-13</v>
      </c>
      <c r="AK99" s="14">
        <f t="shared" si="89"/>
        <v>3.6292411711343559E-12</v>
      </c>
      <c r="AL99" s="22">
        <f t="shared" si="58"/>
        <v>6.7935256943361388E-12</v>
      </c>
      <c r="AM99" s="60">
        <f t="shared" si="59"/>
        <v>276.24905219639425</v>
      </c>
      <c r="AN99" s="60">
        <f ca="1">AVERAGE(OFFSET($AM$3,0,0,'Données projet'!$E$10+1,1))-AVERAGE(OFFSET($H$3,0,0,'Données projet'!$E$10+1,1))</f>
        <v>336.25341821407534</v>
      </c>
      <c r="AO99" s="60">
        <f t="shared" si="90"/>
        <v>360.3246221345039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2.7134774427395314E-13</v>
      </c>
      <c r="BF99" s="14">
        <f t="shared" si="91"/>
        <v>3.6292411711343559E-12</v>
      </c>
      <c r="BG99" s="22">
        <f t="shared" si="61"/>
        <v>6.7935256943361388E-12</v>
      </c>
      <c r="BH99" s="60">
        <f t="shared" si="62"/>
        <v>276.24905219639425</v>
      </c>
      <c r="BI99" s="60">
        <f ca="1">AVERAGE(OFFSET($BH$3,0,0,'Données projet'!$E$11+1,1))-AVERAGE(OFFSET($H$3,0,0,'Données projet'!$E$11+1,1))</f>
        <v>336.25341821407534</v>
      </c>
      <c r="BJ99" s="60">
        <f t="shared" si="92"/>
        <v>360.3246221345039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256.42031999999989</v>
      </c>
      <c r="CA99" s="14">
        <f t="shared" si="93"/>
        <v>61.958720258016918</v>
      </c>
      <c r="CB99" s="22">
        <f t="shared" si="64"/>
        <v>554.51016178271254</v>
      </c>
      <c r="CC99" s="60">
        <f t="shared" si="65"/>
        <v>830.75921397909997</v>
      </c>
      <c r="CD99" s="60">
        <f ca="1">AVERAGE(OFFSET($CC$3,0,0,'Données projet'!$E$12+1,1))-AVERAGE(OFFSET($H$3,0,0,'Données projet'!$E$12+1,1))</f>
        <v>469.67944008675863</v>
      </c>
      <c r="CE99" s="60">
        <f t="shared" si="94"/>
        <v>266.11908070867173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8.8675733422860506E-14</v>
      </c>
      <c r="CV99" s="14">
        <f t="shared" si="95"/>
        <v>1.3509285393066301E-12</v>
      </c>
      <c r="CW99" s="22">
        <f t="shared" si="67"/>
        <v>2.5073107750038623E-12</v>
      </c>
      <c r="CX99" s="60">
        <f t="shared" si="68"/>
        <v>276.24905219638993</v>
      </c>
      <c r="CY99" s="60">
        <f ca="1">AVERAGE(OFFSET($CX$3,0,0,'Données projet'!$E$13+1,1))-AVERAGE(OFFSET($H$3,0,0,'Données projet'!$E$13+1,1))</f>
        <v>312.59632808777332</v>
      </c>
      <c r="CZ99" s="60">
        <f t="shared" si="96"/>
        <v>302.59481222418219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3.3333333333333313</v>
      </c>
      <c r="DO99" s="13">
        <f>IF('Données projet'!$A$166&gt;35,DO98+DN99-DW98,IF(A99&lt;'Données projet'!$A$166,$DL$205^A99,IF(A99='Données projet'!$A$166,'Données projet'!$B$166,DO98+DN99-DW98)))</f>
        <v>232.82051282051276</v>
      </c>
      <c r="DP99" s="18">
        <f>DO99*VLOOKUP('Données projet'!$B$14,Paramètres!$A$1:$I$89,3,0)*VLOOKUP('Données projet'!$B$14,Paramètres!$A$1:$I$89,5,0)</f>
        <v>221.55199999999994</v>
      </c>
      <c r="DQ99" s="14">
        <f t="shared" si="97"/>
        <v>54.452067119881683</v>
      </c>
      <c r="DR99" s="22">
        <f t="shared" si="70"/>
        <v>480.70708356712709</v>
      </c>
      <c r="DS99" s="60">
        <f t="shared" si="71"/>
        <v>756.95613576351457</v>
      </c>
      <c r="DT99" s="60">
        <f ca="1">AVERAGE(OFFSET($DS$3,0,0,'Données projet'!$E$14+1,1))-AVERAGE(OFFSET($H$3,0,0,'Données projet'!$E$14+1,1))</f>
        <v>398.29746143975166</v>
      </c>
      <c r="DU99" s="60">
        <f t="shared" si="98"/>
        <v>300.63705521148802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4.9000000000000004</v>
      </c>
      <c r="EJ99" s="13">
        <f>IF('Données projet'!$A$192&gt;35,EJ98+EI99-ER98,IF(A99&lt;'Données projet'!$A$192,$EG$205^A99,IF(A99='Données projet'!$A$192,'Données projet'!$B$192,EJ98+EI99-ER98)))</f>
        <v>283.39999999999992</v>
      </c>
      <c r="EK99" s="18">
        <f>EJ99*VLOOKUP('Données projet'!$B$15,Paramètres!$A$1:$I$89,3,0)*VLOOKUP('Données projet'!$B$15,Paramètres!$A$1:$I$89,5,0)</f>
        <v>274.10447999999991</v>
      </c>
      <c r="EL99" s="14">
        <f t="shared" si="99"/>
        <v>65.719577181765516</v>
      </c>
      <c r="EM99" s="22">
        <f t="shared" si="73"/>
        <v>591.86023292490802</v>
      </c>
      <c r="EN99" s="60">
        <f t="shared" si="74"/>
        <v>868.10928512129544</v>
      </c>
      <c r="EO99" s="60">
        <f ca="1">AVERAGE(OFFSET($EN$3,0,0,'Données projet'!$E$15+1,1))-AVERAGE(OFFSET($H$3,0,0,'Données projet'!$E$15+1,1))</f>
        <v>496.33873798282525</v>
      </c>
      <c r="EP99" s="60">
        <f t="shared" si="100"/>
        <v>280.25465074992246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3.4106051316484809E-13</v>
      </c>
      <c r="FF99" s="18">
        <f>FE99*VLOOKUP('Données projet'!$B$16,Paramètres!$A$1:$I$89,3,0)*VLOOKUP('Données projet'!$B$16,Paramètres!$A$1:$I$89,5,0)</f>
        <v>2.9795046430081134E-13</v>
      </c>
      <c r="FG99" s="14">
        <f t="shared" si="101"/>
        <v>3.9419014464513778E-12</v>
      </c>
      <c r="FH99" s="22">
        <f t="shared" si="76"/>
        <v>7.384408744560063E-12</v>
      </c>
      <c r="FI99" s="60">
        <f t="shared" si="77"/>
        <v>276.24905219639481</v>
      </c>
      <c r="FJ99" s="60">
        <f ca="1">AVERAGE(OFFSET($FI$3,0,0,'Données projet'!$E$16+1,1))-AVERAGE(OFFSET($H$3,0,0,'Données projet'!$E$16+1,1))</f>
        <v>363.28611056308665</v>
      </c>
      <c r="FK99" s="60">
        <f t="shared" si="102"/>
        <v>389.43647559455974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3.5897435897435912</v>
      </c>
      <c r="FZ99" s="13">
        <f>IF('Données projet'!$A$244&gt;35,FZ98+FY99-GH98,IF(A99&lt;'Données projet'!$A$244,$FW$205^A99,IF(A99='Données projet'!$A$244,'Données projet'!$B$244,FZ98+FY99-GH98)))</f>
        <v>293.33333333333348</v>
      </c>
      <c r="GA99" s="18">
        <f>FZ99*VLOOKUP('Données projet'!$B$17,Paramètres!$A$1:$I$89,3,0)*VLOOKUP('Données projet'!$B$17,Paramètres!$A$1:$I$89,5,0)</f>
        <v>196.76800000000011</v>
      </c>
      <c r="GB99" s="14">
        <f t="shared" si="103"/>
        <v>49.033199854505597</v>
      </c>
      <c r="GC99" s="22">
        <f t="shared" si="79"/>
        <v>428.10375641326408</v>
      </c>
      <c r="GD99" s="60">
        <f t="shared" si="80"/>
        <v>704.35280860965145</v>
      </c>
      <c r="GE99" s="60">
        <f ca="1">AVERAGE(OFFSET($GD$3,0,0,'Données projet'!$E$17+1,1))-AVERAGE(OFFSET($H$3,0,0,'Données projet'!$E$17+1,1))</f>
        <v>344.62096650402731</v>
      </c>
      <c r="GF99" s="60">
        <f t="shared" si="104"/>
        <v>277.30931495079346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7.2</v>
      </c>
      <c r="N100" s="14">
        <f>IF('Données projet'!$A$36&gt;35,N99+M100-V99,IF(A100&lt;'Données projet'!$A$36,$K$205^A100,IF(A100='Données projet'!$A$36,'Données projet'!$B$36,N99+M100-V99)))</f>
        <v>427.39999999999958</v>
      </c>
      <c r="O100" s="14">
        <f>N100*VLOOKUP('Données projet'!$B$9,Paramètres!$A$1:$I$89,3,0)*VLOOKUP('Données projet'!$B$9,Paramètres!$A$1:$I$89,5,0)</f>
        <v>366.70919999999967</v>
      </c>
      <c r="P100" s="14">
        <f t="shared" si="87"/>
        <v>84.993715016328323</v>
      </c>
      <c r="Q100" s="22">
        <f t="shared" si="107"/>
        <v>786.71591032010463</v>
      </c>
      <c r="R100" s="60">
        <f t="shared" si="55"/>
        <v>1063.2613365994875</v>
      </c>
      <c r="S100" s="60">
        <f ca="1">AVERAGE(OFFSET($R$3,0,0,'Données projet'!$E$9+1,1))-AVERAGE(OFFSET($H$3,0,0,'Données projet'!$E$9+1,1))</f>
        <v>632.26350546340541</v>
      </c>
      <c r="T100" s="60">
        <f t="shared" si="88"/>
        <v>340.45335016367915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3.4106051316484809E-13</v>
      </c>
      <c r="AJ100" s="14">
        <f>AI100*VLOOKUP('Données projet'!$B$10,Paramètres!$A$1:$I$89,3,0)*VLOOKUP('Données projet'!$B$10,Paramètres!$A$1:$I$89,5,0)</f>
        <v>2.7134774427395314E-13</v>
      </c>
      <c r="AK100" s="14">
        <f t="shared" si="89"/>
        <v>3.6292411711343559E-12</v>
      </c>
      <c r="AL100" s="22">
        <f t="shared" si="58"/>
        <v>6.7935256943361388E-12</v>
      </c>
      <c r="AM100" s="60">
        <f t="shared" si="59"/>
        <v>276.54542627938963</v>
      </c>
      <c r="AN100" s="60">
        <f ca="1">AVERAGE(OFFSET($AM$3,0,0,'Données projet'!$E$10+1,1))-AVERAGE(OFFSET($H$3,0,0,'Données projet'!$E$10+1,1))</f>
        <v>336.25341821407534</v>
      </c>
      <c r="AO100" s="60">
        <f t="shared" si="90"/>
        <v>360.3246221345039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2.7134774427395314E-13</v>
      </c>
      <c r="BF100" s="14">
        <f t="shared" si="91"/>
        <v>3.6292411711343559E-12</v>
      </c>
      <c r="BG100" s="22">
        <f t="shared" si="61"/>
        <v>6.7935256943361388E-12</v>
      </c>
      <c r="BH100" s="60">
        <f t="shared" si="62"/>
        <v>276.54542627938963</v>
      </c>
      <c r="BI100" s="60">
        <f ca="1">AVERAGE(OFFSET($BH$3,0,0,'Données projet'!$E$11+1,1))-AVERAGE(OFFSET($H$3,0,0,'Données projet'!$E$11+1,1))</f>
        <v>336.25341821407534</v>
      </c>
      <c r="BJ100" s="60">
        <f t="shared" si="92"/>
        <v>360.3246221345039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260.85383999999993</v>
      </c>
      <c r="CA100" s="14">
        <f t="shared" si="93"/>
        <v>62.904347395903763</v>
      </c>
      <c r="CB100" s="22">
        <f t="shared" si="64"/>
        <v>563.87884304786564</v>
      </c>
      <c r="CC100" s="60">
        <f t="shared" si="65"/>
        <v>840.42426932724845</v>
      </c>
      <c r="CD100" s="60">
        <f ca="1">AVERAGE(OFFSET($CC$3,0,0,'Données projet'!$E$12+1,1))-AVERAGE(OFFSET($H$3,0,0,'Données projet'!$E$12+1,1))</f>
        <v>469.67944008675863</v>
      </c>
      <c r="CE100" s="60">
        <f t="shared" si="94"/>
        <v>266.11908070867173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8.8675733422860506E-14</v>
      </c>
      <c r="CV100" s="14">
        <f t="shared" si="95"/>
        <v>1.3509285393066301E-12</v>
      </c>
      <c r="CW100" s="22">
        <f t="shared" si="67"/>
        <v>2.5073107750038623E-12</v>
      </c>
      <c r="CX100" s="60">
        <f t="shared" si="68"/>
        <v>276.54542627938531</v>
      </c>
      <c r="CY100" s="60">
        <f ca="1">AVERAGE(OFFSET($CX$3,0,0,'Données projet'!$E$13+1,1))-AVERAGE(OFFSET($H$3,0,0,'Données projet'!$E$13+1,1))</f>
        <v>312.59632808777332</v>
      </c>
      <c r="CZ100" s="60">
        <f t="shared" si="96"/>
        <v>302.59481222418219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3.3333333333333313</v>
      </c>
      <c r="DO100" s="13">
        <f>IF('Données projet'!$A$166&gt;35,DO99+DN100-DW99,IF(A100&lt;'Données projet'!$A$166,$DL$205^A100,IF(A100='Données projet'!$A$166,'Données projet'!$B$166,DO99+DN100-DW99)))</f>
        <v>236.1538461538461</v>
      </c>
      <c r="DP100" s="18">
        <f>DO100*VLOOKUP('Données projet'!$B$14,Paramètres!$A$1:$I$89,3,0)*VLOOKUP('Données projet'!$B$14,Paramètres!$A$1:$I$89,5,0)</f>
        <v>224.72399999999993</v>
      </c>
      <c r="DQ100" s="14">
        <f t="shared" si="97"/>
        <v>55.140350790767556</v>
      </c>
      <c r="DR100" s="22">
        <f t="shared" si="70"/>
        <v>487.4304109605867</v>
      </c>
      <c r="DS100" s="60">
        <f t="shared" si="71"/>
        <v>763.97583723996945</v>
      </c>
      <c r="DT100" s="60">
        <f ca="1">AVERAGE(OFFSET($DS$3,0,0,'Données projet'!$E$14+1,1))-AVERAGE(OFFSET($H$3,0,0,'Données projet'!$E$14+1,1))</f>
        <v>398.29746143975166</v>
      </c>
      <c r="DU100" s="60">
        <f t="shared" si="98"/>
        <v>300.63705521148802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4.9000000000000004</v>
      </c>
      <c r="EJ100" s="13">
        <f>IF('Données projet'!$A$192&gt;35,EJ99+EI100-ER99,IF(A100&lt;'Données projet'!$A$192,$EG$205^A100,IF(A100='Données projet'!$A$192,'Données projet'!$B$192,EJ99+EI100-ER99)))</f>
        <v>288.2999999999999</v>
      </c>
      <c r="EK100" s="18">
        <f>EJ100*VLOOKUP('Données projet'!$B$15,Paramètres!$A$1:$I$89,3,0)*VLOOKUP('Données projet'!$B$15,Paramètres!$A$1:$I$89,5,0)</f>
        <v>278.84375999999992</v>
      </c>
      <c r="EL100" s="14">
        <f t="shared" si="99"/>
        <v>66.722603316177725</v>
      </c>
      <c r="EM100" s="22">
        <f t="shared" si="73"/>
        <v>601.86141610900938</v>
      </c>
      <c r="EN100" s="60">
        <f t="shared" si="74"/>
        <v>878.40684238839219</v>
      </c>
      <c r="EO100" s="60">
        <f ca="1">AVERAGE(OFFSET($EN$3,0,0,'Données projet'!$E$15+1,1))-AVERAGE(OFFSET($H$3,0,0,'Données projet'!$E$15+1,1))</f>
        <v>496.33873798282525</v>
      </c>
      <c r="EP100" s="60">
        <f t="shared" si="100"/>
        <v>280.25465074992246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3.4106051316484809E-13</v>
      </c>
      <c r="FF100" s="18">
        <f>FE100*VLOOKUP('Données projet'!$B$16,Paramètres!$A$1:$I$89,3,0)*VLOOKUP('Données projet'!$B$16,Paramètres!$A$1:$I$89,5,0)</f>
        <v>2.9795046430081134E-13</v>
      </c>
      <c r="FG100" s="14">
        <f t="shared" si="101"/>
        <v>3.9419014464513778E-12</v>
      </c>
      <c r="FH100" s="22">
        <f t="shared" si="76"/>
        <v>7.384408744560063E-12</v>
      </c>
      <c r="FI100" s="60">
        <f t="shared" si="77"/>
        <v>276.5454262793902</v>
      </c>
      <c r="FJ100" s="60">
        <f ca="1">AVERAGE(OFFSET($FI$3,0,0,'Données projet'!$E$16+1,1))-AVERAGE(OFFSET($H$3,0,0,'Données projet'!$E$16+1,1))</f>
        <v>363.28611056308665</v>
      </c>
      <c r="FK100" s="60">
        <f t="shared" si="102"/>
        <v>389.43647559455974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3.5897435897435912</v>
      </c>
      <c r="FZ100" s="13">
        <f>IF('Données projet'!$A$244&gt;35,FZ99+FY100-GH99,IF(A100&lt;'Données projet'!$A$244,$FW$205^A100,IF(A100='Données projet'!$A$244,'Données projet'!$B$244,FZ99+FY100-GH99)))</f>
        <v>296.92307692307708</v>
      </c>
      <c r="GA100" s="18">
        <f>FZ100*VLOOKUP('Données projet'!$B$17,Paramètres!$A$1:$I$89,3,0)*VLOOKUP('Données projet'!$B$17,Paramètres!$A$1:$I$89,5,0)</f>
        <v>199.1760000000001</v>
      </c>
      <c r="GB100" s="14">
        <f t="shared" si="103"/>
        <v>49.563033976114944</v>
      </c>
      <c r="GC100" s="22">
        <f t="shared" si="79"/>
        <v>433.22048417506704</v>
      </c>
      <c r="GD100" s="60">
        <f t="shared" si="80"/>
        <v>709.76591045444979</v>
      </c>
      <c r="GE100" s="60">
        <f ca="1">AVERAGE(OFFSET($GD$3,0,0,'Données projet'!$E$17+1,1))-AVERAGE(OFFSET($H$3,0,0,'Données projet'!$E$17+1,1))</f>
        <v>344.62096650402731</v>
      </c>
      <c r="GF100" s="60">
        <f t="shared" si="104"/>
        <v>277.30931495079346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7.2</v>
      </c>
      <c r="N101" s="14">
        <f>IF('Données projet'!$A$36&gt;35,N100+M101-V100,IF(A101&lt;'Données projet'!$A$36,$K$205^A101,IF(A101='Données projet'!$A$36,'Données projet'!$B$36,N100+M101-V100)))</f>
        <v>434.59999999999957</v>
      </c>
      <c r="O101" s="14">
        <f>N101*VLOOKUP('Données projet'!$B$9,Paramètres!$A$1:$I$89,3,0)*VLOOKUP('Données projet'!$B$9,Paramètres!$A$1:$I$89,5,0)</f>
        <v>372.88679999999965</v>
      </c>
      <c r="P101" s="14">
        <f t="shared" si="87"/>
        <v>86.257627891851499</v>
      </c>
      <c r="Q101" s="22">
        <f t="shared" si="107"/>
        <v>799.67654524497402</v>
      </c>
      <c r="R101" s="60">
        <f t="shared" si="55"/>
        <v>1076.5132041796055</v>
      </c>
      <c r="S101" s="60">
        <f ca="1">AVERAGE(OFFSET($R$3,0,0,'Données projet'!$E$9+1,1))-AVERAGE(OFFSET($H$3,0,0,'Données projet'!$E$9+1,1))</f>
        <v>632.26350546340541</v>
      </c>
      <c r="T101" s="60">
        <f t="shared" si="88"/>
        <v>340.45335016367915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3.4106051316484809E-13</v>
      </c>
      <c r="AJ101" s="14">
        <f>AI101*VLOOKUP('Données projet'!$B$10,Paramètres!$A$1:$I$89,3,0)*VLOOKUP('Données projet'!$B$10,Paramètres!$A$1:$I$89,5,0)</f>
        <v>2.7134774427395314E-13</v>
      </c>
      <c r="AK101" s="14">
        <f t="shared" si="89"/>
        <v>3.6292411711343559E-12</v>
      </c>
      <c r="AL101" s="22">
        <f t="shared" si="58"/>
        <v>6.7935256943361388E-12</v>
      </c>
      <c r="AM101" s="60">
        <f t="shared" si="59"/>
        <v>276.83665893463819</v>
      </c>
      <c r="AN101" s="60">
        <f ca="1">AVERAGE(OFFSET($AM$3,0,0,'Données projet'!$E$10+1,1))-AVERAGE(OFFSET($H$3,0,0,'Données projet'!$E$10+1,1))</f>
        <v>336.25341821407534</v>
      </c>
      <c r="AO101" s="60">
        <f t="shared" si="90"/>
        <v>360.3246221345039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2.7134774427395314E-13</v>
      </c>
      <c r="BF101" s="14">
        <f t="shared" si="91"/>
        <v>3.6292411711343559E-12</v>
      </c>
      <c r="BG101" s="22">
        <f t="shared" si="61"/>
        <v>6.7935256943361388E-12</v>
      </c>
      <c r="BH101" s="60">
        <f t="shared" si="62"/>
        <v>276.83665893463819</v>
      </c>
      <c r="BI101" s="60">
        <f ca="1">AVERAGE(OFFSET($BH$3,0,0,'Données projet'!$E$11+1,1))-AVERAGE(OFFSET($H$3,0,0,'Données projet'!$E$11+1,1))</f>
        <v>336.25341821407534</v>
      </c>
      <c r="BJ101" s="60">
        <f t="shared" si="92"/>
        <v>360.3246221345039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265.28735999999992</v>
      </c>
      <c r="CA101" s="14">
        <f t="shared" si="93"/>
        <v>63.84810550096995</v>
      </c>
      <c r="CB101" s="22">
        <f t="shared" si="64"/>
        <v>573.24426908085582</v>
      </c>
      <c r="CC101" s="60">
        <f t="shared" si="65"/>
        <v>850.08092801548719</v>
      </c>
      <c r="CD101" s="60">
        <f ca="1">AVERAGE(OFFSET($CC$3,0,0,'Données projet'!$E$12+1,1))-AVERAGE(OFFSET($H$3,0,0,'Données projet'!$E$12+1,1))</f>
        <v>469.67944008675863</v>
      </c>
      <c r="CE101" s="60">
        <f t="shared" si="94"/>
        <v>266.11908070867173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8.8675733422860506E-14</v>
      </c>
      <c r="CV101" s="14">
        <f t="shared" si="95"/>
        <v>1.3509285393066301E-12</v>
      </c>
      <c r="CW101" s="22">
        <f t="shared" si="67"/>
        <v>2.5073107750038623E-12</v>
      </c>
      <c r="CX101" s="60">
        <f t="shared" si="68"/>
        <v>276.83665893463387</v>
      </c>
      <c r="CY101" s="60">
        <f ca="1">AVERAGE(OFFSET($CX$3,0,0,'Données projet'!$E$13+1,1))-AVERAGE(OFFSET($H$3,0,0,'Données projet'!$E$13+1,1))</f>
        <v>312.59632808777332</v>
      </c>
      <c r="CZ101" s="60">
        <f t="shared" si="96"/>
        <v>302.59481222418219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3.3333333333333313</v>
      </c>
      <c r="DO101" s="13">
        <f>IF('Données projet'!$A$166&gt;35,DO100+DN101-DW100,IF(A101&lt;'Données projet'!$A$166,$DL$205^A101,IF(A101='Données projet'!$A$166,'Données projet'!$B$166,DO100+DN101-DW100)))</f>
        <v>239.48717948717945</v>
      </c>
      <c r="DP101" s="18">
        <f>DO101*VLOOKUP('Données projet'!$B$14,Paramètres!$A$1:$I$89,3,0)*VLOOKUP('Données projet'!$B$14,Paramètres!$A$1:$I$89,5,0)</f>
        <v>227.89599999999999</v>
      </c>
      <c r="DQ101" s="14">
        <f t="shared" si="97"/>
        <v>55.827504502630809</v>
      </c>
      <c r="DR101" s="22">
        <f t="shared" si="70"/>
        <v>494.15177034208205</v>
      </c>
      <c r="DS101" s="60">
        <f t="shared" si="71"/>
        <v>770.98842927671342</v>
      </c>
      <c r="DT101" s="60">
        <f ca="1">AVERAGE(OFFSET($DS$3,0,0,'Données projet'!$E$14+1,1))-AVERAGE(OFFSET($H$3,0,0,'Données projet'!$E$14+1,1))</f>
        <v>398.29746143975166</v>
      </c>
      <c r="DU101" s="60">
        <f t="shared" si="98"/>
        <v>300.63705521148802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4.9000000000000004</v>
      </c>
      <c r="EJ101" s="13">
        <f>IF('Données projet'!$A$192&gt;35,EJ100+EI101-ER100,IF(A101&lt;'Données projet'!$A$192,$EG$205^A101,IF(A101='Données projet'!$A$192,'Données projet'!$B$192,EJ100+EI101-ER100)))</f>
        <v>293.19999999999987</v>
      </c>
      <c r="EK101" s="18">
        <f>EJ101*VLOOKUP('Données projet'!$B$15,Paramètres!$A$1:$I$89,3,0)*VLOOKUP('Données projet'!$B$15,Paramètres!$A$1:$I$89,5,0)</f>
        <v>283.58303999999993</v>
      </c>
      <c r="EL101" s="14">
        <f t="shared" si="99"/>
        <v>67.723646968605209</v>
      </c>
      <c r="EM101" s="22">
        <f t="shared" si="73"/>
        <v>611.85914647032064</v>
      </c>
      <c r="EN101" s="60">
        <f t="shared" si="74"/>
        <v>888.69580540495201</v>
      </c>
      <c r="EO101" s="60">
        <f ca="1">AVERAGE(OFFSET($EN$3,0,0,'Données projet'!$E$15+1,1))-AVERAGE(OFFSET($H$3,0,0,'Données projet'!$E$15+1,1))</f>
        <v>496.33873798282525</v>
      </c>
      <c r="EP101" s="60">
        <f t="shared" si="100"/>
        <v>280.25465074992246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3.4106051316484809E-13</v>
      </c>
      <c r="FF101" s="18">
        <f>FE101*VLOOKUP('Données projet'!$B$16,Paramètres!$A$1:$I$89,3,0)*VLOOKUP('Données projet'!$B$16,Paramètres!$A$1:$I$89,5,0)</f>
        <v>2.9795046430081134E-13</v>
      </c>
      <c r="FG101" s="14">
        <f t="shared" si="101"/>
        <v>3.9419014464513778E-12</v>
      </c>
      <c r="FH101" s="22">
        <f t="shared" si="76"/>
        <v>7.384408744560063E-12</v>
      </c>
      <c r="FI101" s="60">
        <f t="shared" si="77"/>
        <v>276.83665893463876</v>
      </c>
      <c r="FJ101" s="60">
        <f ca="1">AVERAGE(OFFSET($FI$3,0,0,'Données projet'!$E$16+1,1))-AVERAGE(OFFSET($H$3,0,0,'Données projet'!$E$16+1,1))</f>
        <v>363.28611056308665</v>
      </c>
      <c r="FK101" s="60">
        <f t="shared" si="102"/>
        <v>389.43647559455974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3.5897435897435912</v>
      </c>
      <c r="FZ101" s="13">
        <f>IF('Données projet'!$A$244&gt;35,FZ100+FY101-GH100,IF(A101&lt;'Données projet'!$A$244,$FW$205^A101,IF(A101='Données projet'!$A$244,'Données projet'!$B$244,FZ100+FY101-GH100)))</f>
        <v>300.51282051282067</v>
      </c>
      <c r="GA101" s="18">
        <f>FZ101*VLOOKUP('Données projet'!$B$17,Paramètres!$A$1:$I$89,3,0)*VLOOKUP('Données projet'!$B$17,Paramètres!$A$1:$I$89,5,0)</f>
        <v>201.58400000000009</v>
      </c>
      <c r="GB101" s="14">
        <f t="shared" si="103"/>
        <v>50.092122991789054</v>
      </c>
      <c r="GC101" s="22">
        <f t="shared" si="79"/>
        <v>438.33591421069946</v>
      </c>
      <c r="GD101" s="60">
        <f t="shared" si="80"/>
        <v>715.17257314533083</v>
      </c>
      <c r="GE101" s="60">
        <f ca="1">AVERAGE(OFFSET($GD$3,0,0,'Données projet'!$E$17+1,1))-AVERAGE(OFFSET($H$3,0,0,'Données projet'!$E$17+1,1))</f>
        <v>344.62096650402731</v>
      </c>
      <c r="GF101" s="60">
        <f t="shared" si="104"/>
        <v>277.30931495079346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7.2</v>
      </c>
      <c r="N102" s="14">
        <f>IF('Données projet'!$A$36&gt;35,N101+M102-V101,IF(A102&lt;'Données projet'!$A$36,$K$205^A102,IF(A102='Données projet'!$A$36,'Données projet'!$B$36,N101+M102-V101)))</f>
        <v>441.79999999999956</v>
      </c>
      <c r="O102" s="14">
        <f>N102*VLOOKUP('Données projet'!$B$9,Paramètres!$A$1:$I$89,3,0)*VLOOKUP('Données projet'!$B$9,Paramètres!$A$1:$I$89,5,0)</f>
        <v>379.06439999999969</v>
      </c>
      <c r="P102" s="14">
        <f t="shared" si="87"/>
        <v>87.519105676243626</v>
      </c>
      <c r="Q102" s="22">
        <f t="shared" si="107"/>
        <v>812.63293905279045</v>
      </c>
      <c r="R102" s="60">
        <f t="shared" si="55"/>
        <v>1089.7557784072005</v>
      </c>
      <c r="S102" s="60">
        <f ca="1">AVERAGE(OFFSET($R$3,0,0,'Données projet'!$E$9+1,1))-AVERAGE(OFFSET($H$3,0,0,'Données projet'!$E$9+1,1))</f>
        <v>632.26350546340541</v>
      </c>
      <c r="T102" s="60">
        <f t="shared" si="88"/>
        <v>340.45335016367915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3.4106051316484809E-13</v>
      </c>
      <c r="AJ102" s="14">
        <f>AI102*VLOOKUP('Données projet'!$B$10,Paramètres!$A$1:$I$89,3,0)*VLOOKUP('Données projet'!$B$10,Paramètres!$A$1:$I$89,5,0)</f>
        <v>2.7134774427395314E-13</v>
      </c>
      <c r="AK102" s="14">
        <f t="shared" si="89"/>
        <v>3.6292411711343559E-12</v>
      </c>
      <c r="AL102" s="22">
        <f t="shared" si="58"/>
        <v>6.7935256943361388E-12</v>
      </c>
      <c r="AM102" s="60">
        <f t="shared" si="59"/>
        <v>277.12283935441695</v>
      </c>
      <c r="AN102" s="60">
        <f ca="1">AVERAGE(OFFSET($AM$3,0,0,'Données projet'!$E$10+1,1))-AVERAGE(OFFSET($H$3,0,0,'Données projet'!$E$10+1,1))</f>
        <v>336.25341821407534</v>
      </c>
      <c r="AO102" s="60">
        <f t="shared" si="90"/>
        <v>360.3246221345039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2.7134774427395314E-13</v>
      </c>
      <c r="BF102" s="14">
        <f t="shared" si="91"/>
        <v>3.6292411711343559E-12</v>
      </c>
      <c r="BG102" s="22">
        <f t="shared" si="61"/>
        <v>6.7935256943361388E-12</v>
      </c>
      <c r="BH102" s="60">
        <f t="shared" si="62"/>
        <v>277.12283935441695</v>
      </c>
      <c r="BI102" s="60">
        <f ca="1">AVERAGE(OFFSET($BH$3,0,0,'Données projet'!$E$11+1,1))-AVERAGE(OFFSET($H$3,0,0,'Données projet'!$E$11+1,1))</f>
        <v>336.25341821407534</v>
      </c>
      <c r="BJ102" s="60">
        <f t="shared" si="92"/>
        <v>360.3246221345039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269.72087999999985</v>
      </c>
      <c r="CA102" s="14">
        <f t="shared" si="93"/>
        <v>64.790029413946939</v>
      </c>
      <c r="CB102" s="22">
        <f t="shared" si="64"/>
        <v>582.60650056262409</v>
      </c>
      <c r="CC102" s="60">
        <f t="shared" si="65"/>
        <v>859.72933991703417</v>
      </c>
      <c r="CD102" s="60">
        <f ca="1">AVERAGE(OFFSET($CC$3,0,0,'Données projet'!$E$12+1,1))-AVERAGE(OFFSET($H$3,0,0,'Données projet'!$E$12+1,1))</f>
        <v>469.67944008675863</v>
      </c>
      <c r="CE102" s="60">
        <f t="shared" si="94"/>
        <v>266.11908070867173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8.8675733422860506E-14</v>
      </c>
      <c r="CV102" s="14">
        <f t="shared" si="95"/>
        <v>1.3509285393066301E-12</v>
      </c>
      <c r="CW102" s="22">
        <f t="shared" si="67"/>
        <v>2.5073107750038623E-12</v>
      </c>
      <c r="CX102" s="60">
        <f t="shared" si="68"/>
        <v>277.12283935441263</v>
      </c>
      <c r="CY102" s="60">
        <f ca="1">AVERAGE(OFFSET($CX$3,0,0,'Données projet'!$E$13+1,1))-AVERAGE(OFFSET($H$3,0,0,'Données projet'!$E$13+1,1))</f>
        <v>312.59632808777332</v>
      </c>
      <c r="CZ102" s="60">
        <f t="shared" si="96"/>
        <v>302.59481222418219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3.3333333333333313</v>
      </c>
      <c r="DO102" s="13">
        <f>IF('Données projet'!$A$166&gt;35,DO101+DN102-DW101,IF(A102&lt;'Données projet'!$A$166,$DL$205^A102,IF(A102='Données projet'!$A$166,'Données projet'!$B$166,DO101+DN102-DW101)))</f>
        <v>242.82051282051279</v>
      </c>
      <c r="DP102" s="18">
        <f>DO102*VLOOKUP('Données projet'!$B$14,Paramètres!$A$1:$I$89,3,0)*VLOOKUP('Données projet'!$B$14,Paramètres!$A$1:$I$89,5,0)</f>
        <v>231.06799999999998</v>
      </c>
      <c r="DQ102" s="14">
        <f t="shared" si="97"/>
        <v>56.513545800555768</v>
      </c>
      <c r="DR102" s="22">
        <f t="shared" si="70"/>
        <v>500.87119226930128</v>
      </c>
      <c r="DS102" s="60">
        <f t="shared" si="71"/>
        <v>777.99403162371141</v>
      </c>
      <c r="DT102" s="60">
        <f ca="1">AVERAGE(OFFSET($DS$3,0,0,'Données projet'!$E$14+1,1))-AVERAGE(OFFSET($H$3,0,0,'Données projet'!$E$14+1,1))</f>
        <v>398.29746143975166</v>
      </c>
      <c r="DU102" s="60">
        <f t="shared" si="98"/>
        <v>300.63705521148802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4.9000000000000004</v>
      </c>
      <c r="EJ102" s="13">
        <f>IF('Données projet'!$A$192&gt;35,EJ101+EI102-ER101,IF(A102&lt;'Données projet'!$A$192,$EG$205^A102,IF(A102='Données projet'!$A$192,'Données projet'!$B$192,EJ101+EI102-ER101)))</f>
        <v>298.09999999999985</v>
      </c>
      <c r="EK102" s="18">
        <f>EJ102*VLOOKUP('Données projet'!$B$15,Paramètres!$A$1:$I$89,3,0)*VLOOKUP('Données projet'!$B$15,Paramètres!$A$1:$I$89,5,0)</f>
        <v>288.32231999999988</v>
      </c>
      <c r="EL102" s="14">
        <f t="shared" si="99"/>
        <v>68.722745094590621</v>
      </c>
      <c r="EM102" s="22">
        <f t="shared" si="73"/>
        <v>621.85348837307845</v>
      </c>
      <c r="EN102" s="60">
        <f t="shared" si="74"/>
        <v>898.97632772748852</v>
      </c>
      <c r="EO102" s="60">
        <f ca="1">AVERAGE(OFFSET($EN$3,0,0,'Données projet'!$E$15+1,1))-AVERAGE(OFFSET($H$3,0,0,'Données projet'!$E$15+1,1))</f>
        <v>496.33873798282525</v>
      </c>
      <c r="EP102" s="60">
        <f t="shared" si="100"/>
        <v>280.25465074992246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3.4106051316484809E-13</v>
      </c>
      <c r="FF102" s="18">
        <f>FE102*VLOOKUP('Données projet'!$B$16,Paramètres!$A$1:$I$89,3,0)*VLOOKUP('Données projet'!$B$16,Paramètres!$A$1:$I$89,5,0)</f>
        <v>2.9795046430081134E-13</v>
      </c>
      <c r="FG102" s="14">
        <f t="shared" si="101"/>
        <v>3.9419014464513778E-12</v>
      </c>
      <c r="FH102" s="22">
        <f t="shared" si="76"/>
        <v>7.384408744560063E-12</v>
      </c>
      <c r="FI102" s="60">
        <f t="shared" si="77"/>
        <v>277.12283935441752</v>
      </c>
      <c r="FJ102" s="60">
        <f ca="1">AVERAGE(OFFSET($FI$3,0,0,'Données projet'!$E$16+1,1))-AVERAGE(OFFSET($H$3,0,0,'Données projet'!$E$16+1,1))</f>
        <v>363.28611056308665</v>
      </c>
      <c r="FK102" s="60">
        <f t="shared" si="102"/>
        <v>389.43647559455974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3.5897435897435912</v>
      </c>
      <c r="FZ102" s="13">
        <f>IF('Données projet'!$A$244&gt;35,FZ101+FY102-GH101,IF(A102&lt;'Données projet'!$A$244,$FW$205^A102,IF(A102='Données projet'!$A$244,'Données projet'!$B$244,FZ101+FY102-GH101)))</f>
        <v>304.10256410256426</v>
      </c>
      <c r="GA102" s="18">
        <f>FZ102*VLOOKUP('Données projet'!$B$17,Paramètres!$A$1:$I$89,3,0)*VLOOKUP('Données projet'!$B$17,Paramètres!$A$1:$I$89,5,0)</f>
        <v>203.99200000000013</v>
      </c>
      <c r="GB102" s="14">
        <f t="shared" si="103"/>
        <v>50.620476831708423</v>
      </c>
      <c r="GC102" s="22">
        <f t="shared" si="79"/>
        <v>443.45006381522575</v>
      </c>
      <c r="GD102" s="60">
        <f t="shared" si="80"/>
        <v>720.57290316963588</v>
      </c>
      <c r="GE102" s="60">
        <f ca="1">AVERAGE(OFFSET($GD$3,0,0,'Données projet'!$E$17+1,1))-AVERAGE(OFFSET($H$3,0,0,'Données projet'!$E$17+1,1))</f>
        <v>344.62096650402731</v>
      </c>
      <c r="GF102" s="60">
        <f t="shared" si="104"/>
        <v>277.30931495079346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449</v>
      </c>
      <c r="L103" s="13">
        <f>VLOOKUP(A103,'Données projet'!$A$35:$I$55,9,0)</f>
        <v>7.2</v>
      </c>
      <c r="M103" s="13">
        <f t="array" ref="M103">INDEX(L:L,MIN(IF(ISNUMBER(L103:L299),ROW(L103:L299),"")))</f>
        <v>7.2</v>
      </c>
      <c r="N103" s="14">
        <f>IF('Données projet'!$A$36&gt;35,N102+M103-V102,IF(A103&lt;'Données projet'!$A$36,$K$205^A103,IF(A103='Données projet'!$A$36,'Données projet'!$B$36,N102+M103-V102)))</f>
        <v>448.99999999999955</v>
      </c>
      <c r="O103" s="14">
        <f>N103*VLOOKUP('Données projet'!$B$9,Paramètres!$A$1:$I$89,3,0)*VLOOKUP('Données projet'!$B$9,Paramètres!$A$1:$I$89,5,0)</f>
        <v>385.24199999999962</v>
      </c>
      <c r="P103" s="14">
        <f t="shared" si="87"/>
        <v>88.778192635344823</v>
      </c>
      <c r="Q103" s="22">
        <f t="shared" si="107"/>
        <v>825.58516883989148</v>
      </c>
      <c r="R103" s="60">
        <f t="shared" si="55"/>
        <v>1102.9892240236006</v>
      </c>
      <c r="S103" s="60">
        <f ca="1">AVERAGE(OFFSET($R$3,0,0,'Données projet'!$E$9+1,1))-AVERAGE(OFFSET($H$3,0,0,'Données projet'!$E$9+1,1))</f>
        <v>632.26350546340541</v>
      </c>
      <c r="T103" s="60">
        <f t="shared" si="88"/>
        <v>340.45335016367915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49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3.4106051316484809E-13</v>
      </c>
      <c r="AJ103" s="14">
        <f>AI103*VLOOKUP('Données projet'!$B$10,Paramètres!$A$1:$I$89,3,0)*VLOOKUP('Données projet'!$B$10,Paramètres!$A$1:$I$89,5,0)</f>
        <v>2.7134774427395314E-13</v>
      </c>
      <c r="AK103" s="14">
        <f t="shared" si="89"/>
        <v>3.6292411711343559E-12</v>
      </c>
      <c r="AL103" s="22">
        <f t="shared" si="58"/>
        <v>6.7935256943361388E-12</v>
      </c>
      <c r="AM103" s="60">
        <f t="shared" si="59"/>
        <v>277.40405518371603</v>
      </c>
      <c r="AN103" s="60">
        <f ca="1">AVERAGE(OFFSET($AM$3,0,0,'Données projet'!$E$10+1,1))-AVERAGE(OFFSET($H$3,0,0,'Données projet'!$E$10+1,1))</f>
        <v>336.25341821407534</v>
      </c>
      <c r="AO103" s="60">
        <f t="shared" si="90"/>
        <v>360.3246221345039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2.7134774427395314E-13</v>
      </c>
      <c r="BF103" s="14">
        <f t="shared" si="91"/>
        <v>3.6292411711343559E-12</v>
      </c>
      <c r="BG103" s="22">
        <f t="shared" si="61"/>
        <v>6.7935256943361388E-12</v>
      </c>
      <c r="BH103" s="60">
        <f t="shared" si="62"/>
        <v>277.40405518371603</v>
      </c>
      <c r="BI103" s="60">
        <f ca="1">AVERAGE(OFFSET($BH$3,0,0,'Données projet'!$E$11+1,1))-AVERAGE(OFFSET($H$3,0,0,'Données projet'!$E$11+1,1))</f>
        <v>336.25341821407534</v>
      </c>
      <c r="BJ103" s="60">
        <f t="shared" si="92"/>
        <v>360.3246221345039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274.15439999999984</v>
      </c>
      <c r="CA103" s="14">
        <f t="shared" si="93"/>
        <v>65.730152764515779</v>
      </c>
      <c r="CB103" s="22">
        <f t="shared" si="64"/>
        <v>591.9655960648646</v>
      </c>
      <c r="CC103" s="60">
        <f t="shared" si="65"/>
        <v>869.36965124857375</v>
      </c>
      <c r="CD103" s="60">
        <f ca="1">AVERAGE(OFFSET($CC$3,0,0,'Données projet'!$E$12+1,1))-AVERAGE(OFFSET($H$3,0,0,'Données projet'!$E$12+1,1))</f>
        <v>469.67944008675863</v>
      </c>
      <c r="CE103" s="60">
        <f t="shared" si="94"/>
        <v>266.11908070867173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8.8675733422860506E-14</v>
      </c>
      <c r="CV103" s="14">
        <f t="shared" si="95"/>
        <v>1.3509285393066301E-12</v>
      </c>
      <c r="CW103" s="22">
        <f t="shared" si="67"/>
        <v>2.5073107750038623E-12</v>
      </c>
      <c r="CX103" s="60">
        <f t="shared" si="68"/>
        <v>277.40405518371171</v>
      </c>
      <c r="CY103" s="60">
        <f ca="1">AVERAGE(OFFSET($CX$3,0,0,'Données projet'!$E$13+1,1))-AVERAGE(OFFSET($H$3,0,0,'Données projet'!$E$13+1,1))</f>
        <v>312.59632808777332</v>
      </c>
      <c r="CZ103" s="60">
        <f t="shared" si="96"/>
        <v>302.59481222418219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246.15384615384613</v>
      </c>
      <c r="DM103" s="13">
        <f>VLOOKUP(A103,'Données projet'!$A$165:$I$185,9,0)</f>
        <v>3.3333333333333313</v>
      </c>
      <c r="DN103" s="13">
        <f t="array" ref="DN103">INDEX(DM:DM,MIN(IF(ISNUMBER(DM103:DM299),ROW(DM103:DM299),"")))</f>
        <v>3.3333333333333313</v>
      </c>
      <c r="DO103" s="13">
        <f>IF('Données projet'!$A$166&gt;35,DO102+DN103-DW102,IF(A103&lt;'Données projet'!$A$166,$DL$205^A103,IF(A103='Données projet'!$A$166,'Données projet'!$B$166,DO102+DN103-DW102)))</f>
        <v>246.15384615384613</v>
      </c>
      <c r="DP103" s="18">
        <f>DO103*VLOOKUP('Données projet'!$B$14,Paramètres!$A$1:$I$89,3,0)*VLOOKUP('Données projet'!$B$14,Paramètres!$A$1:$I$89,5,0)</f>
        <v>234.23999999999998</v>
      </c>
      <c r="DQ103" s="14">
        <f t="shared" si="97"/>
        <v>57.19849172024869</v>
      </c>
      <c r="DR103" s="22">
        <f t="shared" si="70"/>
        <v>507.58870641276644</v>
      </c>
      <c r="DS103" s="60">
        <f t="shared" si="71"/>
        <v>784.9927615964757</v>
      </c>
      <c r="DT103" s="60">
        <f ca="1">AVERAGE(OFFSET($DS$3,0,0,'Données projet'!$E$14+1,1))-AVERAGE(OFFSET($H$3,0,0,'Données projet'!$E$14+1,1))</f>
        <v>398.29746143975166</v>
      </c>
      <c r="DU103" s="60">
        <f t="shared" si="98"/>
        <v>300.63705521148802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23.717948717948715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303</v>
      </c>
      <c r="EH103" s="13">
        <f>VLOOKUP(A103,'Données projet'!$A$191:$I$211,9,0)</f>
        <v>4.9000000000000004</v>
      </c>
      <c r="EI103" s="13">
        <f t="array" ref="EI103">INDEX(EH:EH,MIN(IF(ISNUMBER(EH103:EH299),ROW(EH103:EH299),"")))</f>
        <v>4.9000000000000004</v>
      </c>
      <c r="EJ103" s="13">
        <f>IF('Données projet'!$A$192&gt;35,EJ102+EI103-ER102,IF(A103&lt;'Données projet'!$A$192,$EG$205^A103,IF(A103='Données projet'!$A$192,'Données projet'!$B$192,EJ102+EI103-ER102)))</f>
        <v>302.99999999999983</v>
      </c>
      <c r="EK103" s="18">
        <f>EJ103*VLOOKUP('Données projet'!$B$15,Paramètres!$A$1:$I$89,3,0)*VLOOKUP('Données projet'!$B$15,Paramètres!$A$1:$I$89,5,0)</f>
        <v>293.06159999999983</v>
      </c>
      <c r="EL103" s="14">
        <f t="shared" si="99"/>
        <v>69.719933365116546</v>
      </c>
      <c r="EM103" s="22">
        <f t="shared" si="73"/>
        <v>631.84450394424437</v>
      </c>
      <c r="EN103" s="60">
        <f t="shared" si="74"/>
        <v>909.24855912795351</v>
      </c>
      <c r="EO103" s="60">
        <f ca="1">AVERAGE(OFFSET($EN$3,0,0,'Données projet'!$E$15+1,1))-AVERAGE(OFFSET($H$3,0,0,'Données projet'!$E$15+1,1))</f>
        <v>496.33873798282525</v>
      </c>
      <c r="EP103" s="60">
        <f t="shared" si="100"/>
        <v>280.25465074992246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42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3.4106051316484809E-13</v>
      </c>
      <c r="FF103" s="18">
        <f>FE103*VLOOKUP('Données projet'!$B$16,Paramètres!$A$1:$I$89,3,0)*VLOOKUP('Données projet'!$B$16,Paramètres!$A$1:$I$89,5,0)</f>
        <v>2.9795046430081134E-13</v>
      </c>
      <c r="FG103" s="14">
        <f t="shared" si="101"/>
        <v>3.9419014464513778E-12</v>
      </c>
      <c r="FH103" s="22">
        <f t="shared" si="76"/>
        <v>7.384408744560063E-12</v>
      </c>
      <c r="FI103" s="60">
        <f t="shared" si="77"/>
        <v>277.40405518371659</v>
      </c>
      <c r="FJ103" s="60">
        <f ca="1">AVERAGE(OFFSET($FI$3,0,0,'Données projet'!$E$16+1,1))-AVERAGE(OFFSET($H$3,0,0,'Données projet'!$E$16+1,1))</f>
        <v>363.28611056308665</v>
      </c>
      <c r="FK103" s="60">
        <f t="shared" si="102"/>
        <v>389.43647559455974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307.69230769230768</v>
      </c>
      <c r="FX103" s="13">
        <f>VLOOKUP(A103,'Données projet'!$A$243:$I$263,9,0)</f>
        <v>3.5897435897435912</v>
      </c>
      <c r="FY103" s="13">
        <f t="array" ref="FY103">INDEX(FX:FX,MIN(IF(ISNUMBER(FX103:FX299),ROW(FX103:FX299),"")))</f>
        <v>3.5897435897435912</v>
      </c>
      <c r="FZ103" s="13">
        <f>IF('Données projet'!$A$244&gt;35,FZ102+FY103-GH102,IF(A103&lt;'Données projet'!$A$244,$FW$205^A103,IF(A103='Données projet'!$A$244,'Données projet'!$B$244,FZ102+FY103-GH102)))</f>
        <v>307.69230769230785</v>
      </c>
      <c r="GA103" s="18">
        <f>FZ103*VLOOKUP('Données projet'!$B$17,Paramètres!$A$1:$I$89,3,0)*VLOOKUP('Données projet'!$B$17,Paramètres!$A$1:$I$89,5,0)</f>
        <v>206.40000000000012</v>
      </c>
      <c r="GB103" s="14">
        <f t="shared" si="103"/>
        <v>51.148105178123259</v>
      </c>
      <c r="GC103" s="22">
        <f t="shared" si="79"/>
        <v>448.56294985189817</v>
      </c>
      <c r="GD103" s="60">
        <f t="shared" si="80"/>
        <v>725.96700503560737</v>
      </c>
      <c r="GE103" s="60">
        <f ca="1">AVERAGE(OFFSET($GD$3,0,0,'Données projet'!$E$17+1,1))-AVERAGE(OFFSET($H$3,0,0,'Données projet'!$E$17+1,1))</f>
        <v>344.62096650402731</v>
      </c>
      <c r="GF103" s="60">
        <f t="shared" si="104"/>
        <v>277.30931495079346</v>
      </c>
      <c r="GG103" s="16">
        <f>IF(ISNA(VLOOKUP(A103,'Données projet'!$A$243:$I$263,3,0)),0,VLOOKUP(A103,'Données projet'!$A$243:$I$263,3,0))</f>
        <v>9</v>
      </c>
      <c r="GH103" s="16">
        <f>IF(ISNA(VLOOKUP(A103,'Données projet'!$A$243:$I$263,4,0)),0,VLOOKUP(A103,'Données projet'!$A$243:$I$263,4,0))</f>
        <v>22.435897435897434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6.3</v>
      </c>
      <c r="N104" s="14">
        <f>IF('Données projet'!$A$36&gt;35,N103+M104-V103,IF(A104&lt;'Données projet'!$A$36,$K$205^A104,IF(A104='Données projet'!$A$36,'Données projet'!$B$36,N103+M104-V103)))</f>
        <v>406.29999999999956</v>
      </c>
      <c r="O104" s="14">
        <f>N104*VLOOKUP('Données projet'!$B$9,Paramètres!$A$1:$I$89,3,0)*VLOOKUP('Données projet'!$B$9,Paramètres!$A$1:$I$89,5,0)</f>
        <v>348.60539999999969</v>
      </c>
      <c r="P104" s="14">
        <f t="shared" si="87"/>
        <v>81.27528192186054</v>
      </c>
      <c r="Q104" s="22">
        <f t="shared" si="107"/>
        <v>748.70885434723994</v>
      </c>
      <c r="R104" s="60">
        <f t="shared" si="55"/>
        <v>1026.3892468943143</v>
      </c>
      <c r="S104" s="60">
        <f ca="1">AVERAGE(OFFSET($R$3,0,0,'Données projet'!$E$9+1,1))-AVERAGE(OFFSET($H$3,0,0,'Données projet'!$E$9+1,1))</f>
        <v>632.26350546340541</v>
      </c>
      <c r="T104" s="60">
        <f t="shared" si="88"/>
        <v>340.45335016367915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3.4106051316484809E-13</v>
      </c>
      <c r="AJ104" s="14">
        <f>AI104*VLOOKUP('Données projet'!$B$10,Paramètres!$A$1:$I$89,3,0)*VLOOKUP('Données projet'!$B$10,Paramètres!$A$1:$I$89,5,0)</f>
        <v>2.7134774427395314E-13</v>
      </c>
      <c r="AK104" s="14">
        <f t="shared" si="89"/>
        <v>3.6292411711343559E-12</v>
      </c>
      <c r="AL104" s="22">
        <f t="shared" si="58"/>
        <v>6.7935256943361388E-12</v>
      </c>
      <c r="AM104" s="60">
        <f t="shared" si="59"/>
        <v>277.68039254708123</v>
      </c>
      <c r="AN104" s="60">
        <f ca="1">AVERAGE(OFFSET($AM$3,0,0,'Données projet'!$E$10+1,1))-AVERAGE(OFFSET($H$3,0,0,'Données projet'!$E$10+1,1))</f>
        <v>336.25341821407534</v>
      </c>
      <c r="AO104" s="60">
        <f t="shared" si="90"/>
        <v>360.3246221345039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2.7134774427395314E-13</v>
      </c>
      <c r="BF104" s="14">
        <f t="shared" si="91"/>
        <v>3.6292411711343559E-12</v>
      </c>
      <c r="BG104" s="22">
        <f t="shared" si="61"/>
        <v>6.7935256943361388E-12</v>
      </c>
      <c r="BH104" s="60">
        <f t="shared" si="62"/>
        <v>277.68039254708123</v>
      </c>
      <c r="BI104" s="60">
        <f ca="1">AVERAGE(OFFSET($BH$3,0,0,'Données projet'!$E$11+1,1))-AVERAGE(OFFSET($H$3,0,0,'Données projet'!$E$11+1,1))</f>
        <v>336.25341821407534</v>
      </c>
      <c r="BJ104" s="60">
        <f t="shared" si="92"/>
        <v>360.3246221345039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240.13391999999982</v>
      </c>
      <c r="CA104" s="14">
        <f t="shared" si="93"/>
        <v>58.468343087048559</v>
      </c>
      <c r="CB104" s="22">
        <f t="shared" si="64"/>
        <v>520.06560820994252</v>
      </c>
      <c r="CC104" s="60">
        <f t="shared" si="65"/>
        <v>797.74600075701687</v>
      </c>
      <c r="CD104" s="60">
        <f ca="1">AVERAGE(OFFSET($CC$3,0,0,'Données projet'!$E$12+1,1))-AVERAGE(OFFSET($H$3,0,0,'Données projet'!$E$12+1,1))</f>
        <v>469.67944008675863</v>
      </c>
      <c r="CE104" s="60">
        <f t="shared" si="94"/>
        <v>266.11908070867173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8.8675733422860506E-14</v>
      </c>
      <c r="CV104" s="14">
        <f t="shared" si="95"/>
        <v>1.3509285393066301E-12</v>
      </c>
      <c r="CW104" s="22">
        <f t="shared" si="67"/>
        <v>2.5073107750038623E-12</v>
      </c>
      <c r="CX104" s="60">
        <f t="shared" si="68"/>
        <v>277.68039254707691</v>
      </c>
      <c r="CY104" s="60">
        <f ca="1">AVERAGE(OFFSET($CX$3,0,0,'Données projet'!$E$13+1,1))-AVERAGE(OFFSET($H$3,0,0,'Données projet'!$E$13+1,1))</f>
        <v>312.59632808777332</v>
      </c>
      <c r="CZ104" s="60">
        <f t="shared" si="96"/>
        <v>302.59481222418219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3.0769230769230802</v>
      </c>
      <c r="DO104" s="13">
        <f>IF('Données projet'!$A$166&gt;35,DO103+DN104-DW103,IF(A104&lt;'Données projet'!$A$166,$DL$205^A104,IF(A104='Données projet'!$A$166,'Données projet'!$B$166,DO103+DN104-DW103)))</f>
        <v>225.5128205128205</v>
      </c>
      <c r="DP104" s="18">
        <f>DO104*VLOOKUP('Données projet'!$B$14,Paramètres!$A$1:$I$89,3,0)*VLOOKUP('Données projet'!$B$14,Paramètres!$A$1:$I$89,5,0)</f>
        <v>214.59800000000001</v>
      </c>
      <c r="DQ104" s="14">
        <f t="shared" si="97"/>
        <v>52.939094303283817</v>
      </c>
      <c r="DR104" s="22">
        <f t="shared" si="70"/>
        <v>465.96043924488595</v>
      </c>
      <c r="DS104" s="60">
        <f t="shared" si="71"/>
        <v>743.64083179196041</v>
      </c>
      <c r="DT104" s="60">
        <f ca="1">AVERAGE(OFFSET($DS$3,0,0,'Données projet'!$E$14+1,1))-AVERAGE(OFFSET($H$3,0,0,'Données projet'!$E$14+1,1))</f>
        <v>398.29746143975166</v>
      </c>
      <c r="DU104" s="60">
        <f t="shared" si="98"/>
        <v>300.63705521148802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4.4000000000000004</v>
      </c>
      <c r="EJ104" s="13">
        <f>IF('Données projet'!$A$192&gt;35,EJ103+EI104-ER103,IF(A104&lt;'Données projet'!$A$192,$EG$205^A104,IF(A104='Données projet'!$A$192,'Données projet'!$B$192,EJ103+EI104-ER103)))</f>
        <v>265.39999999999981</v>
      </c>
      <c r="EK104" s="18">
        <f>EJ104*VLOOKUP('Données projet'!$B$15,Paramètres!$A$1:$I$89,3,0)*VLOOKUP('Données projet'!$B$15,Paramètres!$A$1:$I$89,5,0)</f>
        <v>256.69487999999984</v>
      </c>
      <c r="EL104" s="14">
        <f t="shared" si="99"/>
        <v>62.017336223177502</v>
      </c>
      <c r="EM104" s="22">
        <f t="shared" si="73"/>
        <v>555.09044325536718</v>
      </c>
      <c r="EN104" s="60">
        <f t="shared" si="74"/>
        <v>832.77083580244152</v>
      </c>
      <c r="EO104" s="60">
        <f ca="1">AVERAGE(OFFSET($EN$3,0,0,'Données projet'!$E$15+1,1))-AVERAGE(OFFSET($H$3,0,0,'Données projet'!$E$15+1,1))</f>
        <v>496.33873798282525</v>
      </c>
      <c r="EP104" s="60">
        <f t="shared" si="100"/>
        <v>280.25465074992246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3.4106051316484809E-13</v>
      </c>
      <c r="FF104" s="18">
        <f>FE104*VLOOKUP('Données projet'!$B$16,Paramètres!$A$1:$I$89,3,0)*VLOOKUP('Données projet'!$B$16,Paramètres!$A$1:$I$89,5,0)</f>
        <v>2.9795046430081134E-13</v>
      </c>
      <c r="FG104" s="14">
        <f t="shared" si="101"/>
        <v>3.9419014464513778E-12</v>
      </c>
      <c r="FH104" s="22">
        <f t="shared" si="76"/>
        <v>7.384408744560063E-12</v>
      </c>
      <c r="FI104" s="60">
        <f t="shared" si="77"/>
        <v>277.68039254708179</v>
      </c>
      <c r="FJ104" s="60">
        <f ca="1">AVERAGE(OFFSET($FI$3,0,0,'Données projet'!$E$16+1,1))-AVERAGE(OFFSET($H$3,0,0,'Données projet'!$E$16+1,1))</f>
        <v>363.28611056308665</v>
      </c>
      <c r="FK104" s="60">
        <f t="shared" si="102"/>
        <v>389.43647559455974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3.2051282051282102</v>
      </c>
      <c r="FZ104" s="13">
        <f>IF('Données projet'!$A$244&gt;35,FZ103+FY104-GH103,IF(A104&lt;'Données projet'!$A$244,$FW$205^A104,IF(A104='Données projet'!$A$244,'Données projet'!$B$244,FZ103+FY104-GH103)))</f>
        <v>288.46153846153862</v>
      </c>
      <c r="GA104" s="18">
        <f>FZ104*VLOOKUP('Données projet'!$B$17,Paramètres!$A$1:$I$89,3,0)*VLOOKUP('Données projet'!$B$17,Paramètres!$A$1:$I$89,5,0)</f>
        <v>193.50000000000011</v>
      </c>
      <c r="GB104" s="14">
        <f t="shared" si="103"/>
        <v>48.312929194247467</v>
      </c>
      <c r="GC104" s="22">
        <f t="shared" si="79"/>
        <v>421.15751834664781</v>
      </c>
      <c r="GD104" s="60">
        <f t="shared" si="80"/>
        <v>698.83791089372221</v>
      </c>
      <c r="GE104" s="60">
        <f ca="1">AVERAGE(OFFSET($GD$3,0,0,'Données projet'!$E$17+1,1))-AVERAGE(OFFSET($H$3,0,0,'Données projet'!$E$17+1,1))</f>
        <v>344.62096650402731</v>
      </c>
      <c r="GF104" s="60">
        <f t="shared" si="104"/>
        <v>277.30931495079346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6.3</v>
      </c>
      <c r="N105" s="14">
        <f>IF('Données projet'!$A$36&gt;35,N104+M105-V104,IF(A105&lt;'Données projet'!$A$36,$K$205^A105,IF(A105='Données projet'!$A$36,'Données projet'!$B$36,N104+M105-V104)))</f>
        <v>412.59999999999957</v>
      </c>
      <c r="O105" s="14">
        <f>N105*VLOOKUP('Données projet'!$B$9,Paramètres!$A$1:$I$89,3,0)*VLOOKUP('Données projet'!$B$9,Paramètres!$A$1:$I$89,5,0)</f>
        <v>354.01079999999968</v>
      </c>
      <c r="P105" s="14">
        <f t="shared" si="87"/>
        <v>82.387828145377782</v>
      </c>
      <c r="Q105" s="22">
        <f t="shared" si="107"/>
        <v>760.06094401986581</v>
      </c>
      <c r="R105" s="60">
        <f t="shared" si="55"/>
        <v>1038.0128800948487</v>
      </c>
      <c r="S105" s="60">
        <f ca="1">AVERAGE(OFFSET($R$3,0,0,'Données projet'!$E$9+1,1))-AVERAGE(OFFSET($H$3,0,0,'Données projet'!$E$9+1,1))</f>
        <v>632.26350546340541</v>
      </c>
      <c r="T105" s="60">
        <f t="shared" si="88"/>
        <v>340.45335016367915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3.4106051316484809E-13</v>
      </c>
      <c r="AJ105" s="14">
        <f>AI105*VLOOKUP('Données projet'!$B$10,Paramètres!$A$1:$I$89,3,0)*VLOOKUP('Données projet'!$B$10,Paramètres!$A$1:$I$89,5,0)</f>
        <v>2.7134774427395314E-13</v>
      </c>
      <c r="AK105" s="14">
        <f t="shared" si="89"/>
        <v>3.6292411711343559E-12</v>
      </c>
      <c r="AL105" s="22">
        <f t="shared" si="58"/>
        <v>6.7935256943361388E-12</v>
      </c>
      <c r="AM105" s="60">
        <f t="shared" si="59"/>
        <v>277.95193607498976</v>
      </c>
      <c r="AN105" s="60">
        <f ca="1">AVERAGE(OFFSET($AM$3,0,0,'Données projet'!$E$10+1,1))-AVERAGE(OFFSET($H$3,0,0,'Données projet'!$E$10+1,1))</f>
        <v>336.25341821407534</v>
      </c>
      <c r="AO105" s="60">
        <f t="shared" si="90"/>
        <v>360.3246221345039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2.7134774427395314E-13</v>
      </c>
      <c r="BF105" s="14">
        <f t="shared" si="91"/>
        <v>3.6292411711343559E-12</v>
      </c>
      <c r="BG105" s="22">
        <f t="shared" si="61"/>
        <v>6.7935256943361388E-12</v>
      </c>
      <c r="BH105" s="60">
        <f t="shared" si="62"/>
        <v>277.95193607498976</v>
      </c>
      <c r="BI105" s="60">
        <f ca="1">AVERAGE(OFFSET($BH$3,0,0,'Données projet'!$E$11+1,1))-AVERAGE(OFFSET($H$3,0,0,'Données projet'!$E$11+1,1))</f>
        <v>336.25341821407534</v>
      </c>
      <c r="BJ105" s="60">
        <f t="shared" si="92"/>
        <v>360.3246221345039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244.11503999999979</v>
      </c>
      <c r="CA105" s="14">
        <f t="shared" si="93"/>
        <v>59.324023461759012</v>
      </c>
      <c r="CB105" s="22">
        <f t="shared" si="64"/>
        <v>528.48970219589648</v>
      </c>
      <c r="CC105" s="60">
        <f t="shared" si="65"/>
        <v>806.44163827087937</v>
      </c>
      <c r="CD105" s="60">
        <f ca="1">AVERAGE(OFFSET($CC$3,0,0,'Données projet'!$E$12+1,1))-AVERAGE(OFFSET($H$3,0,0,'Données projet'!$E$12+1,1))</f>
        <v>469.67944008675863</v>
      </c>
      <c r="CE105" s="60">
        <f t="shared" si="94"/>
        <v>266.11908070867173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8.8675733422860506E-14</v>
      </c>
      <c r="CV105" s="14">
        <f t="shared" si="95"/>
        <v>1.3509285393066301E-12</v>
      </c>
      <c r="CW105" s="22">
        <f t="shared" si="67"/>
        <v>2.5073107750038623E-12</v>
      </c>
      <c r="CX105" s="60">
        <f t="shared" si="68"/>
        <v>277.95193607498544</v>
      </c>
      <c r="CY105" s="60">
        <f ca="1">AVERAGE(OFFSET($CX$3,0,0,'Données projet'!$E$13+1,1))-AVERAGE(OFFSET($H$3,0,0,'Données projet'!$E$13+1,1))</f>
        <v>312.59632808777332</v>
      </c>
      <c r="CZ105" s="60">
        <f t="shared" si="96"/>
        <v>302.59481222418219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3.0769230769230802</v>
      </c>
      <c r="DO105" s="13">
        <f>IF('Données projet'!$A$166&gt;35,DO104+DN105-DW104,IF(A105&lt;'Données projet'!$A$166,$DL$205^A105,IF(A105='Données projet'!$A$166,'Données projet'!$B$166,DO104+DN105-DW104)))</f>
        <v>228.58974358974359</v>
      </c>
      <c r="DP105" s="18">
        <f>DO105*VLOOKUP('Données projet'!$B$14,Paramètres!$A$1:$I$89,3,0)*VLOOKUP('Données projet'!$B$14,Paramètres!$A$1:$I$89,5,0)</f>
        <v>217.52600000000001</v>
      </c>
      <c r="DQ105" s="14">
        <f t="shared" si="97"/>
        <v>53.576820638117503</v>
      </c>
      <c r="DR105" s="22">
        <f t="shared" si="70"/>
        <v>472.17074594472138</v>
      </c>
      <c r="DS105" s="60">
        <f t="shared" si="71"/>
        <v>750.12268201970437</v>
      </c>
      <c r="DT105" s="60">
        <f ca="1">AVERAGE(OFFSET($DS$3,0,0,'Données projet'!$E$14+1,1))-AVERAGE(OFFSET($H$3,0,0,'Données projet'!$E$14+1,1))</f>
        <v>398.29746143975166</v>
      </c>
      <c r="DU105" s="60">
        <f t="shared" si="98"/>
        <v>300.63705521148802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4.4000000000000004</v>
      </c>
      <c r="EJ105" s="13">
        <f>IF('Données projet'!$A$192&gt;35,EJ104+EI105-ER104,IF(A105&lt;'Données projet'!$A$192,$EG$205^A105,IF(A105='Données projet'!$A$192,'Données projet'!$B$192,EJ104+EI105-ER104)))</f>
        <v>269.79999999999978</v>
      </c>
      <c r="EK105" s="18">
        <f>EJ105*VLOOKUP('Données projet'!$B$15,Paramètres!$A$1:$I$89,3,0)*VLOOKUP('Données projet'!$B$15,Paramètres!$A$1:$I$89,5,0)</f>
        <v>260.95055999999983</v>
      </c>
      <c r="EL105" s="14">
        <f t="shared" si="99"/>
        <v>62.924955880176938</v>
      </c>
      <c r="EM105" s="22">
        <f t="shared" si="73"/>
        <v>564.08319015797451</v>
      </c>
      <c r="EN105" s="60">
        <f t="shared" si="74"/>
        <v>842.03512623295751</v>
      </c>
      <c r="EO105" s="60">
        <f ca="1">AVERAGE(OFFSET($EN$3,0,0,'Données projet'!$E$15+1,1))-AVERAGE(OFFSET($H$3,0,0,'Données projet'!$E$15+1,1))</f>
        <v>496.33873798282525</v>
      </c>
      <c r="EP105" s="60">
        <f t="shared" si="100"/>
        <v>280.25465074992246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3.4106051316484809E-13</v>
      </c>
      <c r="FF105" s="18">
        <f>FE105*VLOOKUP('Données projet'!$B$16,Paramètres!$A$1:$I$89,3,0)*VLOOKUP('Données projet'!$B$16,Paramètres!$A$1:$I$89,5,0)</f>
        <v>2.9795046430081134E-13</v>
      </c>
      <c r="FG105" s="14">
        <f t="shared" si="101"/>
        <v>3.9419014464513778E-12</v>
      </c>
      <c r="FH105" s="22">
        <f t="shared" si="76"/>
        <v>7.384408744560063E-12</v>
      </c>
      <c r="FI105" s="60">
        <f t="shared" si="77"/>
        <v>277.95193607499033</v>
      </c>
      <c r="FJ105" s="60">
        <f ca="1">AVERAGE(OFFSET($FI$3,0,0,'Données projet'!$E$16+1,1))-AVERAGE(OFFSET($H$3,0,0,'Données projet'!$E$16+1,1))</f>
        <v>363.28611056308665</v>
      </c>
      <c r="FK105" s="60">
        <f t="shared" si="102"/>
        <v>389.43647559455974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3.2051282051282102</v>
      </c>
      <c r="FZ105" s="13">
        <f>IF('Données projet'!$A$244&gt;35,FZ104+FY105-GH104,IF(A105&lt;'Données projet'!$A$244,$FW$205^A105,IF(A105='Données projet'!$A$244,'Données projet'!$B$244,FZ104+FY105-GH104)))</f>
        <v>291.66666666666686</v>
      </c>
      <c r="GA105" s="18">
        <f>FZ105*VLOOKUP('Données projet'!$B$17,Paramètres!$A$1:$I$89,3,0)*VLOOKUP('Données projet'!$B$17,Paramètres!$A$1:$I$89,5,0)</f>
        <v>195.65000000000012</v>
      </c>
      <c r="GB105" s="14">
        <f t="shared" si="103"/>
        <v>48.786949327182981</v>
      </c>
      <c r="GC105" s="22">
        <f t="shared" si="79"/>
        <v>425.72768674484382</v>
      </c>
      <c r="GD105" s="60">
        <f t="shared" si="80"/>
        <v>703.67962281982682</v>
      </c>
      <c r="GE105" s="60">
        <f ca="1">AVERAGE(OFFSET($GD$3,0,0,'Données projet'!$E$17+1,1))-AVERAGE(OFFSET($H$3,0,0,'Données projet'!$E$17+1,1))</f>
        <v>344.62096650402731</v>
      </c>
      <c r="GF105" s="60">
        <f t="shared" si="104"/>
        <v>277.30931495079346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6.3</v>
      </c>
      <c r="N106" s="14">
        <f>IF('Données projet'!$A$36&gt;35,N105+M106-V105,IF(A106&lt;'Données projet'!$A$36,$K$205^A106,IF(A106='Données projet'!$A$36,'Données projet'!$B$36,N105+M106-V105)))</f>
        <v>418.89999999999958</v>
      </c>
      <c r="O106" s="14">
        <f>N106*VLOOKUP('Données projet'!$B$9,Paramètres!$A$1:$I$89,3,0)*VLOOKUP('Données projet'!$B$9,Paramètres!$A$1:$I$89,5,0)</f>
        <v>359.41619999999966</v>
      </c>
      <c r="P106" s="14">
        <f t="shared" si="87"/>
        <v>83.498398699231188</v>
      </c>
      <c r="Q106" s="22">
        <f t="shared" si="107"/>
        <v>771.4095927344938</v>
      </c>
      <c r="R106" s="60">
        <f t="shared" si="55"/>
        <v>1049.6283616642565</v>
      </c>
      <c r="S106" s="60">
        <f ca="1">AVERAGE(OFFSET($R$3,0,0,'Données projet'!$E$9+1,1))-AVERAGE(OFFSET($H$3,0,0,'Données projet'!$E$9+1,1))</f>
        <v>632.26350546340541</v>
      </c>
      <c r="T106" s="60">
        <f t="shared" si="88"/>
        <v>340.45335016367915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3.4106051316484809E-13</v>
      </c>
      <c r="AJ106" s="14">
        <f>AI106*VLOOKUP('Données projet'!$B$10,Paramètres!$A$1:$I$89,3,0)*VLOOKUP('Données projet'!$B$10,Paramètres!$A$1:$I$89,5,0)</f>
        <v>2.7134774427395314E-13</v>
      </c>
      <c r="AK106" s="14">
        <f t="shared" si="89"/>
        <v>3.6292411711343559E-12</v>
      </c>
      <c r="AL106" s="22">
        <f t="shared" si="58"/>
        <v>6.7935256943361388E-12</v>
      </c>
      <c r="AM106" s="60">
        <f t="shared" si="59"/>
        <v>278.21876892976951</v>
      </c>
      <c r="AN106" s="60">
        <f ca="1">AVERAGE(OFFSET($AM$3,0,0,'Données projet'!$E$10+1,1))-AVERAGE(OFFSET($H$3,0,0,'Données projet'!$E$10+1,1))</f>
        <v>336.25341821407534</v>
      </c>
      <c r="AO106" s="60">
        <f t="shared" si="90"/>
        <v>360.3246221345039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2.7134774427395314E-13</v>
      </c>
      <c r="BF106" s="14">
        <f t="shared" si="91"/>
        <v>3.6292411711343559E-12</v>
      </c>
      <c r="BG106" s="22">
        <f t="shared" si="61"/>
        <v>6.7935256943361388E-12</v>
      </c>
      <c r="BH106" s="60">
        <f t="shared" si="62"/>
        <v>278.21876892976951</v>
      </c>
      <c r="BI106" s="60">
        <f ca="1">AVERAGE(OFFSET($BH$3,0,0,'Données projet'!$E$11+1,1))-AVERAGE(OFFSET($H$3,0,0,'Données projet'!$E$11+1,1))</f>
        <v>336.25341821407534</v>
      </c>
      <c r="BJ106" s="60">
        <f t="shared" si="92"/>
        <v>360.3246221345039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248.0961599999998</v>
      </c>
      <c r="CA106" s="14">
        <f t="shared" si="93"/>
        <v>60.178080967364686</v>
      </c>
      <c r="CB106" s="22">
        <f t="shared" si="64"/>
        <v>536.91096968482657</v>
      </c>
      <c r="CC106" s="60">
        <f t="shared" si="65"/>
        <v>815.12973861458931</v>
      </c>
      <c r="CD106" s="60">
        <f ca="1">AVERAGE(OFFSET($CC$3,0,0,'Données projet'!$E$12+1,1))-AVERAGE(OFFSET($H$3,0,0,'Données projet'!$E$12+1,1))</f>
        <v>469.67944008675863</v>
      </c>
      <c r="CE106" s="60">
        <f t="shared" si="94"/>
        <v>266.11908070867173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8.8675733422860506E-14</v>
      </c>
      <c r="CV106" s="14">
        <f t="shared" si="95"/>
        <v>1.3509285393066301E-12</v>
      </c>
      <c r="CW106" s="22">
        <f t="shared" si="67"/>
        <v>2.5073107750038623E-12</v>
      </c>
      <c r="CX106" s="60">
        <f t="shared" si="68"/>
        <v>278.21876892976519</v>
      </c>
      <c r="CY106" s="60">
        <f ca="1">AVERAGE(OFFSET($CX$3,0,0,'Données projet'!$E$13+1,1))-AVERAGE(OFFSET($H$3,0,0,'Données projet'!$E$13+1,1))</f>
        <v>312.59632808777332</v>
      </c>
      <c r="CZ106" s="60">
        <f t="shared" si="96"/>
        <v>302.59481222418219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3.0769230769230802</v>
      </c>
      <c r="DO106" s="13">
        <f>IF('Données projet'!$A$166&gt;35,DO105+DN106-DW105,IF(A106&lt;'Données projet'!$A$166,$DL$205^A106,IF(A106='Données projet'!$A$166,'Données projet'!$B$166,DO105+DN106-DW105)))</f>
        <v>231.66666666666669</v>
      </c>
      <c r="DP106" s="18">
        <f>DO106*VLOOKUP('Données projet'!$B$14,Paramètres!$A$1:$I$89,3,0)*VLOOKUP('Données projet'!$B$14,Paramètres!$A$1:$I$89,5,0)</f>
        <v>220.45400000000001</v>
      </c>
      <c r="DQ106" s="14">
        <f t="shared" si="97"/>
        <v>54.213548535376205</v>
      </c>
      <c r="DR106" s="22">
        <f t="shared" si="70"/>
        <v>478.37931369911365</v>
      </c>
      <c r="DS106" s="60">
        <f t="shared" si="71"/>
        <v>756.59808262887634</v>
      </c>
      <c r="DT106" s="60">
        <f ca="1">AVERAGE(OFFSET($DS$3,0,0,'Données projet'!$E$14+1,1))-AVERAGE(OFFSET($H$3,0,0,'Données projet'!$E$14+1,1))</f>
        <v>398.29746143975166</v>
      </c>
      <c r="DU106" s="60">
        <f t="shared" si="98"/>
        <v>300.63705521148802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4.4000000000000004</v>
      </c>
      <c r="EJ106" s="13">
        <f>IF('Données projet'!$A$192&gt;35,EJ105+EI106-ER105,IF(A106&lt;'Données projet'!$A$192,$EG$205^A106,IF(A106='Données projet'!$A$192,'Données projet'!$B$192,EJ105+EI106-ER105)))</f>
        <v>274.19999999999976</v>
      </c>
      <c r="EK106" s="18">
        <f>EJ106*VLOOKUP('Données projet'!$B$15,Paramètres!$A$1:$I$89,3,0)*VLOOKUP('Données projet'!$B$15,Paramètres!$A$1:$I$89,5,0)</f>
        <v>265.20623999999975</v>
      </c>
      <c r="EL106" s="14">
        <f t="shared" si="99"/>
        <v>63.830854160896386</v>
      </c>
      <c r="EM106" s="22">
        <f t="shared" si="73"/>
        <v>573.07293899689409</v>
      </c>
      <c r="EN106" s="60">
        <f t="shared" si="74"/>
        <v>851.29170792665673</v>
      </c>
      <c r="EO106" s="60">
        <f ca="1">AVERAGE(OFFSET($EN$3,0,0,'Données projet'!$E$15+1,1))-AVERAGE(OFFSET($H$3,0,0,'Données projet'!$E$15+1,1))</f>
        <v>496.33873798282525</v>
      </c>
      <c r="EP106" s="60">
        <f t="shared" si="100"/>
        <v>280.25465074992246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3.4106051316484809E-13</v>
      </c>
      <c r="FF106" s="18">
        <f>FE106*VLOOKUP('Données projet'!$B$16,Paramètres!$A$1:$I$89,3,0)*VLOOKUP('Données projet'!$B$16,Paramètres!$A$1:$I$89,5,0)</f>
        <v>2.9795046430081134E-13</v>
      </c>
      <c r="FG106" s="14">
        <f t="shared" si="101"/>
        <v>3.9419014464513778E-12</v>
      </c>
      <c r="FH106" s="22">
        <f t="shared" si="76"/>
        <v>7.384408744560063E-12</v>
      </c>
      <c r="FI106" s="60">
        <f t="shared" si="77"/>
        <v>278.21876892977008</v>
      </c>
      <c r="FJ106" s="60">
        <f ca="1">AVERAGE(OFFSET($FI$3,0,0,'Données projet'!$E$16+1,1))-AVERAGE(OFFSET($H$3,0,0,'Données projet'!$E$16+1,1))</f>
        <v>363.28611056308665</v>
      </c>
      <c r="FK106" s="60">
        <f t="shared" si="102"/>
        <v>389.43647559455974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3.2051282051282102</v>
      </c>
      <c r="FZ106" s="13">
        <f>IF('Données projet'!$A$244&gt;35,FZ105+FY106-GH105,IF(A106&lt;'Données projet'!$A$244,$FW$205^A106,IF(A106='Données projet'!$A$244,'Données projet'!$B$244,FZ105+FY106-GH105)))</f>
        <v>294.87179487179509</v>
      </c>
      <c r="GA106" s="18">
        <f>FZ106*VLOOKUP('Données projet'!$B$17,Paramètres!$A$1:$I$89,3,0)*VLOOKUP('Données projet'!$B$17,Paramètres!$A$1:$I$89,5,0)</f>
        <v>197.80000000000015</v>
      </c>
      <c r="GB106" s="14">
        <f t="shared" si="103"/>
        <v>49.260363505790551</v>
      </c>
      <c r="GC106" s="22">
        <f t="shared" si="79"/>
        <v>430.29679977258542</v>
      </c>
      <c r="GD106" s="60">
        <f t="shared" si="80"/>
        <v>708.51556870234811</v>
      </c>
      <c r="GE106" s="60">
        <f ca="1">AVERAGE(OFFSET($GD$3,0,0,'Données projet'!$E$17+1,1))-AVERAGE(OFFSET($H$3,0,0,'Données projet'!$E$17+1,1))</f>
        <v>344.62096650402731</v>
      </c>
      <c r="GF106" s="60">
        <f t="shared" si="104"/>
        <v>277.30931495079346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6.3</v>
      </c>
      <c r="N107" s="14">
        <f>IF('Données projet'!$A$36&gt;35,N106+M107-V106,IF(A107&lt;'Données projet'!$A$36,$K$205^A107,IF(A107='Données projet'!$A$36,'Données projet'!$B$36,N106+M107-V106)))</f>
        <v>425.19999999999959</v>
      </c>
      <c r="O107" s="14">
        <f>N107*VLOOKUP('Données projet'!$B$9,Paramètres!$A$1:$I$89,3,0)*VLOOKUP('Données projet'!$B$9,Paramètres!$A$1:$I$89,5,0)</f>
        <v>364.82159999999971</v>
      </c>
      <c r="P107" s="14">
        <f t="shared" si="87"/>
        <v>84.60702672836085</v>
      </c>
      <c r="Q107" s="22">
        <f t="shared" si="107"/>
        <v>782.75485821856125</v>
      </c>
      <c r="R107" s="60">
        <f t="shared" si="55"/>
        <v>1061.2358310496222</v>
      </c>
      <c r="S107" s="60">
        <f ca="1">AVERAGE(OFFSET($R$3,0,0,'Données projet'!$E$9+1,1))-AVERAGE(OFFSET($H$3,0,0,'Données projet'!$E$9+1,1))</f>
        <v>632.26350546340541</v>
      </c>
      <c r="T107" s="60">
        <f t="shared" si="88"/>
        <v>340.45335016367915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3.4106051316484809E-13</v>
      </c>
      <c r="AJ107" s="14">
        <f>AI107*VLOOKUP('Données projet'!$B$10,Paramètres!$A$1:$I$89,3,0)*VLOOKUP('Données projet'!$B$10,Paramètres!$A$1:$I$89,5,0)</f>
        <v>2.7134774427395314E-13</v>
      </c>
      <c r="AK107" s="14">
        <f t="shared" si="89"/>
        <v>3.6292411711343559E-12</v>
      </c>
      <c r="AL107" s="22">
        <f t="shared" si="58"/>
        <v>6.7935256943361388E-12</v>
      </c>
      <c r="AM107" s="60">
        <f t="shared" si="59"/>
        <v>278.48097283106773</v>
      </c>
      <c r="AN107" s="60">
        <f ca="1">AVERAGE(OFFSET($AM$3,0,0,'Données projet'!$E$10+1,1))-AVERAGE(OFFSET($H$3,0,0,'Données projet'!$E$10+1,1))</f>
        <v>336.25341821407534</v>
      </c>
      <c r="AO107" s="60">
        <f t="shared" si="90"/>
        <v>360.3246221345039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2.7134774427395314E-13</v>
      </c>
      <c r="BF107" s="14">
        <f t="shared" si="91"/>
        <v>3.6292411711343559E-12</v>
      </c>
      <c r="BG107" s="22">
        <f t="shared" si="61"/>
        <v>6.7935256943361388E-12</v>
      </c>
      <c r="BH107" s="60">
        <f t="shared" si="62"/>
        <v>278.48097283106773</v>
      </c>
      <c r="BI107" s="60">
        <f ca="1">AVERAGE(OFFSET($BH$3,0,0,'Données projet'!$E$11+1,1))-AVERAGE(OFFSET($H$3,0,0,'Données projet'!$E$11+1,1))</f>
        <v>336.25341821407534</v>
      </c>
      <c r="BJ107" s="60">
        <f t="shared" si="92"/>
        <v>360.3246221345039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252.07727999999975</v>
      </c>
      <c r="CA107" s="14">
        <f t="shared" si="93"/>
        <v>61.03054465215493</v>
      </c>
      <c r="CB107" s="22">
        <f t="shared" si="64"/>
        <v>545.32946126916943</v>
      </c>
      <c r="CC107" s="60">
        <f t="shared" si="65"/>
        <v>823.8104341002304</v>
      </c>
      <c r="CD107" s="60">
        <f ca="1">AVERAGE(OFFSET($CC$3,0,0,'Données projet'!$E$12+1,1))-AVERAGE(OFFSET($H$3,0,0,'Données projet'!$E$12+1,1))</f>
        <v>469.67944008675863</v>
      </c>
      <c r="CE107" s="60">
        <f t="shared" si="94"/>
        <v>266.11908070867173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8.8675733422860506E-14</v>
      </c>
      <c r="CV107" s="14">
        <f t="shared" si="95"/>
        <v>1.3509285393066301E-12</v>
      </c>
      <c r="CW107" s="22">
        <f t="shared" si="67"/>
        <v>2.5073107750038623E-12</v>
      </c>
      <c r="CX107" s="60">
        <f t="shared" si="68"/>
        <v>278.48097283106341</v>
      </c>
      <c r="CY107" s="60">
        <f ca="1">AVERAGE(OFFSET($CX$3,0,0,'Données projet'!$E$13+1,1))-AVERAGE(OFFSET($H$3,0,0,'Données projet'!$E$13+1,1))</f>
        <v>312.59632808777332</v>
      </c>
      <c r="CZ107" s="60">
        <f t="shared" si="96"/>
        <v>302.59481222418219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3.0769230769230802</v>
      </c>
      <c r="DO107" s="13">
        <f>IF('Données projet'!$A$166&gt;35,DO106+DN107-DW106,IF(A107&lt;'Données projet'!$A$166,$DL$205^A107,IF(A107='Données projet'!$A$166,'Données projet'!$B$166,DO106+DN107-DW106)))</f>
        <v>234.74358974358978</v>
      </c>
      <c r="DP107" s="18">
        <f>DO107*VLOOKUP('Données projet'!$B$14,Paramètres!$A$1:$I$89,3,0)*VLOOKUP('Données projet'!$B$14,Paramètres!$A$1:$I$89,5,0)</f>
        <v>223.38200000000003</v>
      </c>
      <c r="DQ107" s="14">
        <f t="shared" si="97"/>
        <v>54.849292789000252</v>
      </c>
      <c r="DR107" s="22">
        <f t="shared" si="70"/>
        <v>484.58616827417546</v>
      </c>
      <c r="DS107" s="60">
        <f t="shared" si="71"/>
        <v>763.06714110523637</v>
      </c>
      <c r="DT107" s="60">
        <f ca="1">AVERAGE(OFFSET($DS$3,0,0,'Données projet'!$E$14+1,1))-AVERAGE(OFFSET($H$3,0,0,'Données projet'!$E$14+1,1))</f>
        <v>398.29746143975166</v>
      </c>
      <c r="DU107" s="60">
        <f t="shared" si="98"/>
        <v>300.63705521148802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4.4000000000000004</v>
      </c>
      <c r="EJ107" s="13">
        <f>IF('Données projet'!$A$192&gt;35,EJ106+EI107-ER106,IF(A107&lt;'Données projet'!$A$192,$EG$205^A107,IF(A107='Données projet'!$A$192,'Données projet'!$B$192,EJ106+EI107-ER106)))</f>
        <v>278.59999999999974</v>
      </c>
      <c r="EK107" s="18">
        <f>EJ107*VLOOKUP('Données projet'!$B$15,Paramètres!$A$1:$I$89,3,0)*VLOOKUP('Données projet'!$B$15,Paramètres!$A$1:$I$89,5,0)</f>
        <v>269.46191999999974</v>
      </c>
      <c r="EL107" s="14">
        <f t="shared" si="99"/>
        <v>64.735061876839055</v>
      </c>
      <c r="EM107" s="22">
        <f t="shared" si="73"/>
        <v>582.05974343549417</v>
      </c>
      <c r="EN107" s="60">
        <f t="shared" si="74"/>
        <v>860.54071626655514</v>
      </c>
      <c r="EO107" s="60">
        <f ca="1">AVERAGE(OFFSET($EN$3,0,0,'Données projet'!$E$15+1,1))-AVERAGE(OFFSET($H$3,0,0,'Données projet'!$E$15+1,1))</f>
        <v>496.33873798282525</v>
      </c>
      <c r="EP107" s="60">
        <f t="shared" si="100"/>
        <v>280.25465074992246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3.4106051316484809E-13</v>
      </c>
      <c r="FF107" s="18">
        <f>FE107*VLOOKUP('Données projet'!$B$16,Paramètres!$A$1:$I$89,3,0)*VLOOKUP('Données projet'!$B$16,Paramètres!$A$1:$I$89,5,0)</f>
        <v>2.9795046430081134E-13</v>
      </c>
      <c r="FG107" s="14">
        <f t="shared" si="101"/>
        <v>3.9419014464513778E-12</v>
      </c>
      <c r="FH107" s="22">
        <f t="shared" si="76"/>
        <v>7.384408744560063E-12</v>
      </c>
      <c r="FI107" s="60">
        <f t="shared" si="77"/>
        <v>278.4809728310683</v>
      </c>
      <c r="FJ107" s="60">
        <f ca="1">AVERAGE(OFFSET($FI$3,0,0,'Données projet'!$E$16+1,1))-AVERAGE(OFFSET($H$3,0,0,'Données projet'!$E$16+1,1))</f>
        <v>363.28611056308665</v>
      </c>
      <c r="FK107" s="60">
        <f t="shared" si="102"/>
        <v>389.43647559455974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3.2051282051282102</v>
      </c>
      <c r="FZ107" s="13">
        <f>IF('Données projet'!$A$244&gt;35,FZ106+FY107-GH106,IF(A107&lt;'Données projet'!$A$244,$FW$205^A107,IF(A107='Données projet'!$A$244,'Données projet'!$B$244,FZ106+FY107-GH106)))</f>
        <v>298.07692307692332</v>
      </c>
      <c r="GA107" s="18">
        <f>FZ107*VLOOKUP('Données projet'!$B$17,Paramètres!$A$1:$I$89,3,0)*VLOOKUP('Données projet'!$B$17,Paramètres!$A$1:$I$89,5,0)</f>
        <v>199.95000000000016</v>
      </c>
      <c r="GB107" s="14">
        <f t="shared" si="103"/>
        <v>49.733179078835313</v>
      </c>
      <c r="GC107" s="22">
        <f t="shared" si="79"/>
        <v>434.86487022897177</v>
      </c>
      <c r="GD107" s="60">
        <f t="shared" si="80"/>
        <v>713.34584306003262</v>
      </c>
      <c r="GE107" s="60">
        <f ca="1">AVERAGE(OFFSET($GD$3,0,0,'Données projet'!$E$17+1,1))-AVERAGE(OFFSET($H$3,0,0,'Données projet'!$E$17+1,1))</f>
        <v>344.62096650402731</v>
      </c>
      <c r="GF107" s="60">
        <f t="shared" si="104"/>
        <v>277.30931495079346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6.3</v>
      </c>
      <c r="N108" s="14">
        <f>IF('Données projet'!$A$36&gt;35,N107+M108-V107,IF(A108&lt;'Données projet'!$A$36,$K$205^A108,IF(A108='Données projet'!$A$36,'Données projet'!$B$36,N107+M108-V107)))</f>
        <v>431.4999999999996</v>
      </c>
      <c r="O108" s="14">
        <f>N108*VLOOKUP('Données projet'!$B$9,Paramètres!$A$1:$I$89,3,0)*VLOOKUP('Données projet'!$B$9,Paramètres!$A$1:$I$89,5,0)</f>
        <v>370.22699999999969</v>
      </c>
      <c r="P108" s="14">
        <f t="shared" si="87"/>
        <v>85.713744339137904</v>
      </c>
      <c r="Q108" s="22">
        <f t="shared" si="107"/>
        <v>794.09679639066462</v>
      </c>
      <c r="R108" s="60">
        <f t="shared" si="55"/>
        <v>1072.8354244715365</v>
      </c>
      <c r="S108" s="60">
        <f ca="1">AVERAGE(OFFSET($R$3,0,0,'Données projet'!$E$9+1,1))-AVERAGE(OFFSET($H$3,0,0,'Données projet'!$E$9+1,1))</f>
        <v>632.26350546340541</v>
      </c>
      <c r="T108" s="60">
        <f t="shared" si="88"/>
        <v>340.45335016367915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3.4106051316484809E-13</v>
      </c>
      <c r="AJ108" s="14">
        <f>AI108*VLOOKUP('Données projet'!$B$10,Paramètres!$A$1:$I$89,3,0)*VLOOKUP('Données projet'!$B$10,Paramètres!$A$1:$I$89,5,0)</f>
        <v>2.7134774427395314E-13</v>
      </c>
      <c r="AK108" s="14">
        <f t="shared" si="89"/>
        <v>3.6292411711343559E-12</v>
      </c>
      <c r="AL108" s="22">
        <f t="shared" si="58"/>
        <v>6.7935256943361388E-12</v>
      </c>
      <c r="AM108" s="60">
        <f t="shared" si="59"/>
        <v>278.73862808087858</v>
      </c>
      <c r="AN108" s="60">
        <f ca="1">AVERAGE(OFFSET($AM$3,0,0,'Données projet'!$E$10+1,1))-AVERAGE(OFFSET($H$3,0,0,'Données projet'!$E$10+1,1))</f>
        <v>336.25341821407534</v>
      </c>
      <c r="AO108" s="60">
        <f t="shared" si="90"/>
        <v>360.3246221345039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2.7134774427395314E-13</v>
      </c>
      <c r="BF108" s="14">
        <f t="shared" si="91"/>
        <v>3.6292411711343559E-12</v>
      </c>
      <c r="BG108" s="22">
        <f t="shared" si="61"/>
        <v>6.7935256943361388E-12</v>
      </c>
      <c r="BH108" s="60">
        <f t="shared" si="62"/>
        <v>278.73862808087858</v>
      </c>
      <c r="BI108" s="60">
        <f ca="1">AVERAGE(OFFSET($BH$3,0,0,'Données projet'!$E$11+1,1))-AVERAGE(OFFSET($H$3,0,0,'Données projet'!$E$11+1,1))</f>
        <v>336.25341821407534</v>
      </c>
      <c r="BJ108" s="60">
        <f t="shared" si="92"/>
        <v>360.3246221345039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256.05839999999972</v>
      </c>
      <c r="CA108" s="14">
        <f t="shared" si="93"/>
        <v>61.881442594256434</v>
      </c>
      <c r="CB108" s="22">
        <f t="shared" si="64"/>
        <v>553.74522585166278</v>
      </c>
      <c r="CC108" s="60">
        <f t="shared" si="65"/>
        <v>832.48385393253454</v>
      </c>
      <c r="CD108" s="60">
        <f ca="1">AVERAGE(OFFSET($CC$3,0,0,'Données projet'!$E$12+1,1))-AVERAGE(OFFSET($H$3,0,0,'Données projet'!$E$12+1,1))</f>
        <v>469.67944008675863</v>
      </c>
      <c r="CE108" s="60">
        <f t="shared" si="94"/>
        <v>266.11908070867173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8.8675733422860506E-14</v>
      </c>
      <c r="CV108" s="14">
        <f t="shared" si="95"/>
        <v>1.3509285393066301E-12</v>
      </c>
      <c r="CW108" s="22">
        <f t="shared" si="67"/>
        <v>2.5073107750038623E-12</v>
      </c>
      <c r="CX108" s="60">
        <f t="shared" si="68"/>
        <v>278.73862808087426</v>
      </c>
      <c r="CY108" s="60">
        <f ca="1">AVERAGE(OFFSET($CX$3,0,0,'Données projet'!$E$13+1,1))-AVERAGE(OFFSET($H$3,0,0,'Données projet'!$E$13+1,1))</f>
        <v>312.59632808777332</v>
      </c>
      <c r="CZ108" s="60">
        <f t="shared" si="96"/>
        <v>302.59481222418219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3.0769230769230802</v>
      </c>
      <c r="DO108" s="13">
        <f>IF('Données projet'!$A$166&gt;35,DO107+DN108-DW107,IF(A108&lt;'Données projet'!$A$166,$DL$205^A108,IF(A108='Données projet'!$A$166,'Données projet'!$B$166,DO107+DN108-DW107)))</f>
        <v>237.82051282051287</v>
      </c>
      <c r="DP108" s="18">
        <f>DO108*VLOOKUP('Données projet'!$B$14,Paramètres!$A$1:$I$89,3,0)*VLOOKUP('Données projet'!$B$14,Paramètres!$A$1:$I$89,5,0)</f>
        <v>226.31000000000006</v>
      </c>
      <c r="DQ108" s="14">
        <f t="shared" si="97"/>
        <v>55.484067782810527</v>
      </c>
      <c r="DR108" s="22">
        <f t="shared" si="70"/>
        <v>490.79133472172845</v>
      </c>
      <c r="DS108" s="60">
        <f t="shared" si="71"/>
        <v>769.52996280260027</v>
      </c>
      <c r="DT108" s="60">
        <f ca="1">AVERAGE(OFFSET($DS$3,0,0,'Données projet'!$E$14+1,1))-AVERAGE(OFFSET($H$3,0,0,'Données projet'!$E$14+1,1))</f>
        <v>398.29746143975166</v>
      </c>
      <c r="DU108" s="60">
        <f t="shared" si="98"/>
        <v>300.63705521148802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4.4000000000000004</v>
      </c>
      <c r="EJ108" s="13">
        <f>IF('Données projet'!$A$192&gt;35,EJ107+EI108-ER107,IF(A108&lt;'Données projet'!$A$192,$EG$205^A108,IF(A108='Données projet'!$A$192,'Données projet'!$B$192,EJ107+EI108-ER107)))</f>
        <v>282.99999999999972</v>
      </c>
      <c r="EK108" s="18">
        <f>EJ108*VLOOKUP('Données projet'!$B$15,Paramètres!$A$1:$I$89,3,0)*VLOOKUP('Données projet'!$B$15,Paramètres!$A$1:$I$89,5,0)</f>
        <v>273.71759999999972</v>
      </c>
      <c r="EL108" s="14">
        <f t="shared" si="99"/>
        <v>65.637608810456612</v>
      </c>
      <c r="EM108" s="22">
        <f t="shared" si="73"/>
        <v>591.04365534487806</v>
      </c>
      <c r="EN108" s="60">
        <f t="shared" si="74"/>
        <v>869.78228342574982</v>
      </c>
      <c r="EO108" s="60">
        <f ca="1">AVERAGE(OFFSET($EN$3,0,0,'Données projet'!$E$15+1,1))-AVERAGE(OFFSET($H$3,0,0,'Données projet'!$E$15+1,1))</f>
        <v>496.33873798282525</v>
      </c>
      <c r="EP108" s="60">
        <f t="shared" si="100"/>
        <v>280.25465074992246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3.4106051316484809E-13</v>
      </c>
      <c r="FF108" s="18">
        <f>FE108*VLOOKUP('Données projet'!$B$16,Paramètres!$A$1:$I$89,3,0)*VLOOKUP('Données projet'!$B$16,Paramètres!$A$1:$I$89,5,0)</f>
        <v>2.9795046430081134E-13</v>
      </c>
      <c r="FG108" s="14">
        <f t="shared" si="101"/>
        <v>3.9419014464513778E-12</v>
      </c>
      <c r="FH108" s="22">
        <f t="shared" si="76"/>
        <v>7.384408744560063E-12</v>
      </c>
      <c r="FI108" s="60">
        <f t="shared" si="77"/>
        <v>278.73862808087915</v>
      </c>
      <c r="FJ108" s="60">
        <f ca="1">AVERAGE(OFFSET($FI$3,0,0,'Données projet'!$E$16+1,1))-AVERAGE(OFFSET($H$3,0,0,'Données projet'!$E$16+1,1))</f>
        <v>363.28611056308665</v>
      </c>
      <c r="FK108" s="60">
        <f t="shared" si="102"/>
        <v>389.43647559455974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301.28205128205127</v>
      </c>
      <c r="FX108" s="13">
        <f>VLOOKUP(A108,'Données projet'!$A$243:$I$263,9,0)</f>
        <v>3.2051282051282102</v>
      </c>
      <c r="FY108" s="13">
        <f t="array" ref="FY108">INDEX(FX:FX,MIN(IF(ISNUMBER(FX108:FX304),ROW(FX108:FX304),"")))</f>
        <v>3.2051282051282102</v>
      </c>
      <c r="FZ108" s="13">
        <f>IF('Données projet'!$A$244&gt;35,FZ107+FY108-GH107,IF(A108&lt;'Données projet'!$A$244,$FW$205^A108,IF(A108='Données projet'!$A$244,'Données projet'!$B$244,FZ107+FY108-GH107)))</f>
        <v>301.28205128205155</v>
      </c>
      <c r="GA108" s="18">
        <f>FZ108*VLOOKUP('Données projet'!$B$17,Paramètres!$A$1:$I$89,3,0)*VLOOKUP('Données projet'!$B$17,Paramètres!$A$1:$I$89,5,0)</f>
        <v>202.10000000000016</v>
      </c>
      <c r="GB108" s="14">
        <f t="shared" si="103"/>
        <v>50.205403227941737</v>
      </c>
      <c r="GC108" s="22">
        <f t="shared" si="79"/>
        <v>439.43191062199884</v>
      </c>
      <c r="GD108" s="60">
        <f t="shared" si="80"/>
        <v>718.17053870287054</v>
      </c>
      <c r="GE108" s="60">
        <f ca="1">AVERAGE(OFFSET($GD$3,0,0,'Données projet'!$E$17+1,1))-AVERAGE(OFFSET($H$3,0,0,'Données projet'!$E$17+1,1))</f>
        <v>344.62096650402731</v>
      </c>
      <c r="GF108" s="60">
        <f t="shared" si="104"/>
        <v>277.30931495079346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6.3</v>
      </c>
      <c r="N109" s="14">
        <f>IF('Données projet'!$A$36&gt;35,N108+M109-V108,IF(A109&lt;'Données projet'!$A$36,$K$205^A109,IF(A109='Données projet'!$A$36,'Données projet'!$B$36,N108+M109-V108)))</f>
        <v>437.79999999999961</v>
      </c>
      <c r="O109" s="14">
        <f>N109*VLOOKUP('Données projet'!$B$9,Paramètres!$A$1:$I$89,3,0)*VLOOKUP('Données projet'!$B$9,Paramètres!$A$1:$I$89,5,0)</f>
        <v>375.63239999999968</v>
      </c>
      <c r="P109" s="14">
        <f t="shared" si="87"/>
        <v>86.818582646586393</v>
      </c>
      <c r="Q109" s="22">
        <f t="shared" si="107"/>
        <v>805.43546144280401</v>
      </c>
      <c r="R109" s="60">
        <f t="shared" si="55"/>
        <v>1084.4272750309331</v>
      </c>
      <c r="S109" s="60">
        <f ca="1">AVERAGE(OFFSET($R$3,0,0,'Données projet'!$E$9+1,1))-AVERAGE(OFFSET($H$3,0,0,'Données projet'!$E$9+1,1))</f>
        <v>632.26350546340541</v>
      </c>
      <c r="T109" s="60">
        <f t="shared" si="88"/>
        <v>340.45335016367915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2.7134774427395314E-13</v>
      </c>
      <c r="AK109" s="14">
        <f t="shared" si="89"/>
        <v>3.6292411711343559E-12</v>
      </c>
      <c r="AL109" s="22">
        <f t="shared" si="58"/>
        <v>6.7935256943361388E-12</v>
      </c>
      <c r="AM109" s="60">
        <f t="shared" si="59"/>
        <v>278.99181358813593</v>
      </c>
      <c r="AN109" s="60">
        <f ca="1">AVERAGE(OFFSET($AM$3,0,0,'Données projet'!$E$10+1,1))-AVERAGE(OFFSET($H$3,0,0,'Données projet'!$E$10+1,1))</f>
        <v>336.25341821407534</v>
      </c>
      <c r="AO109" s="60">
        <f t="shared" si="90"/>
        <v>360.3246221345039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2.7134774427395314E-13</v>
      </c>
      <c r="BF109" s="14">
        <f t="shared" si="91"/>
        <v>3.6292411711343559E-12</v>
      </c>
      <c r="BG109" s="22">
        <f t="shared" si="61"/>
        <v>6.7935256943361388E-12</v>
      </c>
      <c r="BH109" s="60">
        <f t="shared" si="62"/>
        <v>278.99181358813593</v>
      </c>
      <c r="BI109" s="60">
        <f ca="1">AVERAGE(OFFSET($BH$3,0,0,'Données projet'!$E$11+1,1))-AVERAGE(OFFSET($H$3,0,0,'Données projet'!$E$11+1,1))</f>
        <v>336.25341821407534</v>
      </c>
      <c r="BJ109" s="60">
        <f t="shared" si="92"/>
        <v>360.3246221345039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260.0395199999997</v>
      </c>
      <c r="CA109" s="14">
        <f t="shared" si="93"/>
        <v>62.730801948604821</v>
      </c>
      <c r="CB109" s="22">
        <f t="shared" si="64"/>
        <v>562.15831072715287</v>
      </c>
      <c r="CC109" s="60">
        <f t="shared" si="65"/>
        <v>841.15012431528203</v>
      </c>
      <c r="CD109" s="60">
        <f ca="1">AVERAGE(OFFSET($CC$3,0,0,'Données projet'!$E$12+1,1))-AVERAGE(OFFSET($H$3,0,0,'Données projet'!$E$12+1,1))</f>
        <v>469.67944008675863</v>
      </c>
      <c r="CE109" s="60">
        <f t="shared" si="94"/>
        <v>266.11908070867173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8.8675733422860506E-14</v>
      </c>
      <c r="CV109" s="14">
        <f t="shared" si="95"/>
        <v>1.3509285393066301E-12</v>
      </c>
      <c r="CW109" s="22">
        <f t="shared" si="67"/>
        <v>2.5073107750038623E-12</v>
      </c>
      <c r="CX109" s="60">
        <f t="shared" si="68"/>
        <v>278.99181358813161</v>
      </c>
      <c r="CY109" s="60">
        <f ca="1">AVERAGE(OFFSET($CX$3,0,0,'Données projet'!$E$13+1,1))-AVERAGE(OFFSET($H$3,0,0,'Données projet'!$E$13+1,1))</f>
        <v>312.59632808777332</v>
      </c>
      <c r="CZ109" s="60">
        <f t="shared" si="96"/>
        <v>302.59481222418219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3.0769230769230802</v>
      </c>
      <c r="DO109" s="13">
        <f>IF('Données projet'!$A$166&gt;35,DO108+DN109-DW108,IF(A109&lt;'Données projet'!$A$166,$DL$205^A109,IF(A109='Données projet'!$A$166,'Données projet'!$B$166,DO108+DN109-DW108)))</f>
        <v>240.89743589743597</v>
      </c>
      <c r="DP109" s="18">
        <f>DO109*VLOOKUP('Données projet'!$B$14,Paramètres!$A$1:$I$89,3,0)*VLOOKUP('Données projet'!$B$14,Paramètres!$A$1:$I$89,5,0)</f>
        <v>229.23800000000008</v>
      </c>
      <c r="DQ109" s="14">
        <f t="shared" si="97"/>
        <v>56.117887507033878</v>
      </c>
      <c r="DR109" s="22">
        <f t="shared" si="70"/>
        <v>496.99483740808415</v>
      </c>
      <c r="DS109" s="60">
        <f t="shared" si="71"/>
        <v>775.98665099621326</v>
      </c>
      <c r="DT109" s="60">
        <f ca="1">AVERAGE(OFFSET($DS$3,0,0,'Données projet'!$E$14+1,1))-AVERAGE(OFFSET($H$3,0,0,'Données projet'!$E$14+1,1))</f>
        <v>398.29746143975166</v>
      </c>
      <c r="DU109" s="60">
        <f t="shared" si="98"/>
        <v>300.63705521148802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4.4000000000000004</v>
      </c>
      <c r="EJ109" s="13">
        <f>IF('Données projet'!$A$192&gt;35,EJ108+EI109-ER108,IF(A109&lt;'Données projet'!$A$192,$EG$205^A109,IF(A109='Données projet'!$A$192,'Données projet'!$B$192,EJ108+EI109-ER108)))</f>
        <v>287.39999999999969</v>
      </c>
      <c r="EK109" s="18">
        <f>EJ109*VLOOKUP('Données projet'!$B$15,Paramètres!$A$1:$I$89,3,0)*VLOOKUP('Données projet'!$B$15,Paramètres!$A$1:$I$89,5,0)</f>
        <v>277.9732799999997</v>
      </c>
      <c r="EL109" s="14">
        <f t="shared" si="99"/>
        <v>66.538523764973135</v>
      </c>
      <c r="EM109" s="22">
        <f t="shared" si="73"/>
        <v>600.0247248906611</v>
      </c>
      <c r="EN109" s="60">
        <f t="shared" si="74"/>
        <v>879.01653847879015</v>
      </c>
      <c r="EO109" s="60">
        <f ca="1">AVERAGE(OFFSET($EN$3,0,0,'Données projet'!$E$15+1,1))-AVERAGE(OFFSET($H$3,0,0,'Données projet'!$E$15+1,1))</f>
        <v>496.33873798282525</v>
      </c>
      <c r="EP109" s="60">
        <f t="shared" si="100"/>
        <v>280.25465074992246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3.4106051316484809E-13</v>
      </c>
      <c r="FF109" s="18">
        <f>FE109*VLOOKUP('Données projet'!$B$16,Paramètres!$A$1:$I$89,3,0)*VLOOKUP('Données projet'!$B$16,Paramètres!$A$1:$I$89,5,0)</f>
        <v>2.9795046430081134E-13</v>
      </c>
      <c r="FG109" s="14">
        <f t="shared" si="101"/>
        <v>3.9419014464513778E-12</v>
      </c>
      <c r="FH109" s="22">
        <f t="shared" si="76"/>
        <v>7.384408744560063E-12</v>
      </c>
      <c r="FI109" s="60">
        <f t="shared" si="77"/>
        <v>278.99181358813649</v>
      </c>
      <c r="FJ109" s="60">
        <f ca="1">AVERAGE(OFFSET($FI$3,0,0,'Données projet'!$E$16+1,1))-AVERAGE(OFFSET($H$3,0,0,'Données projet'!$E$16+1,1))</f>
        <v>363.28611056308665</v>
      </c>
      <c r="FK109" s="60">
        <f t="shared" si="102"/>
        <v>389.43647559455974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3.333333333333337</v>
      </c>
      <c r="FZ109" s="13">
        <f>IF('Données projet'!$A$244&gt;35,FZ108+FY109-GH108,IF(A109&lt;'Données projet'!$A$244,$FW$205^A109,IF(A109='Données projet'!$A$244,'Données projet'!$B$244,FZ108+FY109-GH108)))</f>
        <v>304.61538461538487</v>
      </c>
      <c r="GA109" s="18">
        <f>FZ109*VLOOKUP('Données projet'!$B$17,Paramètres!$A$1:$I$89,3,0)*VLOOKUP('Données projet'!$B$17,Paramètres!$A$1:$I$89,5,0)</f>
        <v>204.33600000000018</v>
      </c>
      <c r="GB109" s="14">
        <f t="shared" si="103"/>
        <v>50.695896504938347</v>
      </c>
      <c r="GC109" s="22">
        <f t="shared" si="79"/>
        <v>444.18055307943456</v>
      </c>
      <c r="GD109" s="60">
        <f t="shared" si="80"/>
        <v>723.17236666756367</v>
      </c>
      <c r="GE109" s="60">
        <f ca="1">AVERAGE(OFFSET($GD$3,0,0,'Données projet'!$E$17+1,1))-AVERAGE(OFFSET($H$3,0,0,'Données projet'!$E$17+1,1))</f>
        <v>344.62096650402731</v>
      </c>
      <c r="GF109" s="60">
        <f t="shared" si="104"/>
        <v>277.30931495079346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6.3</v>
      </c>
      <c r="N110" s="14">
        <f>IF('Données projet'!$A$36&gt;35,N109+M110-V109,IF(A110&lt;'Données projet'!$A$36,$K$205^A110,IF(A110='Données projet'!$A$36,'Données projet'!$B$36,N109+M110-V109)))</f>
        <v>444.09999999999962</v>
      </c>
      <c r="O110" s="14">
        <f>N110*VLOOKUP('Données projet'!$B$9,Paramètres!$A$1:$I$89,3,0)*VLOOKUP('Données projet'!$B$9,Paramètres!$A$1:$I$89,5,0)</f>
        <v>381.03779999999972</v>
      </c>
      <c r="P110" s="14">
        <f t="shared" si="87"/>
        <v>87.921571818809241</v>
      </c>
      <c r="Q110" s="22">
        <f t="shared" si="107"/>
        <v>816.7709059177588</v>
      </c>
      <c r="R110" s="60">
        <f t="shared" si="55"/>
        <v>1096.0115128106324</v>
      </c>
      <c r="S110" s="60">
        <f ca="1">AVERAGE(OFFSET($R$3,0,0,'Données projet'!$E$9+1,1))-AVERAGE(OFFSET($H$3,0,0,'Données projet'!$E$9+1,1))</f>
        <v>632.26350546340541</v>
      </c>
      <c r="T110" s="60">
        <f t="shared" si="88"/>
        <v>340.45335016367915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2.7134774427395314E-13</v>
      </c>
      <c r="AK110" s="14">
        <f t="shared" si="89"/>
        <v>3.6292411711343559E-12</v>
      </c>
      <c r="AL110" s="22">
        <f t="shared" si="58"/>
        <v>6.7935256943361388E-12</v>
      </c>
      <c r="AM110" s="60">
        <f t="shared" si="59"/>
        <v>279.24060689288046</v>
      </c>
      <c r="AN110" s="60">
        <f ca="1">AVERAGE(OFFSET($AM$3,0,0,'Données projet'!$E$10+1,1))-AVERAGE(OFFSET($H$3,0,0,'Données projet'!$E$10+1,1))</f>
        <v>336.25341821407534</v>
      </c>
      <c r="AO110" s="60">
        <f t="shared" si="90"/>
        <v>360.3246221345039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2.7134774427395314E-13</v>
      </c>
      <c r="BF110" s="14">
        <f t="shared" si="91"/>
        <v>3.6292411711343559E-12</v>
      </c>
      <c r="BG110" s="22">
        <f t="shared" si="61"/>
        <v>6.7935256943361388E-12</v>
      </c>
      <c r="BH110" s="60">
        <f t="shared" si="62"/>
        <v>279.24060689288046</v>
      </c>
      <c r="BI110" s="60">
        <f ca="1">AVERAGE(OFFSET($BH$3,0,0,'Données projet'!$E$11+1,1))-AVERAGE(OFFSET($H$3,0,0,'Données projet'!$E$11+1,1))</f>
        <v>336.25341821407534</v>
      </c>
      <c r="BJ110" s="60">
        <f t="shared" si="92"/>
        <v>360.3246221345039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264.02063999999967</v>
      </c>
      <c r="CA110" s="14">
        <f t="shared" si="93"/>
        <v>63.57864899095906</v>
      </c>
      <c r="CB110" s="22">
        <f t="shared" si="64"/>
        <v>570.56876165925303</v>
      </c>
      <c r="CC110" s="60">
        <f t="shared" si="65"/>
        <v>849.80936855212667</v>
      </c>
      <c r="CD110" s="60">
        <f ca="1">AVERAGE(OFFSET($CC$3,0,0,'Données projet'!$E$12+1,1))-AVERAGE(OFFSET($H$3,0,0,'Données projet'!$E$12+1,1))</f>
        <v>469.67944008675863</v>
      </c>
      <c r="CE110" s="60">
        <f t="shared" si="94"/>
        <v>266.11908070867173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8.8675733422860506E-14</v>
      </c>
      <c r="CV110" s="14">
        <f t="shared" si="95"/>
        <v>1.3509285393066301E-12</v>
      </c>
      <c r="CW110" s="22">
        <f t="shared" si="67"/>
        <v>2.5073107750038623E-12</v>
      </c>
      <c r="CX110" s="60">
        <f t="shared" si="68"/>
        <v>279.24060689287614</v>
      </c>
      <c r="CY110" s="60">
        <f ca="1">AVERAGE(OFFSET($CX$3,0,0,'Données projet'!$E$13+1,1))-AVERAGE(OFFSET($H$3,0,0,'Données projet'!$E$13+1,1))</f>
        <v>312.59632808777332</v>
      </c>
      <c r="CZ110" s="60">
        <f t="shared" si="96"/>
        <v>302.59481222418219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3.0769230769230802</v>
      </c>
      <c r="DO110" s="13">
        <f>IF('Données projet'!$A$166&gt;35,DO109+DN110-DW109,IF(A110&lt;'Données projet'!$A$166,$DL$205^A110,IF(A110='Données projet'!$A$166,'Données projet'!$B$166,DO109+DN110-DW109)))</f>
        <v>243.97435897435906</v>
      </c>
      <c r="DP110" s="18">
        <f>DO110*VLOOKUP('Données projet'!$B$14,Paramètres!$A$1:$I$89,3,0)*VLOOKUP('Données projet'!$B$14,Paramètres!$A$1:$I$89,5,0)</f>
        <v>232.16600000000008</v>
      </c>
      <c r="DQ110" s="14">
        <f t="shared" si="97"/>
        <v>56.750765573960223</v>
      </c>
      <c r="DR110" s="22">
        <f t="shared" si="70"/>
        <v>503.19670004131422</v>
      </c>
      <c r="DS110" s="60">
        <f t="shared" si="71"/>
        <v>782.43730693418786</v>
      </c>
      <c r="DT110" s="60">
        <f ca="1">AVERAGE(OFFSET($DS$3,0,0,'Données projet'!$E$14+1,1))-AVERAGE(OFFSET($H$3,0,0,'Données projet'!$E$14+1,1))</f>
        <v>398.29746143975166</v>
      </c>
      <c r="DU110" s="60">
        <f t="shared" si="98"/>
        <v>300.63705521148802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4.4000000000000004</v>
      </c>
      <c r="EJ110" s="13">
        <f>IF('Données projet'!$A$192&gt;35,EJ109+EI110-ER109,IF(A110&lt;'Données projet'!$A$192,$EG$205^A110,IF(A110='Données projet'!$A$192,'Données projet'!$B$192,EJ109+EI110-ER109)))</f>
        <v>291.79999999999967</v>
      </c>
      <c r="EK110" s="18">
        <f>EJ110*VLOOKUP('Données projet'!$B$15,Paramètres!$A$1:$I$89,3,0)*VLOOKUP('Données projet'!$B$15,Paramètres!$A$1:$I$89,5,0)</f>
        <v>282.22895999999969</v>
      </c>
      <c r="EL110" s="14">
        <f t="shared" si="99"/>
        <v>67.437834611070301</v>
      </c>
      <c r="EM110" s="22">
        <f t="shared" si="73"/>
        <v>609.00300061428027</v>
      </c>
      <c r="EN110" s="60">
        <f t="shared" si="74"/>
        <v>888.24360750715391</v>
      </c>
      <c r="EO110" s="60">
        <f ca="1">AVERAGE(OFFSET($EN$3,0,0,'Données projet'!$E$15+1,1))-AVERAGE(OFFSET($H$3,0,0,'Données projet'!$E$15+1,1))</f>
        <v>496.33873798282525</v>
      </c>
      <c r="EP110" s="60">
        <f t="shared" si="100"/>
        <v>280.25465074992246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3.4106051316484809E-13</v>
      </c>
      <c r="FF110" s="18">
        <f>FE110*VLOOKUP('Données projet'!$B$16,Paramètres!$A$1:$I$89,3,0)*VLOOKUP('Données projet'!$B$16,Paramètres!$A$1:$I$89,5,0)</f>
        <v>2.9795046430081134E-13</v>
      </c>
      <c r="FG110" s="14">
        <f t="shared" si="101"/>
        <v>3.9419014464513778E-12</v>
      </c>
      <c r="FH110" s="22">
        <f t="shared" si="76"/>
        <v>7.384408744560063E-12</v>
      </c>
      <c r="FI110" s="60">
        <f t="shared" si="77"/>
        <v>279.24060689288103</v>
      </c>
      <c r="FJ110" s="60">
        <f ca="1">AVERAGE(OFFSET($FI$3,0,0,'Données projet'!$E$16+1,1))-AVERAGE(OFFSET($H$3,0,0,'Données projet'!$E$16+1,1))</f>
        <v>363.28611056308665</v>
      </c>
      <c r="FK110" s="60">
        <f t="shared" si="102"/>
        <v>389.43647559455974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3.333333333333337</v>
      </c>
      <c r="FZ110" s="13">
        <f>IF('Données projet'!$A$244&gt;35,FZ109+FY110-GH109,IF(A110&lt;'Données projet'!$A$244,$FW$205^A110,IF(A110='Données projet'!$A$244,'Données projet'!$B$244,FZ109+FY110-GH109)))</f>
        <v>307.94871794871818</v>
      </c>
      <c r="GA110" s="18">
        <f>FZ110*VLOOKUP('Données projet'!$B$17,Paramètres!$A$1:$I$89,3,0)*VLOOKUP('Données projet'!$B$17,Paramètres!$A$1:$I$89,5,0)</f>
        <v>206.57200000000014</v>
      </c>
      <c r="GB110" s="14">
        <f t="shared" si="103"/>
        <v>51.185765406859268</v>
      </c>
      <c r="GC110" s="22">
        <f t="shared" si="79"/>
        <v>448.92810808361338</v>
      </c>
      <c r="GD110" s="60">
        <f t="shared" si="80"/>
        <v>728.16871497648708</v>
      </c>
      <c r="GE110" s="60">
        <f ca="1">AVERAGE(OFFSET($GD$3,0,0,'Données projet'!$E$17+1,1))-AVERAGE(OFFSET($H$3,0,0,'Données projet'!$E$17+1,1))</f>
        <v>344.62096650402731</v>
      </c>
      <c r="GF110" s="60">
        <f t="shared" si="104"/>
        <v>277.30931495079346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6.3</v>
      </c>
      <c r="N111" s="14">
        <f>IF('Données projet'!$A$36&gt;35,N110+M111-V110,IF(A111&lt;'Données projet'!$A$36,$K$205^A111,IF(A111='Données projet'!$A$36,'Données projet'!$B$36,N110+M111-V110)))</f>
        <v>450.39999999999964</v>
      </c>
      <c r="O111" s="14">
        <f>N111*VLOOKUP('Données projet'!$B$9,Paramètres!$A$1:$I$89,3,0)*VLOOKUP('Données projet'!$B$9,Paramètres!$A$1:$I$89,5,0)</f>
        <v>386.44319999999976</v>
      </c>
      <c r="P111" s="14">
        <f t="shared" si="87"/>
        <v>89.02274111882231</v>
      </c>
      <c r="Q111" s="22">
        <f t="shared" si="107"/>
        <v>828.10318078194848</v>
      </c>
      <c r="R111" s="60">
        <f t="shared" si="55"/>
        <v>1107.5882649719479</v>
      </c>
      <c r="S111" s="60">
        <f ca="1">AVERAGE(OFFSET($R$3,0,0,'Données projet'!$E$9+1,1))-AVERAGE(OFFSET($H$3,0,0,'Données projet'!$E$9+1,1))</f>
        <v>632.26350546340541</v>
      </c>
      <c r="T111" s="60">
        <f t="shared" si="88"/>
        <v>340.45335016367915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2.7134774427395314E-13</v>
      </c>
      <c r="AK111" s="14">
        <f t="shared" si="89"/>
        <v>3.6292411711343559E-12</v>
      </c>
      <c r="AL111" s="22">
        <f t="shared" si="58"/>
        <v>6.7935256943361388E-12</v>
      </c>
      <c r="AM111" s="60">
        <f t="shared" si="59"/>
        <v>279.48508419000615</v>
      </c>
      <c r="AN111" s="60">
        <f ca="1">AVERAGE(OFFSET($AM$3,0,0,'Données projet'!$E$10+1,1))-AVERAGE(OFFSET($H$3,0,0,'Données projet'!$E$10+1,1))</f>
        <v>336.25341821407534</v>
      </c>
      <c r="AO111" s="60">
        <f t="shared" si="90"/>
        <v>360.3246221345039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2.7134774427395314E-13</v>
      </c>
      <c r="BF111" s="14">
        <f t="shared" si="91"/>
        <v>3.6292411711343559E-12</v>
      </c>
      <c r="BG111" s="22">
        <f t="shared" si="61"/>
        <v>6.7935256943361388E-12</v>
      </c>
      <c r="BH111" s="60">
        <f t="shared" si="62"/>
        <v>279.48508419000615</v>
      </c>
      <c r="BI111" s="60">
        <f ca="1">AVERAGE(OFFSET($BH$3,0,0,'Données projet'!$E$11+1,1))-AVERAGE(OFFSET($H$3,0,0,'Données projet'!$E$11+1,1))</f>
        <v>336.25341821407534</v>
      </c>
      <c r="BJ111" s="60">
        <f t="shared" si="92"/>
        <v>360.3246221345039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268.00175999999971</v>
      </c>
      <c r="CA111" s="14">
        <f t="shared" si="93"/>
        <v>64.425009159185521</v>
      </c>
      <c r="CB111" s="22">
        <f t="shared" si="64"/>
        <v>578.97662295224757</v>
      </c>
      <c r="CC111" s="60">
        <f t="shared" si="65"/>
        <v>858.46170714224695</v>
      </c>
      <c r="CD111" s="60">
        <f ca="1">AVERAGE(OFFSET($CC$3,0,0,'Données projet'!$E$12+1,1))-AVERAGE(OFFSET($H$3,0,0,'Données projet'!$E$12+1,1))</f>
        <v>469.67944008675863</v>
      </c>
      <c r="CE111" s="60">
        <f t="shared" si="94"/>
        <v>266.11908070867173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8.8675733422860506E-14</v>
      </c>
      <c r="CV111" s="14">
        <f t="shared" si="95"/>
        <v>1.3509285393066301E-12</v>
      </c>
      <c r="CW111" s="22">
        <f t="shared" si="67"/>
        <v>2.5073107750038623E-12</v>
      </c>
      <c r="CX111" s="60">
        <f t="shared" si="68"/>
        <v>279.48508419000183</v>
      </c>
      <c r="CY111" s="60">
        <f ca="1">AVERAGE(OFFSET($CX$3,0,0,'Données projet'!$E$13+1,1))-AVERAGE(OFFSET($H$3,0,0,'Données projet'!$E$13+1,1))</f>
        <v>312.59632808777332</v>
      </c>
      <c r="CZ111" s="60">
        <f t="shared" si="96"/>
        <v>302.59481222418219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3.0769230769230802</v>
      </c>
      <c r="DO111" s="13">
        <f>IF('Données projet'!$A$166&gt;35,DO110+DN111-DW110,IF(A111&lt;'Données projet'!$A$166,$DL$205^A111,IF(A111='Données projet'!$A$166,'Données projet'!$B$166,DO110+DN111-DW110)))</f>
        <v>247.05128205128216</v>
      </c>
      <c r="DP111" s="18">
        <f>DO111*VLOOKUP('Données projet'!$B$14,Paramètres!$A$1:$I$89,3,0)*VLOOKUP('Données projet'!$B$14,Paramètres!$A$1:$I$89,5,0)</f>
        <v>235.09400000000011</v>
      </c>
      <c r="DQ111" s="14">
        <f t="shared" si="97"/>
        <v>57.382715232787383</v>
      </c>
      <c r="DR111" s="22">
        <f t="shared" si="70"/>
        <v>509.39694569710491</v>
      </c>
      <c r="DS111" s="60">
        <f t="shared" si="71"/>
        <v>788.88202988710418</v>
      </c>
      <c r="DT111" s="60">
        <f ca="1">AVERAGE(OFFSET($DS$3,0,0,'Données projet'!$E$14+1,1))-AVERAGE(OFFSET($H$3,0,0,'Données projet'!$E$14+1,1))</f>
        <v>398.29746143975166</v>
      </c>
      <c r="DU111" s="60">
        <f t="shared" si="98"/>
        <v>300.63705521148802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4.4000000000000004</v>
      </c>
      <c r="EJ111" s="13">
        <f>IF('Données projet'!$A$192&gt;35,EJ110+EI111-ER110,IF(A111&lt;'Données projet'!$A$192,$EG$205^A111,IF(A111='Données projet'!$A$192,'Données projet'!$B$192,EJ110+EI111-ER110)))</f>
        <v>296.19999999999965</v>
      </c>
      <c r="EK111" s="18">
        <f>EJ111*VLOOKUP('Données projet'!$B$15,Paramètres!$A$1:$I$89,3,0)*VLOOKUP('Données projet'!$B$15,Paramètres!$A$1:$I$89,5,0)</f>
        <v>286.48463999999967</v>
      </c>
      <c r="EL111" s="14">
        <f t="shared" si="99"/>
        <v>68.335568330677432</v>
      </c>
      <c r="EM111" s="22">
        <f t="shared" si="73"/>
        <v>617.97852950926267</v>
      </c>
      <c r="EN111" s="60">
        <f t="shared" si="74"/>
        <v>897.46361369926194</v>
      </c>
      <c r="EO111" s="60">
        <f ca="1">AVERAGE(OFFSET($EN$3,0,0,'Données projet'!$E$15+1,1))-AVERAGE(OFFSET($H$3,0,0,'Données projet'!$E$15+1,1))</f>
        <v>496.33873798282525</v>
      </c>
      <c r="EP111" s="60">
        <f t="shared" si="100"/>
        <v>280.25465074992246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3.4106051316484809E-13</v>
      </c>
      <c r="FF111" s="18">
        <f>FE111*VLOOKUP('Données projet'!$B$16,Paramètres!$A$1:$I$89,3,0)*VLOOKUP('Données projet'!$B$16,Paramètres!$A$1:$I$89,5,0)</f>
        <v>2.9795046430081134E-13</v>
      </c>
      <c r="FG111" s="14">
        <f t="shared" si="101"/>
        <v>3.9419014464513778E-12</v>
      </c>
      <c r="FH111" s="22">
        <f t="shared" si="76"/>
        <v>7.384408744560063E-12</v>
      </c>
      <c r="FI111" s="60">
        <f t="shared" si="77"/>
        <v>279.48508419000672</v>
      </c>
      <c r="FJ111" s="60">
        <f ca="1">AVERAGE(OFFSET($FI$3,0,0,'Données projet'!$E$16+1,1))-AVERAGE(OFFSET($H$3,0,0,'Données projet'!$E$16+1,1))</f>
        <v>363.28611056308665</v>
      </c>
      <c r="FK111" s="60">
        <f t="shared" si="102"/>
        <v>389.43647559455974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3.333333333333337</v>
      </c>
      <c r="FZ111" s="13">
        <f>IF('Données projet'!$A$244&gt;35,FZ110+FY111-GH110,IF(A111&lt;'Données projet'!$A$244,$FW$205^A111,IF(A111='Données projet'!$A$244,'Données projet'!$B$244,FZ110+FY111-GH110)))</f>
        <v>311.2820512820515</v>
      </c>
      <c r="GA111" s="18">
        <f>FZ111*VLOOKUP('Données projet'!$B$17,Paramètres!$A$1:$I$89,3,0)*VLOOKUP('Données projet'!$B$17,Paramètres!$A$1:$I$89,5,0)</f>
        <v>208.80800000000013</v>
      </c>
      <c r="GB111" s="14">
        <f t="shared" si="103"/>
        <v>51.675017474362051</v>
      </c>
      <c r="GC111" s="22">
        <f t="shared" si="79"/>
        <v>453.67458876784752</v>
      </c>
      <c r="GD111" s="60">
        <f t="shared" si="80"/>
        <v>733.15967295784685</v>
      </c>
      <c r="GE111" s="60">
        <f ca="1">AVERAGE(OFFSET($GD$3,0,0,'Données projet'!$E$17+1,1))-AVERAGE(OFFSET($H$3,0,0,'Données projet'!$E$17+1,1))</f>
        <v>344.62096650402731</v>
      </c>
      <c r="GF111" s="60">
        <f t="shared" si="104"/>
        <v>277.30931495079346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6.3</v>
      </c>
      <c r="N112" s="14">
        <f>IF('Données projet'!$A$36&gt;35,N111+M112-V111,IF(A112&lt;'Données projet'!$A$36,$K$205^A112,IF(A112='Données projet'!$A$36,'Données projet'!$B$36,N111+M112-V111)))</f>
        <v>456.69999999999965</v>
      </c>
      <c r="O112" s="14">
        <f>N112*VLOOKUP('Données projet'!$B$9,Paramètres!$A$1:$I$89,3,0)*VLOOKUP('Données projet'!$B$9,Paramètres!$A$1:$I$89,5,0)</f>
        <v>391.84859999999975</v>
      </c>
      <c r="P112" s="14">
        <f t="shared" si="87"/>
        <v>90.122118943980524</v>
      </c>
      <c r="Q112" s="22">
        <f t="shared" si="107"/>
        <v>839.43233549409888</v>
      </c>
      <c r="R112" s="60">
        <f t="shared" si="55"/>
        <v>1119.1576558466882</v>
      </c>
      <c r="S112" s="60">
        <f ca="1">AVERAGE(OFFSET($R$3,0,0,'Données projet'!$E$9+1,1))-AVERAGE(OFFSET($H$3,0,0,'Données projet'!$E$9+1,1))</f>
        <v>632.26350546340541</v>
      </c>
      <c r="T112" s="60">
        <f t="shared" si="88"/>
        <v>340.45335016367915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2.7134774427395314E-13</v>
      </c>
      <c r="AK112" s="14">
        <f t="shared" si="89"/>
        <v>3.6292411711343559E-12</v>
      </c>
      <c r="AL112" s="22">
        <f t="shared" si="58"/>
        <v>6.7935256943361388E-12</v>
      </c>
      <c r="AM112" s="60">
        <f t="shared" si="59"/>
        <v>279.7253203525961</v>
      </c>
      <c r="AN112" s="60">
        <f ca="1">AVERAGE(OFFSET($AM$3,0,0,'Données projet'!$E$10+1,1))-AVERAGE(OFFSET($H$3,0,0,'Données projet'!$E$10+1,1))</f>
        <v>336.25341821407534</v>
      </c>
      <c r="AO112" s="60">
        <f t="shared" si="90"/>
        <v>360.3246221345039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2.7134774427395314E-13</v>
      </c>
      <c r="BF112" s="14">
        <f t="shared" si="91"/>
        <v>3.6292411711343559E-12</v>
      </c>
      <c r="BG112" s="22">
        <f t="shared" si="61"/>
        <v>6.7935256943361388E-12</v>
      </c>
      <c r="BH112" s="60">
        <f t="shared" si="62"/>
        <v>279.7253203525961</v>
      </c>
      <c r="BI112" s="60">
        <f ca="1">AVERAGE(OFFSET($BH$3,0,0,'Données projet'!$E$11+1,1))-AVERAGE(OFFSET($H$3,0,0,'Données projet'!$E$11+1,1))</f>
        <v>336.25341821407534</v>
      </c>
      <c r="BJ112" s="60">
        <f t="shared" si="92"/>
        <v>360.3246221345039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271.98287999999962</v>
      </c>
      <c r="CA112" s="14">
        <f t="shared" si="93"/>
        <v>65.269907092018684</v>
      </c>
      <c r="CB112" s="22">
        <f t="shared" si="64"/>
        <v>587.38193751859842</v>
      </c>
      <c r="CC112" s="60">
        <f t="shared" si="65"/>
        <v>867.1072578711877</v>
      </c>
      <c r="CD112" s="60">
        <f ca="1">AVERAGE(OFFSET($CC$3,0,0,'Données projet'!$E$12+1,1))-AVERAGE(OFFSET($H$3,0,0,'Données projet'!$E$12+1,1))</f>
        <v>469.67944008675863</v>
      </c>
      <c r="CE112" s="60">
        <f t="shared" si="94"/>
        <v>266.11908070867173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8.8675733422860506E-14</v>
      </c>
      <c r="CV112" s="14">
        <f t="shared" si="95"/>
        <v>1.3509285393066301E-12</v>
      </c>
      <c r="CW112" s="22">
        <f t="shared" si="67"/>
        <v>2.5073107750038623E-12</v>
      </c>
      <c r="CX112" s="60">
        <f t="shared" si="68"/>
        <v>279.72532035259178</v>
      </c>
      <c r="CY112" s="60">
        <f ca="1">AVERAGE(OFFSET($CX$3,0,0,'Données projet'!$E$13+1,1))-AVERAGE(OFFSET($H$3,0,0,'Données projet'!$E$13+1,1))</f>
        <v>312.59632808777332</v>
      </c>
      <c r="CZ112" s="60">
        <f t="shared" si="96"/>
        <v>302.59481222418219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3.0769230769230802</v>
      </c>
      <c r="DO112" s="13">
        <f>IF('Données projet'!$A$166&gt;35,DO111+DN112-DW111,IF(A112&lt;'Données projet'!$A$166,$DL$205^A112,IF(A112='Données projet'!$A$166,'Données projet'!$B$166,DO111+DN112-DW111)))</f>
        <v>250.12820512820525</v>
      </c>
      <c r="DP112" s="18">
        <f>DO112*VLOOKUP('Données projet'!$B$14,Paramètres!$A$1:$I$89,3,0)*VLOOKUP('Données projet'!$B$14,Paramètres!$A$1:$I$89,5,0)</f>
        <v>238.02200000000013</v>
      </c>
      <c r="DQ112" s="14">
        <f t="shared" si="97"/>
        <v>58.013749383704898</v>
      </c>
      <c r="DR112" s="22">
        <f t="shared" si="70"/>
        <v>515.59559684328622</v>
      </c>
      <c r="DS112" s="60">
        <f t="shared" si="71"/>
        <v>795.3209171958755</v>
      </c>
      <c r="DT112" s="60">
        <f ca="1">AVERAGE(OFFSET($DS$3,0,0,'Données projet'!$E$14+1,1))-AVERAGE(OFFSET($H$3,0,0,'Données projet'!$E$14+1,1))</f>
        <v>398.29746143975166</v>
      </c>
      <c r="DU112" s="60">
        <f t="shared" si="98"/>
        <v>300.63705521148802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4.4000000000000004</v>
      </c>
      <c r="EJ112" s="13">
        <f>IF('Données projet'!$A$192&gt;35,EJ111+EI112-ER111,IF(A112&lt;'Données projet'!$A$192,$EG$205^A112,IF(A112='Données projet'!$A$192,'Données projet'!$B$192,EJ111+EI112-ER111)))</f>
        <v>300.59999999999962</v>
      </c>
      <c r="EK112" s="18">
        <f>EJ112*VLOOKUP('Données projet'!$B$15,Paramètres!$A$1:$I$89,3,0)*VLOOKUP('Données projet'!$B$15,Paramètres!$A$1:$I$89,5,0)</f>
        <v>290.74031999999966</v>
      </c>
      <c r="EL112" s="14">
        <f t="shared" si="99"/>
        <v>69.231751058085507</v>
      </c>
      <c r="EM112" s="22">
        <f t="shared" si="73"/>
        <v>626.95135709283159</v>
      </c>
      <c r="EN112" s="60">
        <f t="shared" si="74"/>
        <v>906.67667744542086</v>
      </c>
      <c r="EO112" s="60">
        <f ca="1">AVERAGE(OFFSET($EN$3,0,0,'Données projet'!$E$15+1,1))-AVERAGE(OFFSET($H$3,0,0,'Données projet'!$E$15+1,1))</f>
        <v>496.33873798282525</v>
      </c>
      <c r="EP112" s="60">
        <f t="shared" si="100"/>
        <v>280.25465074992246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3.4106051316484809E-13</v>
      </c>
      <c r="FF112" s="18">
        <f>FE112*VLOOKUP('Données projet'!$B$16,Paramètres!$A$1:$I$89,3,0)*VLOOKUP('Données projet'!$B$16,Paramètres!$A$1:$I$89,5,0)</f>
        <v>2.9795046430081134E-13</v>
      </c>
      <c r="FG112" s="14">
        <f t="shared" si="101"/>
        <v>3.9419014464513778E-12</v>
      </c>
      <c r="FH112" s="22">
        <f t="shared" si="76"/>
        <v>7.384408744560063E-12</v>
      </c>
      <c r="FI112" s="60">
        <f t="shared" si="77"/>
        <v>279.72532035259667</v>
      </c>
      <c r="FJ112" s="60">
        <f ca="1">AVERAGE(OFFSET($FI$3,0,0,'Données projet'!$E$16+1,1))-AVERAGE(OFFSET($H$3,0,0,'Données projet'!$E$16+1,1))</f>
        <v>363.28611056308665</v>
      </c>
      <c r="FK112" s="60">
        <f t="shared" si="102"/>
        <v>389.43647559455974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3.333333333333337</v>
      </c>
      <c r="FZ112" s="13">
        <f>IF('Données projet'!$A$244&gt;35,FZ111+FY112-GH111,IF(A112&lt;'Données projet'!$A$244,$FW$205^A112,IF(A112='Données projet'!$A$244,'Données projet'!$B$244,FZ111+FY112-GH111)))</f>
        <v>314.61538461538481</v>
      </c>
      <c r="GA112" s="18">
        <f>FZ112*VLOOKUP('Données projet'!$B$17,Paramètres!$A$1:$I$89,3,0)*VLOOKUP('Données projet'!$B$17,Paramètres!$A$1:$I$89,5,0)</f>
        <v>211.04400000000015</v>
      </c>
      <c r="GB112" s="14">
        <f t="shared" si="103"/>
        <v>52.163660077304868</v>
      </c>
      <c r="GC112" s="22">
        <f t="shared" si="79"/>
        <v>458.42000796797294</v>
      </c>
      <c r="GD112" s="60">
        <f t="shared" si="80"/>
        <v>738.14532832056216</v>
      </c>
      <c r="GE112" s="60">
        <f ca="1">AVERAGE(OFFSET($GD$3,0,0,'Données projet'!$E$17+1,1))-AVERAGE(OFFSET($H$3,0,0,'Données projet'!$E$17+1,1))</f>
        <v>344.62096650402731</v>
      </c>
      <c r="GF112" s="60">
        <f t="shared" si="104"/>
        <v>277.30931495079346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463</v>
      </c>
      <c r="L113" s="13">
        <f>VLOOKUP(A113,'Données projet'!$A$35:$I$55,9,0)</f>
        <v>6.3</v>
      </c>
      <c r="M113" s="13">
        <f t="array" ref="M113">INDEX(L:L,MIN(IF(ISNUMBER(L113:L309),ROW(L113:L309),"")))</f>
        <v>6.3</v>
      </c>
      <c r="N113" s="14">
        <f>IF('Données projet'!$A$36&gt;35,N112+M113-V112,IF(A113&lt;'Données projet'!$A$36,$K$205^A113,IF(A113='Données projet'!$A$36,'Données projet'!$B$36,N112+M113-V112)))</f>
        <v>462.99999999999966</v>
      </c>
      <c r="O113" s="14">
        <f>N113*VLOOKUP('Données projet'!$B$9,Paramètres!$A$1:$I$89,3,0)*VLOOKUP('Données projet'!$B$9,Paramètres!$A$1:$I$89,5,0)</f>
        <v>397.25399999999973</v>
      </c>
      <c r="P113" s="14">
        <f t="shared" si="87"/>
        <v>91.219732863167494</v>
      </c>
      <c r="Q113" s="22">
        <f t="shared" si="107"/>
        <v>850.75841807001632</v>
      </c>
      <c r="R113" s="60">
        <f t="shared" si="55"/>
        <v>1130.7198070248621</v>
      </c>
      <c r="S113" s="60">
        <f ca="1">AVERAGE(OFFSET($R$3,0,0,'Données projet'!$E$9+1,1))-AVERAGE(OFFSET($H$3,0,0,'Données projet'!$E$9+1,1))</f>
        <v>632.26350546340541</v>
      </c>
      <c r="T113" s="60">
        <f t="shared" si="88"/>
        <v>340.45335016367915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45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2.7134774427395314E-13</v>
      </c>
      <c r="AK113" s="14">
        <f t="shared" si="89"/>
        <v>3.6292411711343559E-12</v>
      </c>
      <c r="AL113" s="22">
        <f t="shared" si="58"/>
        <v>6.7935256943361388E-12</v>
      </c>
      <c r="AM113" s="60">
        <f t="shared" si="59"/>
        <v>279.96138895485268</v>
      </c>
      <c r="AN113" s="60">
        <f ca="1">AVERAGE(OFFSET($AM$3,0,0,'Données projet'!$E$10+1,1))-AVERAGE(OFFSET($H$3,0,0,'Données projet'!$E$10+1,1))</f>
        <v>336.25341821407534</v>
      </c>
      <c r="AO113" s="60">
        <f t="shared" si="90"/>
        <v>360.3246221345039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2.7134774427395314E-13</v>
      </c>
      <c r="BF113" s="14">
        <f t="shared" si="91"/>
        <v>3.6292411711343559E-12</v>
      </c>
      <c r="BG113" s="22">
        <f t="shared" si="61"/>
        <v>6.7935256943361388E-12</v>
      </c>
      <c r="BH113" s="60">
        <f t="shared" si="62"/>
        <v>279.96138895485268</v>
      </c>
      <c r="BI113" s="60">
        <f ca="1">AVERAGE(OFFSET($BH$3,0,0,'Données projet'!$E$11+1,1))-AVERAGE(OFFSET($H$3,0,0,'Données projet'!$E$11+1,1))</f>
        <v>336.25341821407534</v>
      </c>
      <c r="BJ113" s="60">
        <f t="shared" si="92"/>
        <v>360.3246221345039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275.9639999999996</v>
      </c>
      <c r="CA113" s="14">
        <f t="shared" si="93"/>
        <v>66.113366665488797</v>
      </c>
      <c r="CB113" s="22">
        <f t="shared" si="64"/>
        <v>595.7847469423923</v>
      </c>
      <c r="CC113" s="60">
        <f t="shared" si="65"/>
        <v>875.74613589723822</v>
      </c>
      <c r="CD113" s="60">
        <f ca="1">AVERAGE(OFFSET($CC$3,0,0,'Données projet'!$E$12+1,1))-AVERAGE(OFFSET($H$3,0,0,'Données projet'!$E$12+1,1))</f>
        <v>469.67944008675863</v>
      </c>
      <c r="CE113" s="60">
        <f t="shared" si="94"/>
        <v>266.11908070867173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8.8675733422860506E-14</v>
      </c>
      <c r="CV113" s="14">
        <f t="shared" si="95"/>
        <v>1.3509285393066301E-12</v>
      </c>
      <c r="CW113" s="22">
        <f t="shared" si="67"/>
        <v>2.5073107750038623E-12</v>
      </c>
      <c r="CX113" s="60">
        <f t="shared" si="68"/>
        <v>279.96138895484836</v>
      </c>
      <c r="CY113" s="60">
        <f ca="1">AVERAGE(OFFSET($CX$3,0,0,'Données projet'!$E$13+1,1))-AVERAGE(OFFSET($H$3,0,0,'Données projet'!$E$13+1,1))</f>
        <v>312.59632808777332</v>
      </c>
      <c r="CZ113" s="60">
        <f t="shared" si="96"/>
        <v>302.59481222418219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253.2051282051282</v>
      </c>
      <c r="DM113" s="13">
        <f>VLOOKUP(A113,'Données projet'!$A$165:$I$185,9,0)</f>
        <v>3.0769230769230802</v>
      </c>
      <c r="DN113" s="13">
        <f t="array" ref="DN113">INDEX(DM:DM,MIN(IF(ISNUMBER(DM113:DM309),ROW(DM113:DM309),"")))</f>
        <v>3.0769230769230802</v>
      </c>
      <c r="DO113" s="13">
        <f>IF('Données projet'!$A$166&gt;35,DO112+DN113-DW112,IF(A113&lt;'Données projet'!$A$166,$DL$205^A113,IF(A113='Données projet'!$A$166,'Données projet'!$B$166,DO112+DN113-DW112)))</f>
        <v>253.20512820512835</v>
      </c>
      <c r="DP113" s="18">
        <f>DO113*VLOOKUP('Données projet'!$B$14,Paramètres!$A$1:$I$89,3,0)*VLOOKUP('Données projet'!$B$14,Paramètres!$A$1:$I$89,5,0)</f>
        <v>240.95000000000013</v>
      </c>
      <c r="DQ113" s="14">
        <f t="shared" si="97"/>
        <v>58.643880591265685</v>
      </c>
      <c r="DR113" s="22">
        <f t="shared" si="70"/>
        <v>521.79267536312125</v>
      </c>
      <c r="DS113" s="60">
        <f t="shared" si="71"/>
        <v>801.75406431796705</v>
      </c>
      <c r="DT113" s="60">
        <f ca="1">AVERAGE(OFFSET($DS$3,0,0,'Données projet'!$E$14+1,1))-AVERAGE(OFFSET($H$3,0,0,'Données projet'!$E$14+1,1))</f>
        <v>398.29746143975166</v>
      </c>
      <c r="DU113" s="60">
        <f t="shared" si="98"/>
        <v>300.63705521148802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22.435897435897434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305</v>
      </c>
      <c r="EH113" s="13">
        <f>VLOOKUP(A113,'Données projet'!$A$191:$I$211,9,0)</f>
        <v>4.4000000000000004</v>
      </c>
      <c r="EI113" s="13">
        <f t="array" ref="EI113">INDEX(EH:EH,MIN(IF(ISNUMBER(EH113:EH309),ROW(EH113:EH309),"")))</f>
        <v>4.4000000000000004</v>
      </c>
      <c r="EJ113" s="13">
        <f>IF('Données projet'!$A$192&gt;35,EJ112+EI113-ER112,IF(A113&lt;'Données projet'!$A$192,$EG$205^A113,IF(A113='Données projet'!$A$192,'Données projet'!$B$192,EJ112+EI113-ER112)))</f>
        <v>304.9999999999996</v>
      </c>
      <c r="EK113" s="18">
        <f>EJ113*VLOOKUP('Données projet'!$B$15,Paramètres!$A$1:$I$89,3,0)*VLOOKUP('Données projet'!$B$15,Paramètres!$A$1:$I$89,5,0)</f>
        <v>294.99599999999958</v>
      </c>
      <c r="EL113" s="14">
        <f t="shared" si="99"/>
        <v>70.126408118585317</v>
      </c>
      <c r="EM113" s="22">
        <f t="shared" si="73"/>
        <v>635.92152747320199</v>
      </c>
      <c r="EN113" s="60">
        <f t="shared" si="74"/>
        <v>915.88291642804779</v>
      </c>
      <c r="EO113" s="60">
        <f ca="1">AVERAGE(OFFSET($EN$3,0,0,'Données projet'!$E$15+1,1))-AVERAGE(OFFSET($H$3,0,0,'Données projet'!$E$15+1,1))</f>
        <v>496.33873798282525</v>
      </c>
      <c r="EP113" s="60">
        <f t="shared" si="100"/>
        <v>280.25465074992246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39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3.4106051316484809E-13</v>
      </c>
      <c r="FF113" s="18">
        <f>FE113*VLOOKUP('Données projet'!$B$16,Paramètres!$A$1:$I$89,3,0)*VLOOKUP('Données projet'!$B$16,Paramètres!$A$1:$I$89,5,0)</f>
        <v>2.9795046430081134E-13</v>
      </c>
      <c r="FG113" s="14">
        <f t="shared" si="101"/>
        <v>3.9419014464513778E-12</v>
      </c>
      <c r="FH113" s="22">
        <f t="shared" si="76"/>
        <v>7.384408744560063E-12</v>
      </c>
      <c r="FI113" s="60">
        <f t="shared" si="77"/>
        <v>279.96138895485325</v>
      </c>
      <c r="FJ113" s="60">
        <f ca="1">AVERAGE(OFFSET($FI$3,0,0,'Données projet'!$E$16+1,1))-AVERAGE(OFFSET($H$3,0,0,'Données projet'!$E$16+1,1))</f>
        <v>363.28611056308665</v>
      </c>
      <c r="FK113" s="60">
        <f t="shared" si="102"/>
        <v>389.43647559455974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317.94871794871796</v>
      </c>
      <c r="FX113" s="13">
        <f>VLOOKUP(A113,'Données projet'!$A$243:$I$263,9,0)</f>
        <v>3.333333333333337</v>
      </c>
      <c r="FY113" s="13">
        <f t="array" ref="FY113">INDEX(FX:FX,MIN(IF(ISNUMBER(FX113:FX309),ROW(FX113:FX309),"")))</f>
        <v>3.333333333333337</v>
      </c>
      <c r="FZ113" s="13">
        <f>IF('Données projet'!$A$244&gt;35,FZ112+FY113-GH112,IF(A113&lt;'Données projet'!$A$244,$FW$205^A113,IF(A113='Données projet'!$A$244,'Données projet'!$B$244,FZ112+FY113-GH112)))</f>
        <v>317.94871794871813</v>
      </c>
      <c r="GA113" s="18">
        <f>FZ113*VLOOKUP('Données projet'!$B$17,Paramètres!$A$1:$I$89,3,0)*VLOOKUP('Données projet'!$B$17,Paramètres!$A$1:$I$89,5,0)</f>
        <v>213.28000000000011</v>
      </c>
      <c r="GB113" s="14">
        <f t="shared" si="103"/>
        <v>52.651700420383257</v>
      </c>
      <c r="GC113" s="22">
        <f t="shared" si="79"/>
        <v>463.16437823216773</v>
      </c>
      <c r="GD113" s="60">
        <f t="shared" si="80"/>
        <v>743.12576718701359</v>
      </c>
      <c r="GE113" s="60">
        <f ca="1">AVERAGE(OFFSET($GD$3,0,0,'Données projet'!$E$17+1,1))-AVERAGE(OFFSET($H$3,0,0,'Données projet'!$E$17+1,1))</f>
        <v>344.62096650402731</v>
      </c>
      <c r="GF113" s="60">
        <f t="shared" si="104"/>
        <v>277.30931495079346</v>
      </c>
      <c r="GG113" s="16">
        <f>IF(ISNA(VLOOKUP(A113,'Données projet'!$A$243:$I$263,3,0)),0,VLOOKUP(A113,'Données projet'!$A$243:$I$263,3,0))</f>
        <v>10</v>
      </c>
      <c r="GH113" s="16">
        <f>IF(ISNA(VLOOKUP(A113,'Données projet'!$A$243:$I$263,4,0)),0,VLOOKUP(A113,'Données projet'!$A$243:$I$263,4,0))</f>
        <v>317.94871794871796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5.7</v>
      </c>
      <c r="N114" s="14">
        <f>IF('Données projet'!$A$36&gt;35,N113+M114-V113,IF(A114&lt;'Données projet'!$A$36,$K$205^A114,IF(A114='Données projet'!$A$36,'Données projet'!$B$36,N113+M114-V113)))</f>
        <v>423.69999999999965</v>
      </c>
      <c r="O114" s="14">
        <f>N114*VLOOKUP('Données projet'!$B$9,Paramètres!$A$1:$I$89,3,0)*VLOOKUP('Données projet'!$B$9,Paramètres!$A$1:$I$89,5,0)</f>
        <v>363.53459999999973</v>
      </c>
      <c r="P114" s="14">
        <f t="shared" si="87"/>
        <v>84.343242139534667</v>
      </c>
      <c r="Q114" s="22">
        <f t="shared" si="107"/>
        <v>780.05390839302243</v>
      </c>
      <c r="R114" s="60">
        <f t="shared" si="55"/>
        <v>1060.2472706876461</v>
      </c>
      <c r="S114" s="60">
        <f ca="1">AVERAGE(OFFSET($R$3,0,0,'Données projet'!$E$9+1,1))-AVERAGE(OFFSET($H$3,0,0,'Données projet'!$E$9+1,1))</f>
        <v>632.26350546340541</v>
      </c>
      <c r="T114" s="60">
        <f t="shared" si="88"/>
        <v>340.45335016367915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2.7134774427395314E-13</v>
      </c>
      <c r="AK114" s="14">
        <f t="shared" si="89"/>
        <v>3.6292411711343559E-12</v>
      </c>
      <c r="AL114" s="22">
        <f t="shared" si="58"/>
        <v>6.7935256943361388E-12</v>
      </c>
      <c r="AM114" s="60">
        <f t="shared" si="59"/>
        <v>280.19336229463039</v>
      </c>
      <c r="AN114" s="60">
        <f ca="1">AVERAGE(OFFSET($AM$3,0,0,'Données projet'!$E$10+1,1))-AVERAGE(OFFSET($H$3,0,0,'Données projet'!$E$10+1,1))</f>
        <v>336.25341821407534</v>
      </c>
      <c r="AO114" s="60">
        <f t="shared" si="90"/>
        <v>360.3246221345039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2.7134774427395314E-13</v>
      </c>
      <c r="BF114" s="14">
        <f t="shared" si="91"/>
        <v>3.6292411711343559E-12</v>
      </c>
      <c r="BG114" s="22">
        <f t="shared" si="61"/>
        <v>6.7935256943361388E-12</v>
      </c>
      <c r="BH114" s="60">
        <f t="shared" si="62"/>
        <v>280.19336229463039</v>
      </c>
      <c r="BI114" s="60">
        <f ca="1">AVERAGE(OFFSET($BH$3,0,0,'Données projet'!$E$11+1,1))-AVERAGE(OFFSET($H$3,0,0,'Données projet'!$E$11+1,1))</f>
        <v>336.25341821407534</v>
      </c>
      <c r="BJ114" s="60">
        <f t="shared" si="92"/>
        <v>360.3246221345039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244.02455999999964</v>
      </c>
      <c r="CA114" s="14">
        <f t="shared" si="93"/>
        <v>59.304594314969229</v>
      </c>
      <c r="CB114" s="22">
        <f t="shared" si="64"/>
        <v>528.29827709857079</v>
      </c>
      <c r="CC114" s="60">
        <f t="shared" si="65"/>
        <v>808.49163939319442</v>
      </c>
      <c r="CD114" s="60">
        <f ca="1">AVERAGE(OFFSET($CC$3,0,0,'Données projet'!$E$12+1,1))-AVERAGE(OFFSET($H$3,0,0,'Données projet'!$E$12+1,1))</f>
        <v>469.67944008675863</v>
      </c>
      <c r="CE114" s="60">
        <f t="shared" si="94"/>
        <v>266.11908070867173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8.8675733422860506E-14</v>
      </c>
      <c r="CV114" s="14">
        <f t="shared" si="95"/>
        <v>1.3509285393066301E-12</v>
      </c>
      <c r="CW114" s="22">
        <f t="shared" si="67"/>
        <v>2.5073107750038623E-12</v>
      </c>
      <c r="CX114" s="60">
        <f t="shared" si="68"/>
        <v>280.19336229462607</v>
      </c>
      <c r="CY114" s="60">
        <f ca="1">AVERAGE(OFFSET($CX$3,0,0,'Données projet'!$E$13+1,1))-AVERAGE(OFFSET($H$3,0,0,'Données projet'!$E$13+1,1))</f>
        <v>312.59632808777332</v>
      </c>
      <c r="CZ114" s="60">
        <f t="shared" si="96"/>
        <v>302.59481222418219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2.884615384615381</v>
      </c>
      <c r="DO114" s="13">
        <f>IF('Données projet'!$A$166&gt;35,DO113+DN114-DW113,IF(A114&lt;'Données projet'!$A$166,$DL$205^A114,IF(A114='Données projet'!$A$166,'Données projet'!$B$166,DO113+DN114-DW113)))</f>
        <v>233.65384615384627</v>
      </c>
      <c r="DP114" s="18">
        <f>DO114*VLOOKUP('Données projet'!$B$14,Paramètres!$A$1:$I$89,3,0)*VLOOKUP('Données projet'!$B$14,Paramètres!$A$1:$I$89,5,0)</f>
        <v>222.34500000000011</v>
      </c>
      <c r="DQ114" s="14">
        <f t="shared" si="97"/>
        <v>54.624244950543464</v>
      </c>
      <c r="DR114" s="22">
        <f t="shared" si="70"/>
        <v>482.38810162219664</v>
      </c>
      <c r="DS114" s="60">
        <f t="shared" si="71"/>
        <v>762.58146391682021</v>
      </c>
      <c r="DT114" s="60">
        <f ca="1">AVERAGE(OFFSET($DS$3,0,0,'Données projet'!$E$14+1,1))-AVERAGE(OFFSET($H$3,0,0,'Données projet'!$E$14+1,1))</f>
        <v>398.29746143975166</v>
      </c>
      <c r="DU114" s="60">
        <f t="shared" si="98"/>
        <v>300.63705521148802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3.7</v>
      </c>
      <c r="EJ114" s="13">
        <f>IF('Données projet'!$A$192&gt;35,EJ113+EI114-ER113,IF(A114&lt;'Données projet'!$A$192,$EG$205^A114,IF(A114='Données projet'!$A$192,'Données projet'!$B$192,EJ113+EI114-ER113)))</f>
        <v>269.69999999999959</v>
      </c>
      <c r="EK114" s="18">
        <f>EJ114*VLOOKUP('Données projet'!$B$15,Paramètres!$A$1:$I$89,3,0)*VLOOKUP('Données projet'!$B$15,Paramètres!$A$1:$I$89,5,0)</f>
        <v>260.85383999999959</v>
      </c>
      <c r="EL114" s="14">
        <f t="shared" si="99"/>
        <v>62.904347395903649</v>
      </c>
      <c r="EM114" s="22">
        <f t="shared" si="73"/>
        <v>563.87884304786473</v>
      </c>
      <c r="EN114" s="60">
        <f t="shared" si="74"/>
        <v>844.07220534248836</v>
      </c>
      <c r="EO114" s="60">
        <f ca="1">AVERAGE(OFFSET($EN$3,0,0,'Données projet'!$E$15+1,1))-AVERAGE(OFFSET($H$3,0,0,'Données projet'!$E$15+1,1))</f>
        <v>496.33873798282525</v>
      </c>
      <c r="EP114" s="60">
        <f t="shared" si="100"/>
        <v>280.25465074992246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3.4106051316484809E-13</v>
      </c>
      <c r="FF114" s="18">
        <f>FE114*VLOOKUP('Données projet'!$B$16,Paramètres!$A$1:$I$89,3,0)*VLOOKUP('Données projet'!$B$16,Paramètres!$A$1:$I$89,5,0)</f>
        <v>2.9795046430081134E-13</v>
      </c>
      <c r="FG114" s="14">
        <f t="shared" si="101"/>
        <v>3.9419014464513778E-12</v>
      </c>
      <c r="FH114" s="22">
        <f t="shared" si="76"/>
        <v>7.384408744560063E-12</v>
      </c>
      <c r="FI114" s="60">
        <f t="shared" si="77"/>
        <v>280.19336229463096</v>
      </c>
      <c r="FJ114" s="60">
        <f ca="1">AVERAGE(OFFSET($FI$3,0,0,'Données projet'!$E$16+1,1))-AVERAGE(OFFSET($H$3,0,0,'Données projet'!$E$16+1,1))</f>
        <v>363.28611056308665</v>
      </c>
      <c r="FK114" s="60">
        <f t="shared" si="102"/>
        <v>389.43647559455974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1.7053025658242404E-13</v>
      </c>
      <c r="GA114" s="18">
        <f>FZ114*VLOOKUP('Données projet'!$B$17,Paramètres!$A$1:$I$89,3,0)*VLOOKUP('Données projet'!$B$17,Paramètres!$A$1:$I$89,5,0)</f>
        <v>1.1439169611549005E-13</v>
      </c>
      <c r="GB114" s="14">
        <f t="shared" si="103"/>
        <v>1.6918016515029816E-12</v>
      </c>
      <c r="GC114" s="22">
        <f t="shared" si="79"/>
        <v>3.1457867471021712E-12</v>
      </c>
      <c r="GD114" s="60">
        <f t="shared" si="80"/>
        <v>280.1933622946267</v>
      </c>
      <c r="GE114" s="60">
        <f ca="1">AVERAGE(OFFSET($GD$3,0,0,'Données projet'!$E$17+1,1))-AVERAGE(OFFSET($H$3,0,0,'Données projet'!$E$17+1,1))</f>
        <v>344.62096650402731</v>
      </c>
      <c r="GF114" s="60">
        <f t="shared" si="104"/>
        <v>277.30931495079346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5.7</v>
      </c>
      <c r="N115" s="14">
        <f>IF('Données projet'!$A$36&gt;35,N114+M115-V114,IF(A115&lt;'Données projet'!$A$36,$K$205^A115,IF(A115='Données projet'!$A$36,'Données projet'!$B$36,N114+M115-V114)))</f>
        <v>429.39999999999964</v>
      </c>
      <c r="O115" s="14">
        <f>N115*VLOOKUP('Données projet'!$B$9,Paramètres!$A$1:$I$89,3,0)*VLOOKUP('Données projet'!$B$9,Paramètres!$A$1:$I$89,5,0)</f>
        <v>368.42519999999973</v>
      </c>
      <c r="P115" s="14">
        <f t="shared" si="87"/>
        <v>85.345048797005163</v>
      </c>
      <c r="Q115" s="22">
        <f t="shared" si="107"/>
        <v>790.31651665478341</v>
      </c>
      <c r="R115" s="60">
        <f t="shared" si="55"/>
        <v>1070.7378280703542</v>
      </c>
      <c r="S115" s="60">
        <f ca="1">AVERAGE(OFFSET($R$3,0,0,'Données projet'!$E$9+1,1))-AVERAGE(OFFSET($H$3,0,0,'Données projet'!$E$9+1,1))</f>
        <v>632.26350546340541</v>
      </c>
      <c r="T115" s="60">
        <f t="shared" si="88"/>
        <v>340.45335016367915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2.7134774427395314E-13</v>
      </c>
      <c r="AK115" s="14">
        <f t="shared" si="89"/>
        <v>3.6292411711343559E-12</v>
      </c>
      <c r="AL115" s="22">
        <f t="shared" si="58"/>
        <v>6.7935256943361388E-12</v>
      </c>
      <c r="AM115" s="60">
        <f t="shared" si="59"/>
        <v>280.42131141557769</v>
      </c>
      <c r="AN115" s="60">
        <f ca="1">AVERAGE(OFFSET($AM$3,0,0,'Données projet'!$E$10+1,1))-AVERAGE(OFFSET($H$3,0,0,'Données projet'!$E$10+1,1))</f>
        <v>336.25341821407534</v>
      </c>
      <c r="AO115" s="60">
        <f t="shared" si="90"/>
        <v>360.3246221345039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2.7134774427395314E-13</v>
      </c>
      <c r="BF115" s="14">
        <f t="shared" si="91"/>
        <v>3.6292411711343559E-12</v>
      </c>
      <c r="BG115" s="22">
        <f t="shared" si="61"/>
        <v>6.7935256943361388E-12</v>
      </c>
      <c r="BH115" s="60">
        <f t="shared" si="62"/>
        <v>280.42131141557769</v>
      </c>
      <c r="BI115" s="60">
        <f ca="1">AVERAGE(OFFSET($BH$3,0,0,'Données projet'!$E$11+1,1))-AVERAGE(OFFSET($H$3,0,0,'Données projet'!$E$11+1,1))</f>
        <v>336.25341821407534</v>
      </c>
      <c r="BJ115" s="60">
        <f t="shared" si="92"/>
        <v>360.3246221345039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247.3723199999996</v>
      </c>
      <c r="CA115" s="14">
        <f t="shared" si="93"/>
        <v>60.022917171130942</v>
      </c>
      <c r="CB115" s="22">
        <f t="shared" si="64"/>
        <v>535.38003807305233</v>
      </c>
      <c r="CC115" s="60">
        <f t="shared" si="65"/>
        <v>815.80134948862315</v>
      </c>
      <c r="CD115" s="60">
        <f ca="1">AVERAGE(OFFSET($CC$3,0,0,'Données projet'!$E$12+1,1))-AVERAGE(OFFSET($H$3,0,0,'Données projet'!$E$12+1,1))</f>
        <v>469.67944008675863</v>
      </c>
      <c r="CE115" s="60">
        <f t="shared" si="94"/>
        <v>266.11908070867173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8.8675733422860506E-14</v>
      </c>
      <c r="CV115" s="14">
        <f t="shared" si="95"/>
        <v>1.3509285393066301E-12</v>
      </c>
      <c r="CW115" s="22">
        <f t="shared" si="67"/>
        <v>2.5073107750038623E-12</v>
      </c>
      <c r="CX115" s="60">
        <f t="shared" si="68"/>
        <v>280.42131141557337</v>
      </c>
      <c r="CY115" s="60">
        <f ca="1">AVERAGE(OFFSET($CX$3,0,0,'Données projet'!$E$13+1,1))-AVERAGE(OFFSET($H$3,0,0,'Données projet'!$E$13+1,1))</f>
        <v>312.59632808777332</v>
      </c>
      <c r="CZ115" s="60">
        <f t="shared" si="96"/>
        <v>302.59481222418219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2.884615384615381</v>
      </c>
      <c r="DO115" s="13">
        <f>IF('Données projet'!$A$166&gt;35,DO114+DN115-DW114,IF(A115&lt;'Données projet'!$A$166,$DL$205^A115,IF(A115='Données projet'!$A$166,'Données projet'!$B$166,DO114+DN115-DW114)))</f>
        <v>236.53846153846166</v>
      </c>
      <c r="DP115" s="18">
        <f>DO115*VLOOKUP('Données projet'!$B$14,Paramètres!$A$1:$I$89,3,0)*VLOOKUP('Données projet'!$B$14,Paramètres!$A$1:$I$89,5,0)</f>
        <v>225.09000000000012</v>
      </c>
      <c r="DQ115" s="14">
        <f t="shared" si="97"/>
        <v>55.21969508796591</v>
      </c>
      <c r="DR115" s="22">
        <f t="shared" si="70"/>
        <v>488.20605227820744</v>
      </c>
      <c r="DS115" s="60">
        <f t="shared" si="71"/>
        <v>768.62736369377831</v>
      </c>
      <c r="DT115" s="60">
        <f ca="1">AVERAGE(OFFSET($DS$3,0,0,'Données projet'!$E$14+1,1))-AVERAGE(OFFSET($H$3,0,0,'Données projet'!$E$14+1,1))</f>
        <v>398.29746143975166</v>
      </c>
      <c r="DU115" s="60">
        <f t="shared" si="98"/>
        <v>300.63705521148802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3.7</v>
      </c>
      <c r="EJ115" s="13">
        <f>IF('Données projet'!$A$192&gt;35,EJ114+EI115-ER114,IF(A115&lt;'Données projet'!$A$192,$EG$205^A115,IF(A115='Données projet'!$A$192,'Données projet'!$B$192,EJ114+EI115-ER114)))</f>
        <v>273.39999999999958</v>
      </c>
      <c r="EK115" s="18">
        <f>EJ115*VLOOKUP('Données projet'!$B$15,Paramètres!$A$1:$I$89,3,0)*VLOOKUP('Données projet'!$B$15,Paramètres!$A$1:$I$89,5,0)</f>
        <v>264.4324799999996</v>
      </c>
      <c r="EL115" s="14">
        <f t="shared" si="99"/>
        <v>63.666272015882292</v>
      </c>
      <c r="EM115" s="22">
        <f t="shared" si="73"/>
        <v>571.43865976099426</v>
      </c>
      <c r="EN115" s="60">
        <f t="shared" si="74"/>
        <v>851.85997117656507</v>
      </c>
      <c r="EO115" s="60">
        <f ca="1">AVERAGE(OFFSET($EN$3,0,0,'Données projet'!$E$15+1,1))-AVERAGE(OFFSET($H$3,0,0,'Données projet'!$E$15+1,1))</f>
        <v>496.33873798282525</v>
      </c>
      <c r="EP115" s="60">
        <f t="shared" si="100"/>
        <v>280.25465074992246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3.4106051316484809E-13</v>
      </c>
      <c r="FF115" s="18">
        <f>FE115*VLOOKUP('Données projet'!$B$16,Paramètres!$A$1:$I$89,3,0)*VLOOKUP('Données projet'!$B$16,Paramètres!$A$1:$I$89,5,0)</f>
        <v>2.9795046430081134E-13</v>
      </c>
      <c r="FG115" s="14">
        <f t="shared" si="101"/>
        <v>3.9419014464513778E-12</v>
      </c>
      <c r="FH115" s="22">
        <f t="shared" si="76"/>
        <v>7.384408744560063E-12</v>
      </c>
      <c r="FI115" s="60">
        <f t="shared" si="77"/>
        <v>280.42131141557826</v>
      </c>
      <c r="FJ115" s="60">
        <f ca="1">AVERAGE(OFFSET($FI$3,0,0,'Données projet'!$E$16+1,1))-AVERAGE(OFFSET($H$3,0,0,'Données projet'!$E$16+1,1))</f>
        <v>363.28611056308665</v>
      </c>
      <c r="FK115" s="60">
        <f t="shared" si="102"/>
        <v>389.43647559455974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1.7053025658242404E-13</v>
      </c>
      <c r="GA115" s="18">
        <f>FZ115*VLOOKUP('Données projet'!$B$17,Paramètres!$A$1:$I$89,3,0)*VLOOKUP('Données projet'!$B$17,Paramètres!$A$1:$I$89,5,0)</f>
        <v>1.1439169611549005E-13</v>
      </c>
      <c r="GB115" s="14">
        <f t="shared" si="103"/>
        <v>1.6918016515029816E-12</v>
      </c>
      <c r="GC115" s="22">
        <f t="shared" si="79"/>
        <v>3.1457867471021712E-12</v>
      </c>
      <c r="GD115" s="60">
        <f t="shared" si="80"/>
        <v>280.421311415574</v>
      </c>
      <c r="GE115" s="60">
        <f ca="1">AVERAGE(OFFSET($GD$3,0,0,'Données projet'!$E$17+1,1))-AVERAGE(OFFSET($H$3,0,0,'Données projet'!$E$17+1,1))</f>
        <v>344.62096650402731</v>
      </c>
      <c r="GF115" s="60">
        <f t="shared" si="104"/>
        <v>277.30931495079346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5.7</v>
      </c>
      <c r="N116" s="14">
        <f>IF('Données projet'!$A$36&gt;35,N115+M116-V115,IF(A116&lt;'Données projet'!$A$36,$K$205^A116,IF(A116='Données projet'!$A$36,'Données projet'!$B$36,N115+M116-V115)))</f>
        <v>435.09999999999962</v>
      </c>
      <c r="O116" s="14">
        <f>N116*VLOOKUP('Données projet'!$B$9,Paramètres!$A$1:$I$89,3,0)*VLOOKUP('Données projet'!$B$9,Paramètres!$A$1:$I$89,5,0)</f>
        <v>373.31579999999974</v>
      </c>
      <c r="P116" s="14">
        <f t="shared" si="87"/>
        <v>86.345308677430793</v>
      </c>
      <c r="Q116" s="22">
        <f t="shared" si="107"/>
        <v>800.57643094652485</v>
      </c>
      <c r="R116" s="60">
        <f t="shared" si="55"/>
        <v>1081.2217370754124</v>
      </c>
      <c r="S116" s="60">
        <f ca="1">AVERAGE(OFFSET($R$3,0,0,'Données projet'!$E$9+1,1))-AVERAGE(OFFSET($H$3,0,0,'Données projet'!$E$9+1,1))</f>
        <v>632.26350546340541</v>
      </c>
      <c r="T116" s="60">
        <f t="shared" si="88"/>
        <v>340.45335016367915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2.7134774427395314E-13</v>
      </c>
      <c r="AK116" s="14">
        <f t="shared" si="89"/>
        <v>3.6292411711343559E-12</v>
      </c>
      <c r="AL116" s="22">
        <f t="shared" si="58"/>
        <v>6.7935256943361388E-12</v>
      </c>
      <c r="AM116" s="60">
        <f t="shared" si="59"/>
        <v>280.64530612889445</v>
      </c>
      <c r="AN116" s="60">
        <f ca="1">AVERAGE(OFFSET($AM$3,0,0,'Données projet'!$E$10+1,1))-AVERAGE(OFFSET($H$3,0,0,'Données projet'!$E$10+1,1))</f>
        <v>336.25341821407534</v>
      </c>
      <c r="AO116" s="60">
        <f t="shared" si="90"/>
        <v>360.3246221345039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2.7134774427395314E-13</v>
      </c>
      <c r="BF116" s="14">
        <f t="shared" si="91"/>
        <v>3.6292411711343559E-12</v>
      </c>
      <c r="BG116" s="22">
        <f t="shared" si="61"/>
        <v>6.7935256943361388E-12</v>
      </c>
      <c r="BH116" s="60">
        <f t="shared" si="62"/>
        <v>280.64530612889445</v>
      </c>
      <c r="BI116" s="60">
        <f ca="1">AVERAGE(OFFSET($BH$3,0,0,'Données projet'!$E$11+1,1))-AVERAGE(OFFSET($H$3,0,0,'Données projet'!$E$11+1,1))</f>
        <v>336.25341821407534</v>
      </c>
      <c r="BJ116" s="60">
        <f t="shared" si="92"/>
        <v>360.3246221345039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250.7200799999996</v>
      </c>
      <c r="CA116" s="14">
        <f t="shared" si="93"/>
        <v>60.740109326032709</v>
      </c>
      <c r="CB116" s="22">
        <f t="shared" si="64"/>
        <v>542.45982974283959</v>
      </c>
      <c r="CC116" s="60">
        <f t="shared" si="65"/>
        <v>823.10513587172727</v>
      </c>
      <c r="CD116" s="60">
        <f ca="1">AVERAGE(OFFSET($CC$3,0,0,'Données projet'!$E$12+1,1))-AVERAGE(OFFSET($H$3,0,0,'Données projet'!$E$12+1,1))</f>
        <v>469.67944008675863</v>
      </c>
      <c r="CE116" s="60">
        <f t="shared" si="94"/>
        <v>266.11908070867173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8.8675733422860506E-14</v>
      </c>
      <c r="CV116" s="14">
        <f t="shared" si="95"/>
        <v>1.3509285393066301E-12</v>
      </c>
      <c r="CW116" s="22">
        <f t="shared" si="67"/>
        <v>2.5073107750038623E-12</v>
      </c>
      <c r="CX116" s="60">
        <f t="shared" si="68"/>
        <v>280.64530612889013</v>
      </c>
      <c r="CY116" s="60">
        <f ca="1">AVERAGE(OFFSET($CX$3,0,0,'Données projet'!$E$13+1,1))-AVERAGE(OFFSET($H$3,0,0,'Données projet'!$E$13+1,1))</f>
        <v>312.59632808777332</v>
      </c>
      <c r="CZ116" s="60">
        <f t="shared" si="96"/>
        <v>302.59481222418219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2.884615384615381</v>
      </c>
      <c r="DO116" s="13">
        <f>IF('Données projet'!$A$166&gt;35,DO115+DN116-DW115,IF(A116&lt;'Données projet'!$A$166,$DL$205^A116,IF(A116='Données projet'!$A$166,'Données projet'!$B$166,DO115+DN116-DW115)))</f>
        <v>239.42307692307705</v>
      </c>
      <c r="DP116" s="18">
        <f>DO116*VLOOKUP('Données projet'!$B$14,Paramètres!$A$1:$I$89,3,0)*VLOOKUP('Données projet'!$B$14,Paramètres!$A$1:$I$89,5,0)</f>
        <v>227.83500000000012</v>
      </c>
      <c r="DQ116" s="14">
        <f t="shared" si="97"/>
        <v>55.814300554153057</v>
      </c>
      <c r="DR116" s="22">
        <f t="shared" si="70"/>
        <v>494.02253179848339</v>
      </c>
      <c r="DS116" s="60">
        <f t="shared" si="71"/>
        <v>774.66783792737101</v>
      </c>
      <c r="DT116" s="60">
        <f ca="1">AVERAGE(OFFSET($DS$3,0,0,'Données projet'!$E$14+1,1))-AVERAGE(OFFSET($H$3,0,0,'Données projet'!$E$14+1,1))</f>
        <v>398.29746143975166</v>
      </c>
      <c r="DU116" s="60">
        <f t="shared" si="98"/>
        <v>300.63705521148802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3.7</v>
      </c>
      <c r="EJ116" s="13">
        <f>IF('Données projet'!$A$192&gt;35,EJ115+EI116-ER115,IF(A116&lt;'Données projet'!$A$192,$EG$205^A116,IF(A116='Données projet'!$A$192,'Données projet'!$B$192,EJ115+EI116-ER115)))</f>
        <v>277.09999999999957</v>
      </c>
      <c r="EK116" s="18">
        <f>EJ116*VLOOKUP('Données projet'!$B$15,Paramètres!$A$1:$I$89,3,0)*VLOOKUP('Données projet'!$B$15,Paramètres!$A$1:$I$89,5,0)</f>
        <v>268.01111999999961</v>
      </c>
      <c r="EL116" s="14">
        <f t="shared" si="99"/>
        <v>64.426997301716796</v>
      </c>
      <c r="EM116" s="22">
        <f t="shared" si="73"/>
        <v>578.99638763382268</v>
      </c>
      <c r="EN116" s="60">
        <f t="shared" si="74"/>
        <v>859.64169376271025</v>
      </c>
      <c r="EO116" s="60">
        <f ca="1">AVERAGE(OFFSET($EN$3,0,0,'Données projet'!$E$15+1,1))-AVERAGE(OFFSET($H$3,0,0,'Données projet'!$E$15+1,1))</f>
        <v>496.33873798282525</v>
      </c>
      <c r="EP116" s="60">
        <f t="shared" si="100"/>
        <v>280.25465074992246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3.4106051316484809E-13</v>
      </c>
      <c r="FF116" s="18">
        <f>FE116*VLOOKUP('Données projet'!$B$16,Paramètres!$A$1:$I$89,3,0)*VLOOKUP('Données projet'!$B$16,Paramètres!$A$1:$I$89,5,0)</f>
        <v>2.9795046430081134E-13</v>
      </c>
      <c r="FG116" s="14">
        <f t="shared" si="101"/>
        <v>3.9419014464513778E-12</v>
      </c>
      <c r="FH116" s="22">
        <f t="shared" si="76"/>
        <v>7.384408744560063E-12</v>
      </c>
      <c r="FI116" s="60">
        <f t="shared" si="77"/>
        <v>280.64530612889502</v>
      </c>
      <c r="FJ116" s="60">
        <f ca="1">AVERAGE(OFFSET($FI$3,0,0,'Données projet'!$E$16+1,1))-AVERAGE(OFFSET($H$3,0,0,'Données projet'!$E$16+1,1))</f>
        <v>363.28611056308665</v>
      </c>
      <c r="FK116" s="60">
        <f t="shared" si="102"/>
        <v>389.43647559455974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1.7053025658242404E-13</v>
      </c>
      <c r="GA116" s="18">
        <f>FZ116*VLOOKUP('Données projet'!$B$17,Paramètres!$A$1:$I$89,3,0)*VLOOKUP('Données projet'!$B$17,Paramètres!$A$1:$I$89,5,0)</f>
        <v>1.1439169611549005E-13</v>
      </c>
      <c r="GB116" s="14">
        <f t="shared" si="103"/>
        <v>1.6918016515029816E-12</v>
      </c>
      <c r="GC116" s="22">
        <f t="shared" si="79"/>
        <v>3.1457867471021712E-12</v>
      </c>
      <c r="GD116" s="60">
        <f t="shared" si="80"/>
        <v>280.64530612889075</v>
      </c>
      <c r="GE116" s="60">
        <f ca="1">AVERAGE(OFFSET($GD$3,0,0,'Données projet'!$E$17+1,1))-AVERAGE(OFFSET($H$3,0,0,'Données projet'!$E$17+1,1))</f>
        <v>344.62096650402731</v>
      </c>
      <c r="GF116" s="60">
        <f t="shared" si="104"/>
        <v>277.30931495079346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5.7</v>
      </c>
      <c r="N117" s="14">
        <f>IF('Données projet'!$A$36&gt;35,N116+M117-V116,IF(A117&lt;'Données projet'!$A$36,$K$205^A117,IF(A117='Données projet'!$A$36,'Données projet'!$B$36,N116+M117-V116)))</f>
        <v>440.79999999999961</v>
      </c>
      <c r="O117" s="14">
        <f>N117*VLOOKUP('Données projet'!$B$9,Paramètres!$A$1:$I$89,3,0)*VLOOKUP('Données projet'!$B$9,Paramètres!$A$1:$I$89,5,0)</f>
        <v>378.20639999999969</v>
      </c>
      <c r="P117" s="14">
        <f t="shared" si="87"/>
        <v>87.344044386993929</v>
      </c>
      <c r="Q117" s="22">
        <f t="shared" si="107"/>
        <v>810.8336906406804</v>
      </c>
      <c r="R117" s="60">
        <f t="shared" si="55"/>
        <v>1091.6991056753859</v>
      </c>
      <c r="S117" s="60">
        <f ca="1">AVERAGE(OFFSET($R$3,0,0,'Données projet'!$E$9+1,1))-AVERAGE(OFFSET($H$3,0,0,'Données projet'!$E$9+1,1))</f>
        <v>632.26350546340541</v>
      </c>
      <c r="T117" s="60">
        <f t="shared" si="88"/>
        <v>340.45335016367915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2.7134774427395314E-13</v>
      </c>
      <c r="AK117" s="14">
        <f t="shared" si="89"/>
        <v>3.6292411711343559E-12</v>
      </c>
      <c r="AL117" s="22">
        <f t="shared" si="58"/>
        <v>6.7935256943361388E-12</v>
      </c>
      <c r="AM117" s="60">
        <f t="shared" si="59"/>
        <v>280.86541503471227</v>
      </c>
      <c r="AN117" s="60">
        <f ca="1">AVERAGE(OFFSET($AM$3,0,0,'Données projet'!$E$10+1,1))-AVERAGE(OFFSET($H$3,0,0,'Données projet'!$E$10+1,1))</f>
        <v>336.25341821407534</v>
      </c>
      <c r="AO117" s="60">
        <f t="shared" si="90"/>
        <v>360.3246221345039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2.7134774427395314E-13</v>
      </c>
      <c r="BF117" s="14">
        <f t="shared" si="91"/>
        <v>3.6292411711343559E-12</v>
      </c>
      <c r="BG117" s="22">
        <f t="shared" si="61"/>
        <v>6.7935256943361388E-12</v>
      </c>
      <c r="BH117" s="60">
        <f t="shared" si="62"/>
        <v>280.86541503471227</v>
      </c>
      <c r="BI117" s="60">
        <f ca="1">AVERAGE(OFFSET($BH$3,0,0,'Données projet'!$E$11+1,1))-AVERAGE(OFFSET($H$3,0,0,'Données projet'!$E$11+1,1))</f>
        <v>336.25341821407534</v>
      </c>
      <c r="BJ117" s="60">
        <f t="shared" si="92"/>
        <v>360.3246221345039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254.06783999999956</v>
      </c>
      <c r="CA117" s="14">
        <f t="shared" si="93"/>
        <v>61.456187622750669</v>
      </c>
      <c r="CB117" s="22">
        <f t="shared" si="64"/>
        <v>549.53768144295657</v>
      </c>
      <c r="CC117" s="60">
        <f t="shared" si="65"/>
        <v>830.40309647766207</v>
      </c>
      <c r="CD117" s="60">
        <f ca="1">AVERAGE(OFFSET($CC$3,0,0,'Données projet'!$E$12+1,1))-AVERAGE(OFFSET($H$3,0,0,'Données projet'!$E$12+1,1))</f>
        <v>469.67944008675863</v>
      </c>
      <c r="CE117" s="60">
        <f t="shared" si="94"/>
        <v>266.11908070867173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8.8675733422860506E-14</v>
      </c>
      <c r="CV117" s="14">
        <f t="shared" si="95"/>
        <v>1.3509285393066301E-12</v>
      </c>
      <c r="CW117" s="22">
        <f t="shared" si="67"/>
        <v>2.5073107750038623E-12</v>
      </c>
      <c r="CX117" s="60">
        <f t="shared" si="68"/>
        <v>280.86541503470795</v>
      </c>
      <c r="CY117" s="60">
        <f ca="1">AVERAGE(OFFSET($CX$3,0,0,'Données projet'!$E$13+1,1))-AVERAGE(OFFSET($H$3,0,0,'Données projet'!$E$13+1,1))</f>
        <v>312.59632808777332</v>
      </c>
      <c r="CZ117" s="60">
        <f t="shared" si="96"/>
        <v>302.59481222418219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2.884615384615381</v>
      </c>
      <c r="DO117" s="13">
        <f>IF('Données projet'!$A$166&gt;35,DO116+DN117-DW116,IF(A117&lt;'Données projet'!$A$166,$DL$205^A117,IF(A117='Données projet'!$A$166,'Données projet'!$B$166,DO116+DN117-DW116)))</f>
        <v>242.30769230769243</v>
      </c>
      <c r="DP117" s="18">
        <f>DO117*VLOOKUP('Données projet'!$B$14,Paramètres!$A$1:$I$89,3,0)*VLOOKUP('Données projet'!$B$14,Paramètres!$A$1:$I$89,5,0)</f>
        <v>230.58000000000013</v>
      </c>
      <c r="DQ117" s="14">
        <f t="shared" si="97"/>
        <v>56.408072703031351</v>
      </c>
      <c r="DR117" s="22">
        <f t="shared" si="70"/>
        <v>499.83755995777983</v>
      </c>
      <c r="DS117" s="60">
        <f t="shared" si="71"/>
        <v>780.70297499248522</v>
      </c>
      <c r="DT117" s="60">
        <f ca="1">AVERAGE(OFFSET($DS$3,0,0,'Données projet'!$E$14+1,1))-AVERAGE(OFFSET($H$3,0,0,'Données projet'!$E$14+1,1))</f>
        <v>398.29746143975166</v>
      </c>
      <c r="DU117" s="60">
        <f t="shared" si="98"/>
        <v>300.63705521148802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3.7</v>
      </c>
      <c r="EJ117" s="13">
        <f>IF('Données projet'!$A$192&gt;35,EJ116+EI117-ER116,IF(A117&lt;'Données projet'!$A$192,$EG$205^A117,IF(A117='Données projet'!$A$192,'Données projet'!$B$192,EJ116+EI117-ER116)))</f>
        <v>280.79999999999956</v>
      </c>
      <c r="EK117" s="18">
        <f>EJ117*VLOOKUP('Données projet'!$B$15,Paramètres!$A$1:$I$89,3,0)*VLOOKUP('Données projet'!$B$15,Paramètres!$A$1:$I$89,5,0)</f>
        <v>271.58975999999956</v>
      </c>
      <c r="EL117" s="14">
        <f t="shared" si="99"/>
        <v>65.186541118848012</v>
      </c>
      <c r="EM117" s="22">
        <f t="shared" si="73"/>
        <v>586.55205778199286</v>
      </c>
      <c r="EN117" s="60">
        <f t="shared" si="74"/>
        <v>867.41747281669836</v>
      </c>
      <c r="EO117" s="60">
        <f ca="1">AVERAGE(OFFSET($EN$3,0,0,'Données projet'!$E$15+1,1))-AVERAGE(OFFSET($H$3,0,0,'Données projet'!$E$15+1,1))</f>
        <v>496.33873798282525</v>
      </c>
      <c r="EP117" s="60">
        <f t="shared" si="100"/>
        <v>280.25465074992246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3.4106051316484809E-13</v>
      </c>
      <c r="FF117" s="18">
        <f>FE117*VLOOKUP('Données projet'!$B$16,Paramètres!$A$1:$I$89,3,0)*VLOOKUP('Données projet'!$B$16,Paramètres!$A$1:$I$89,5,0)</f>
        <v>2.9795046430081134E-13</v>
      </c>
      <c r="FG117" s="14">
        <f t="shared" si="101"/>
        <v>3.9419014464513778E-12</v>
      </c>
      <c r="FH117" s="22">
        <f t="shared" si="76"/>
        <v>7.384408744560063E-12</v>
      </c>
      <c r="FI117" s="60">
        <f t="shared" si="77"/>
        <v>280.86541503471284</v>
      </c>
      <c r="FJ117" s="60">
        <f ca="1">AVERAGE(OFFSET($FI$3,0,0,'Données projet'!$E$16+1,1))-AVERAGE(OFFSET($H$3,0,0,'Données projet'!$E$16+1,1))</f>
        <v>363.28611056308665</v>
      </c>
      <c r="FK117" s="60">
        <f t="shared" si="102"/>
        <v>389.43647559455974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1.7053025658242404E-13</v>
      </c>
      <c r="GA117" s="18">
        <f>FZ117*VLOOKUP('Données projet'!$B$17,Paramètres!$A$1:$I$89,3,0)*VLOOKUP('Données projet'!$B$17,Paramètres!$A$1:$I$89,5,0)</f>
        <v>1.1439169611549005E-13</v>
      </c>
      <c r="GB117" s="14">
        <f t="shared" si="103"/>
        <v>1.6918016515029816E-12</v>
      </c>
      <c r="GC117" s="22">
        <f t="shared" si="79"/>
        <v>3.1457867471021712E-12</v>
      </c>
      <c r="GD117" s="60">
        <f t="shared" si="80"/>
        <v>280.86541503470858</v>
      </c>
      <c r="GE117" s="60">
        <f ca="1">AVERAGE(OFFSET($GD$3,0,0,'Données projet'!$E$17+1,1))-AVERAGE(OFFSET($H$3,0,0,'Données projet'!$E$17+1,1))</f>
        <v>344.62096650402731</v>
      </c>
      <c r="GF117" s="60">
        <f t="shared" si="104"/>
        <v>277.30931495079346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5.7</v>
      </c>
      <c r="N118" s="14">
        <f>IF('Données projet'!$A$36&gt;35,N117+M118-V117,IF(A118&lt;'Données projet'!$A$36,$K$205^A118,IF(A118='Données projet'!$A$36,'Données projet'!$B$36,N117+M118-V117)))</f>
        <v>446.4999999999996</v>
      </c>
      <c r="O118" s="14">
        <f>N118*VLOOKUP('Données projet'!$B$9,Paramètres!$A$1:$I$89,3,0)*VLOOKUP('Données projet'!$B$9,Paramètres!$A$1:$I$89,5,0)</f>
        <v>383.0969999999997</v>
      </c>
      <c r="P118" s="14">
        <f t="shared" si="87"/>
        <v>88.341277913622051</v>
      </c>
      <c r="Q118" s="22">
        <f t="shared" si="107"/>
        <v>821.08833403289111</v>
      </c>
      <c r="R118" s="60">
        <f t="shared" si="55"/>
        <v>1102.1700395759883</v>
      </c>
      <c r="S118" s="60">
        <f ca="1">AVERAGE(OFFSET($R$3,0,0,'Données projet'!$E$9+1,1))-AVERAGE(OFFSET($H$3,0,0,'Données projet'!$E$9+1,1))</f>
        <v>632.26350546340541</v>
      </c>
      <c r="T118" s="60">
        <f t="shared" si="88"/>
        <v>340.45335016367915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2.7134774427395314E-13</v>
      </c>
      <c r="AK118" s="14">
        <f t="shared" si="89"/>
        <v>3.6292411711343559E-12</v>
      </c>
      <c r="AL118" s="22">
        <f t="shared" si="58"/>
        <v>6.7935256943361388E-12</v>
      </c>
      <c r="AM118" s="60">
        <f t="shared" si="59"/>
        <v>281.08170554310408</v>
      </c>
      <c r="AN118" s="60">
        <f ca="1">AVERAGE(OFFSET($AM$3,0,0,'Données projet'!$E$10+1,1))-AVERAGE(OFFSET($H$3,0,0,'Données projet'!$E$10+1,1))</f>
        <v>336.25341821407534</v>
      </c>
      <c r="AO118" s="60">
        <f t="shared" si="90"/>
        <v>360.3246221345039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2.7134774427395314E-13</v>
      </c>
      <c r="BF118" s="14">
        <f t="shared" si="91"/>
        <v>3.6292411711343559E-12</v>
      </c>
      <c r="BG118" s="22">
        <f t="shared" si="61"/>
        <v>6.7935256943361388E-12</v>
      </c>
      <c r="BH118" s="60">
        <f t="shared" si="62"/>
        <v>281.08170554310408</v>
      </c>
      <c r="BI118" s="60">
        <f ca="1">AVERAGE(OFFSET($BH$3,0,0,'Données projet'!$E$11+1,1))-AVERAGE(OFFSET($H$3,0,0,'Données projet'!$E$11+1,1))</f>
        <v>336.25341821407534</v>
      </c>
      <c r="BJ118" s="60">
        <f t="shared" si="92"/>
        <v>360.3246221345039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257.41559999999959</v>
      </c>
      <c r="CA118" s="14">
        <f t="shared" si="93"/>
        <v>62.171168434977062</v>
      </c>
      <c r="CB118" s="22">
        <f t="shared" si="64"/>
        <v>556.61362169091774</v>
      </c>
      <c r="CC118" s="60">
        <f t="shared" si="65"/>
        <v>837.69532723401494</v>
      </c>
      <c r="CD118" s="60">
        <f ca="1">AVERAGE(OFFSET($CC$3,0,0,'Données projet'!$E$12+1,1))-AVERAGE(OFFSET($H$3,0,0,'Données projet'!$E$12+1,1))</f>
        <v>469.67944008675863</v>
      </c>
      <c r="CE118" s="60">
        <f t="shared" si="94"/>
        <v>266.11908070867173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8.8675733422860506E-14</v>
      </c>
      <c r="CV118" s="14">
        <f t="shared" si="95"/>
        <v>1.3509285393066301E-12</v>
      </c>
      <c r="CW118" s="22">
        <f t="shared" si="67"/>
        <v>2.5073107750038623E-12</v>
      </c>
      <c r="CX118" s="60">
        <f t="shared" si="68"/>
        <v>281.08170554309976</v>
      </c>
      <c r="CY118" s="60">
        <f ca="1">AVERAGE(OFFSET($CX$3,0,0,'Données projet'!$E$13+1,1))-AVERAGE(OFFSET($H$3,0,0,'Données projet'!$E$13+1,1))</f>
        <v>312.59632808777332</v>
      </c>
      <c r="CZ118" s="60">
        <f t="shared" si="96"/>
        <v>302.59481222418219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2.884615384615381</v>
      </c>
      <c r="DO118" s="13">
        <f>IF('Données projet'!$A$166&gt;35,DO117+DN118-DW117,IF(A118&lt;'Données projet'!$A$166,$DL$205^A118,IF(A118='Données projet'!$A$166,'Données projet'!$B$166,DO117+DN118-DW117)))</f>
        <v>245.19230769230782</v>
      </c>
      <c r="DP118" s="18">
        <f>DO118*VLOOKUP('Données projet'!$B$14,Paramètres!$A$1:$I$89,3,0)*VLOOKUP('Données projet'!$B$14,Paramètres!$A$1:$I$89,5,0)</f>
        <v>233.32500000000013</v>
      </c>
      <c r="DQ118" s="14">
        <f t="shared" si="97"/>
        <v>57.001022602640226</v>
      </c>
      <c r="DR118" s="22">
        <f t="shared" si="70"/>
        <v>505.65115603293197</v>
      </c>
      <c r="DS118" s="60">
        <f t="shared" si="71"/>
        <v>786.73286157602922</v>
      </c>
      <c r="DT118" s="60">
        <f ca="1">AVERAGE(OFFSET($DS$3,0,0,'Données projet'!$E$14+1,1))-AVERAGE(OFFSET($H$3,0,0,'Données projet'!$E$14+1,1))</f>
        <v>398.29746143975166</v>
      </c>
      <c r="DU118" s="60">
        <f t="shared" si="98"/>
        <v>300.63705521148802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3.7</v>
      </c>
      <c r="EJ118" s="13">
        <f>IF('Données projet'!$A$192&gt;35,EJ117+EI118-ER117,IF(A118&lt;'Données projet'!$A$192,$EG$205^A118,IF(A118='Données projet'!$A$192,'Données projet'!$B$192,EJ117+EI118-ER117)))</f>
        <v>284.49999999999955</v>
      </c>
      <c r="EK118" s="18">
        <f>EJ118*VLOOKUP('Données projet'!$B$15,Paramètres!$A$1:$I$89,3,0)*VLOOKUP('Données projet'!$B$15,Paramètres!$A$1:$I$89,5,0)</f>
        <v>275.16839999999956</v>
      </c>
      <c r="EL118" s="14">
        <f t="shared" si="99"/>
        <v>65.944920834841554</v>
      </c>
      <c r="EM118" s="22">
        <f t="shared" si="73"/>
        <v>594.10570045401494</v>
      </c>
      <c r="EN118" s="60">
        <f t="shared" si="74"/>
        <v>875.18740599711214</v>
      </c>
      <c r="EO118" s="60">
        <f ca="1">AVERAGE(OFFSET($EN$3,0,0,'Données projet'!$E$15+1,1))-AVERAGE(OFFSET($H$3,0,0,'Données projet'!$E$15+1,1))</f>
        <v>496.33873798282525</v>
      </c>
      <c r="EP118" s="60">
        <f t="shared" si="100"/>
        <v>280.25465074992246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3.4106051316484809E-13</v>
      </c>
      <c r="FF118" s="18">
        <f>FE118*VLOOKUP('Données projet'!$B$16,Paramètres!$A$1:$I$89,3,0)*VLOOKUP('Données projet'!$B$16,Paramètres!$A$1:$I$89,5,0)</f>
        <v>2.9795046430081134E-13</v>
      </c>
      <c r="FG118" s="14">
        <f t="shared" si="101"/>
        <v>3.9419014464513778E-12</v>
      </c>
      <c r="FH118" s="22">
        <f t="shared" si="76"/>
        <v>7.384408744560063E-12</v>
      </c>
      <c r="FI118" s="60">
        <f t="shared" si="77"/>
        <v>281.08170554310465</v>
      </c>
      <c r="FJ118" s="60">
        <f ca="1">AVERAGE(OFFSET($FI$3,0,0,'Données projet'!$E$16+1,1))-AVERAGE(OFFSET($H$3,0,0,'Données projet'!$E$16+1,1))</f>
        <v>363.28611056308665</v>
      </c>
      <c r="FK118" s="60">
        <f t="shared" si="102"/>
        <v>389.43647559455974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1.7053025658242404E-13</v>
      </c>
      <c r="GA118" s="18">
        <f>FZ118*VLOOKUP('Données projet'!$B$17,Paramètres!$A$1:$I$89,3,0)*VLOOKUP('Données projet'!$B$17,Paramètres!$A$1:$I$89,5,0)</f>
        <v>1.1439169611549005E-13</v>
      </c>
      <c r="GB118" s="14">
        <f t="shared" si="103"/>
        <v>1.6918016515029816E-12</v>
      </c>
      <c r="GC118" s="22">
        <f t="shared" si="79"/>
        <v>3.1457867471021712E-12</v>
      </c>
      <c r="GD118" s="60">
        <f t="shared" si="80"/>
        <v>281.08170554310038</v>
      </c>
      <c r="GE118" s="60">
        <f ca="1">AVERAGE(OFFSET($GD$3,0,0,'Données projet'!$E$17+1,1))-AVERAGE(OFFSET($H$3,0,0,'Données projet'!$E$17+1,1))</f>
        <v>344.62096650402731</v>
      </c>
      <c r="GF118" s="60">
        <f t="shared" si="104"/>
        <v>277.30931495079346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5.7</v>
      </c>
      <c r="N119" s="14">
        <f>IF('Données projet'!$A$36&gt;35,N118+M119-V118,IF(A119&lt;'Données projet'!$A$36,$K$205^A119,IF(A119='Données projet'!$A$36,'Données projet'!$B$36,N118+M119-V118)))</f>
        <v>452.19999999999959</v>
      </c>
      <c r="O119" s="14">
        <f>N119*VLOOKUP('Données projet'!$B$9,Paramètres!$A$1:$I$89,3,0)*VLOOKUP('Données projet'!$B$9,Paramètres!$A$1:$I$89,5,0)</f>
        <v>387.9875999999997</v>
      </c>
      <c r="P119" s="14">
        <f t="shared" si="87"/>
        <v>89.337030651569009</v>
      </c>
      <c r="Q119" s="22">
        <f t="shared" si="107"/>
        <v>831.34039838481556</v>
      </c>
      <c r="R119" s="60">
        <f t="shared" si="55"/>
        <v>1112.634642279537</v>
      </c>
      <c r="S119" s="60">
        <f ca="1">AVERAGE(OFFSET($R$3,0,0,'Données projet'!$E$9+1,1))-AVERAGE(OFFSET($H$3,0,0,'Données projet'!$E$9+1,1))</f>
        <v>632.26350546340541</v>
      </c>
      <c r="T119" s="60">
        <f t="shared" si="88"/>
        <v>340.45335016367915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2.7134774427395314E-13</v>
      </c>
      <c r="AK119" s="14">
        <f t="shared" si="89"/>
        <v>3.6292411711343559E-12</v>
      </c>
      <c r="AL119" s="22">
        <f t="shared" si="58"/>
        <v>6.7935256943361388E-12</v>
      </c>
      <c r="AM119" s="60">
        <f t="shared" si="59"/>
        <v>281.29424389472831</v>
      </c>
      <c r="AN119" s="60">
        <f ca="1">AVERAGE(OFFSET($AM$3,0,0,'Données projet'!$E$10+1,1))-AVERAGE(OFFSET($H$3,0,0,'Données projet'!$E$10+1,1))</f>
        <v>336.25341821407534</v>
      </c>
      <c r="AO119" s="60">
        <f t="shared" si="90"/>
        <v>360.3246221345039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2.7134774427395314E-13</v>
      </c>
      <c r="BF119" s="14">
        <f t="shared" si="91"/>
        <v>3.6292411711343559E-12</v>
      </c>
      <c r="BG119" s="22">
        <f t="shared" si="61"/>
        <v>6.7935256943361388E-12</v>
      </c>
      <c r="BH119" s="60">
        <f t="shared" si="62"/>
        <v>281.29424389472831</v>
      </c>
      <c r="BI119" s="60">
        <f ca="1">AVERAGE(OFFSET($BH$3,0,0,'Données projet'!$E$11+1,1))-AVERAGE(OFFSET($H$3,0,0,'Données projet'!$E$11+1,1))</f>
        <v>336.25341821407534</v>
      </c>
      <c r="BJ119" s="60">
        <f t="shared" si="92"/>
        <v>360.3246221345039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260.76335999999958</v>
      </c>
      <c r="CA119" s="14">
        <f t="shared" si="93"/>
        <v>62.885067686031896</v>
      </c>
      <c r="CB119" s="22">
        <f t="shared" si="64"/>
        <v>563.68767821983818</v>
      </c>
      <c r="CC119" s="60">
        <f t="shared" si="65"/>
        <v>844.98192211455967</v>
      </c>
      <c r="CD119" s="60">
        <f ca="1">AVERAGE(OFFSET($CC$3,0,0,'Données projet'!$E$12+1,1))-AVERAGE(OFFSET($H$3,0,0,'Données projet'!$E$12+1,1))</f>
        <v>469.67944008675863</v>
      </c>
      <c r="CE119" s="60">
        <f t="shared" si="94"/>
        <v>266.11908070867173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8.8675733422860506E-14</v>
      </c>
      <c r="CV119" s="14">
        <f t="shared" si="95"/>
        <v>1.3509285393066301E-12</v>
      </c>
      <c r="CW119" s="22">
        <f t="shared" si="67"/>
        <v>2.5073107750038623E-12</v>
      </c>
      <c r="CX119" s="60">
        <f t="shared" si="68"/>
        <v>281.29424389472399</v>
      </c>
      <c r="CY119" s="60">
        <f ca="1">AVERAGE(OFFSET($CX$3,0,0,'Données projet'!$E$13+1,1))-AVERAGE(OFFSET($H$3,0,0,'Données projet'!$E$13+1,1))</f>
        <v>312.59632808777332</v>
      </c>
      <c r="CZ119" s="60">
        <f t="shared" si="96"/>
        <v>302.59481222418219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2.884615384615381</v>
      </c>
      <c r="DO119" s="13">
        <f>IF('Données projet'!$A$166&gt;35,DO118+DN119-DW118,IF(A119&lt;'Données projet'!$A$166,$DL$205^A119,IF(A119='Données projet'!$A$166,'Données projet'!$B$166,DO118+DN119-DW118)))</f>
        <v>248.07692307692321</v>
      </c>
      <c r="DP119" s="18">
        <f>DO119*VLOOKUP('Données projet'!$B$14,Paramètres!$A$1:$I$89,3,0)*VLOOKUP('Données projet'!$B$14,Paramètres!$A$1:$I$89,5,0)</f>
        <v>236.07000000000014</v>
      </c>
      <c r="DQ119" s="14">
        <f t="shared" si="97"/>
        <v>57.593161045607886</v>
      </c>
      <c r="DR119" s="22">
        <f t="shared" si="70"/>
        <v>511.46333882110065</v>
      </c>
      <c r="DS119" s="60">
        <f t="shared" si="71"/>
        <v>792.75758271582208</v>
      </c>
      <c r="DT119" s="60">
        <f ca="1">AVERAGE(OFFSET($DS$3,0,0,'Données projet'!$E$14+1,1))-AVERAGE(OFFSET($H$3,0,0,'Données projet'!$E$14+1,1))</f>
        <v>398.29746143975166</v>
      </c>
      <c r="DU119" s="60">
        <f t="shared" si="98"/>
        <v>300.63705521148802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3.7</v>
      </c>
      <c r="EJ119" s="13">
        <f>IF('Données projet'!$A$192&gt;35,EJ118+EI119-ER118,IF(A119&lt;'Données projet'!$A$192,$EG$205^A119,IF(A119='Données projet'!$A$192,'Données projet'!$B$192,EJ118+EI119-ER118)))</f>
        <v>288.19999999999953</v>
      </c>
      <c r="EK119" s="18">
        <f>EJ119*VLOOKUP('Données projet'!$B$15,Paramètres!$A$1:$I$89,3,0)*VLOOKUP('Données projet'!$B$15,Paramètres!$A$1:$I$89,5,0)</f>
        <v>278.74703999999957</v>
      </c>
      <c r="EL119" s="14">
        <f t="shared" si="99"/>
        <v>66.702153339553135</v>
      </c>
      <c r="EM119" s="22">
        <f t="shared" si="73"/>
        <v>601.65734506638762</v>
      </c>
      <c r="EN119" s="60">
        <f t="shared" si="74"/>
        <v>882.95158896110911</v>
      </c>
      <c r="EO119" s="60">
        <f ca="1">AVERAGE(OFFSET($EN$3,0,0,'Données projet'!$E$15+1,1))-AVERAGE(OFFSET($H$3,0,0,'Données projet'!$E$15+1,1))</f>
        <v>496.33873798282525</v>
      </c>
      <c r="EP119" s="60">
        <f t="shared" si="100"/>
        <v>280.25465074992246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3.4106051316484809E-13</v>
      </c>
      <c r="FF119" s="18">
        <f>FE119*VLOOKUP('Données projet'!$B$16,Paramètres!$A$1:$I$89,3,0)*VLOOKUP('Données projet'!$B$16,Paramètres!$A$1:$I$89,5,0)</f>
        <v>2.9795046430081134E-13</v>
      </c>
      <c r="FG119" s="14">
        <f t="shared" si="101"/>
        <v>3.9419014464513778E-12</v>
      </c>
      <c r="FH119" s="22">
        <f t="shared" si="76"/>
        <v>7.384408744560063E-12</v>
      </c>
      <c r="FI119" s="60">
        <f t="shared" si="77"/>
        <v>281.29424389472888</v>
      </c>
      <c r="FJ119" s="60">
        <f ca="1">AVERAGE(OFFSET($FI$3,0,0,'Données projet'!$E$16+1,1))-AVERAGE(OFFSET($H$3,0,0,'Données projet'!$E$16+1,1))</f>
        <v>363.28611056308665</v>
      </c>
      <c r="FK119" s="60">
        <f t="shared" si="102"/>
        <v>389.43647559455974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1.7053025658242404E-13</v>
      </c>
      <c r="GA119" s="18">
        <f>FZ119*VLOOKUP('Données projet'!$B$17,Paramètres!$A$1:$I$89,3,0)*VLOOKUP('Données projet'!$B$17,Paramètres!$A$1:$I$89,5,0)</f>
        <v>1.1439169611549005E-13</v>
      </c>
      <c r="GB119" s="14">
        <f t="shared" si="103"/>
        <v>1.6918016515029816E-12</v>
      </c>
      <c r="GC119" s="22">
        <f t="shared" si="79"/>
        <v>3.1457867471021712E-12</v>
      </c>
      <c r="GD119" s="60">
        <f t="shared" si="80"/>
        <v>281.29424389472462</v>
      </c>
      <c r="GE119" s="60">
        <f ca="1">AVERAGE(OFFSET($GD$3,0,0,'Données projet'!$E$17+1,1))-AVERAGE(OFFSET($H$3,0,0,'Données projet'!$E$17+1,1))</f>
        <v>344.62096650402731</v>
      </c>
      <c r="GF119" s="60">
        <f t="shared" si="104"/>
        <v>277.30931495079346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5.7</v>
      </c>
      <c r="N120" s="14">
        <f>IF('Données projet'!$A$36&gt;35,N119+M120-V119,IF(A120&lt;'Données projet'!$A$36,$K$205^A120,IF(A120='Données projet'!$A$36,'Données projet'!$B$36,N119+M120-V119)))</f>
        <v>457.89999999999958</v>
      </c>
      <c r="O120" s="14">
        <f>N120*VLOOKUP('Données projet'!$B$9,Paramètres!$A$1:$I$89,3,0)*VLOOKUP('Données projet'!$B$9,Paramètres!$A$1:$I$89,5,0)</f>
        <v>392.87819999999971</v>
      </c>
      <c r="P120" s="14">
        <f t="shared" si="87"/>
        <v>90.331323424720722</v>
      </c>
      <c r="Q120" s="22">
        <f t="shared" si="107"/>
        <v>841.58991996472139</v>
      </c>
      <c r="R120" s="60">
        <f t="shared" si="55"/>
        <v>1123.093015145831</v>
      </c>
      <c r="S120" s="60">
        <f ca="1">AVERAGE(OFFSET($R$3,0,0,'Données projet'!$E$9+1,1))-AVERAGE(OFFSET($H$3,0,0,'Données projet'!$E$9+1,1))</f>
        <v>632.26350546340541</v>
      </c>
      <c r="T120" s="60">
        <f t="shared" si="88"/>
        <v>340.45335016367915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2.7134774427395314E-13</v>
      </c>
      <c r="AK120" s="14">
        <f t="shared" si="89"/>
        <v>3.6292411711343559E-12</v>
      </c>
      <c r="AL120" s="22">
        <f t="shared" si="58"/>
        <v>6.7935256943361388E-12</v>
      </c>
      <c r="AM120" s="60">
        <f t="shared" si="59"/>
        <v>281.50309518111646</v>
      </c>
      <c r="AN120" s="60">
        <f ca="1">AVERAGE(OFFSET($AM$3,0,0,'Données projet'!$E$10+1,1))-AVERAGE(OFFSET($H$3,0,0,'Données projet'!$E$10+1,1))</f>
        <v>336.25341821407534</v>
      </c>
      <c r="AO120" s="60">
        <f t="shared" si="90"/>
        <v>360.3246221345039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2.7134774427395314E-13</v>
      </c>
      <c r="BF120" s="14">
        <f t="shared" si="91"/>
        <v>3.6292411711343559E-12</v>
      </c>
      <c r="BG120" s="22">
        <f t="shared" si="61"/>
        <v>6.7935256943361388E-12</v>
      </c>
      <c r="BH120" s="60">
        <f t="shared" si="62"/>
        <v>281.50309518111646</v>
      </c>
      <c r="BI120" s="60">
        <f ca="1">AVERAGE(OFFSET($BH$3,0,0,'Données projet'!$E$11+1,1))-AVERAGE(OFFSET($H$3,0,0,'Données projet'!$E$11+1,1))</f>
        <v>336.25341821407534</v>
      </c>
      <c r="BJ120" s="60">
        <f t="shared" si="92"/>
        <v>360.3246221345039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264.11111999999957</v>
      </c>
      <c r="CA120" s="14">
        <f t="shared" si="93"/>
        <v>63.597900866870546</v>
      </c>
      <c r="CB120" s="22">
        <f t="shared" si="64"/>
        <v>570.75987800979885</v>
      </c>
      <c r="CC120" s="60">
        <f t="shared" si="65"/>
        <v>852.2629731909085</v>
      </c>
      <c r="CD120" s="60">
        <f ca="1">AVERAGE(OFFSET($CC$3,0,0,'Données projet'!$E$12+1,1))-AVERAGE(OFFSET($H$3,0,0,'Données projet'!$E$12+1,1))</f>
        <v>469.67944008675863</v>
      </c>
      <c r="CE120" s="60">
        <f t="shared" si="94"/>
        <v>266.11908070867173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8.8675733422860506E-14</v>
      </c>
      <c r="CV120" s="14">
        <f t="shared" si="95"/>
        <v>1.3509285393066301E-12</v>
      </c>
      <c r="CW120" s="22">
        <f t="shared" si="67"/>
        <v>2.5073107750038623E-12</v>
      </c>
      <c r="CX120" s="60">
        <f t="shared" si="68"/>
        <v>281.50309518111214</v>
      </c>
      <c r="CY120" s="60">
        <f ca="1">AVERAGE(OFFSET($CX$3,0,0,'Données projet'!$E$13+1,1))-AVERAGE(OFFSET($H$3,0,0,'Données projet'!$E$13+1,1))</f>
        <v>312.59632808777332</v>
      </c>
      <c r="CZ120" s="60">
        <f t="shared" si="96"/>
        <v>302.59481222418219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2.884615384615381</v>
      </c>
      <c r="DO120" s="13">
        <f>IF('Données projet'!$A$166&gt;35,DO119+DN120-DW119,IF(A120&lt;'Données projet'!$A$166,$DL$205^A120,IF(A120='Données projet'!$A$166,'Données projet'!$B$166,DO119+DN120-DW119)))</f>
        <v>250.96153846153859</v>
      </c>
      <c r="DP120" s="18">
        <f>DO120*VLOOKUP('Données projet'!$B$14,Paramètres!$A$1:$I$89,3,0)*VLOOKUP('Données projet'!$B$14,Paramètres!$A$1:$I$89,5,0)</f>
        <v>238.81500000000014</v>
      </c>
      <c r="DQ120" s="14">
        <f t="shared" si="97"/>
        <v>58.184498559125089</v>
      </c>
      <c r="DR120" s="22">
        <f t="shared" si="70"/>
        <v>517.27412665714303</v>
      </c>
      <c r="DS120" s="60">
        <f t="shared" si="71"/>
        <v>798.77722183825267</v>
      </c>
      <c r="DT120" s="60">
        <f ca="1">AVERAGE(OFFSET($DS$3,0,0,'Données projet'!$E$14+1,1))-AVERAGE(OFFSET($H$3,0,0,'Données projet'!$E$14+1,1))</f>
        <v>398.29746143975166</v>
      </c>
      <c r="DU120" s="60">
        <f t="shared" si="98"/>
        <v>300.63705521148802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3.7</v>
      </c>
      <c r="EJ120" s="13">
        <f>IF('Données projet'!$A$192&gt;35,EJ119+EI120-ER119,IF(A120&lt;'Données projet'!$A$192,$EG$205^A120,IF(A120='Données projet'!$A$192,'Données projet'!$B$192,EJ119+EI120-ER119)))</f>
        <v>291.89999999999952</v>
      </c>
      <c r="EK120" s="18">
        <f>EJ120*VLOOKUP('Données projet'!$B$15,Paramètres!$A$1:$I$89,3,0)*VLOOKUP('Données projet'!$B$15,Paramètres!$A$1:$I$89,5,0)</f>
        <v>282.32567999999952</v>
      </c>
      <c r="EL120" s="14">
        <f t="shared" si="99"/>
        <v>67.458255064229917</v>
      </c>
      <c r="EM120" s="22">
        <f t="shared" si="73"/>
        <v>609.20702023686624</v>
      </c>
      <c r="EN120" s="60">
        <f t="shared" si="74"/>
        <v>890.71011541797589</v>
      </c>
      <c r="EO120" s="60">
        <f ca="1">AVERAGE(OFFSET($EN$3,0,0,'Données projet'!$E$15+1,1))-AVERAGE(OFFSET($H$3,0,0,'Données projet'!$E$15+1,1))</f>
        <v>496.33873798282525</v>
      </c>
      <c r="EP120" s="60">
        <f t="shared" si="100"/>
        <v>280.25465074992246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3.4106051316484809E-13</v>
      </c>
      <c r="FF120" s="18">
        <f>FE120*VLOOKUP('Données projet'!$B$16,Paramètres!$A$1:$I$89,3,0)*VLOOKUP('Données projet'!$B$16,Paramètres!$A$1:$I$89,5,0)</f>
        <v>2.9795046430081134E-13</v>
      </c>
      <c r="FG120" s="14">
        <f t="shared" si="101"/>
        <v>3.9419014464513778E-12</v>
      </c>
      <c r="FH120" s="22">
        <f t="shared" si="76"/>
        <v>7.384408744560063E-12</v>
      </c>
      <c r="FI120" s="60">
        <f t="shared" si="77"/>
        <v>281.50309518111703</v>
      </c>
      <c r="FJ120" s="60">
        <f ca="1">AVERAGE(OFFSET($FI$3,0,0,'Données projet'!$E$16+1,1))-AVERAGE(OFFSET($H$3,0,0,'Données projet'!$E$16+1,1))</f>
        <v>363.28611056308665</v>
      </c>
      <c r="FK120" s="60">
        <f t="shared" si="102"/>
        <v>389.43647559455974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1.7053025658242404E-13</v>
      </c>
      <c r="GA120" s="18">
        <f>FZ120*VLOOKUP('Données projet'!$B$17,Paramètres!$A$1:$I$89,3,0)*VLOOKUP('Données projet'!$B$17,Paramètres!$A$1:$I$89,5,0)</f>
        <v>1.1439169611549005E-13</v>
      </c>
      <c r="GB120" s="14">
        <f t="shared" si="103"/>
        <v>1.6918016515029816E-12</v>
      </c>
      <c r="GC120" s="22">
        <f t="shared" si="79"/>
        <v>3.1457867471021712E-12</v>
      </c>
      <c r="GD120" s="60">
        <f t="shared" si="80"/>
        <v>281.50309518111277</v>
      </c>
      <c r="GE120" s="60">
        <f ca="1">AVERAGE(OFFSET($GD$3,0,0,'Données projet'!$E$17+1,1))-AVERAGE(OFFSET($H$3,0,0,'Données projet'!$E$17+1,1))</f>
        <v>344.62096650402731</v>
      </c>
      <c r="GF120" s="60">
        <f t="shared" si="104"/>
        <v>277.30931495079346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5.7</v>
      </c>
      <c r="N121" s="14">
        <f>IF('Données projet'!$A$36&gt;35,N120+M121-V120,IF(A121&lt;'Données projet'!$A$36,$K$205^A121,IF(A121='Données projet'!$A$36,'Données projet'!$B$36,N120+M121-V120)))</f>
        <v>463.59999999999957</v>
      </c>
      <c r="O121" s="14">
        <f>N121*VLOOKUP('Données projet'!$B$9,Paramètres!$A$1:$I$89,3,0)*VLOOKUP('Données projet'!$B$9,Paramètres!$A$1:$I$89,5,0)</f>
        <v>397.76879999999971</v>
      </c>
      <c r="P121" s="14">
        <f t="shared" si="87"/>
        <v>91.324176508708348</v>
      </c>
      <c r="Q121" s="22">
        <f t="shared" si="107"/>
        <v>851.83693408599981</v>
      </c>
      <c r="R121" s="60">
        <f t="shared" si="55"/>
        <v>1133.5452574506003</v>
      </c>
      <c r="S121" s="60">
        <f ca="1">AVERAGE(OFFSET($R$3,0,0,'Données projet'!$E$9+1,1))-AVERAGE(OFFSET($H$3,0,0,'Données projet'!$E$9+1,1))</f>
        <v>632.26350546340541</v>
      </c>
      <c r="T121" s="60">
        <f t="shared" si="88"/>
        <v>340.45335016367915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2.7134774427395314E-13</v>
      </c>
      <c r="AK121" s="14">
        <f t="shared" si="89"/>
        <v>3.6292411711343559E-12</v>
      </c>
      <c r="AL121" s="22">
        <f t="shared" si="58"/>
        <v>6.7935256943361388E-12</v>
      </c>
      <c r="AM121" s="60">
        <f t="shared" si="59"/>
        <v>281.70832336460722</v>
      </c>
      <c r="AN121" s="60">
        <f ca="1">AVERAGE(OFFSET($AM$3,0,0,'Données projet'!$E$10+1,1))-AVERAGE(OFFSET($H$3,0,0,'Données projet'!$E$10+1,1))</f>
        <v>336.25341821407534</v>
      </c>
      <c r="AO121" s="60">
        <f t="shared" si="90"/>
        <v>360.3246221345039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2.7134774427395314E-13</v>
      </c>
      <c r="BF121" s="14">
        <f t="shared" si="91"/>
        <v>3.6292411711343559E-12</v>
      </c>
      <c r="BG121" s="22">
        <f t="shared" si="61"/>
        <v>6.7935256943361388E-12</v>
      </c>
      <c r="BH121" s="60">
        <f t="shared" si="62"/>
        <v>281.70832336460722</v>
      </c>
      <c r="BI121" s="60">
        <f ca="1">AVERAGE(OFFSET($BH$3,0,0,'Données projet'!$E$11+1,1))-AVERAGE(OFFSET($H$3,0,0,'Données projet'!$E$11+1,1))</f>
        <v>336.25341821407534</v>
      </c>
      <c r="BJ121" s="60">
        <f t="shared" si="92"/>
        <v>360.3246221345039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267.45887999999951</v>
      </c>
      <c r="CA121" s="14">
        <f t="shared" si="93"/>
        <v>64.309683053152327</v>
      </c>
      <c r="CB121" s="22">
        <f t="shared" si="64"/>
        <v>577.8302473175728</v>
      </c>
      <c r="CC121" s="60">
        <f t="shared" si="65"/>
        <v>859.53857068217326</v>
      </c>
      <c r="CD121" s="60">
        <f ca="1">AVERAGE(OFFSET($CC$3,0,0,'Données projet'!$E$12+1,1))-AVERAGE(OFFSET($H$3,0,0,'Données projet'!$E$12+1,1))</f>
        <v>469.67944008675863</v>
      </c>
      <c r="CE121" s="60">
        <f t="shared" si="94"/>
        <v>266.11908070867173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8.8675733422860506E-14</v>
      </c>
      <c r="CV121" s="14">
        <f t="shared" si="95"/>
        <v>1.3509285393066301E-12</v>
      </c>
      <c r="CW121" s="22">
        <f t="shared" si="67"/>
        <v>2.5073107750038623E-12</v>
      </c>
      <c r="CX121" s="60">
        <f t="shared" si="68"/>
        <v>281.7083233646029</v>
      </c>
      <c r="CY121" s="60">
        <f ca="1">AVERAGE(OFFSET($CX$3,0,0,'Données projet'!$E$13+1,1))-AVERAGE(OFFSET($H$3,0,0,'Données projet'!$E$13+1,1))</f>
        <v>312.59632808777332</v>
      </c>
      <c r="CZ121" s="60">
        <f t="shared" si="96"/>
        <v>302.59481222418219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2.884615384615381</v>
      </c>
      <c r="DO121" s="13">
        <f>IF('Données projet'!$A$166&gt;35,DO120+DN121-DW120,IF(A121&lt;'Données projet'!$A$166,$DL$205^A121,IF(A121='Données projet'!$A$166,'Données projet'!$B$166,DO120+DN121-DW120)))</f>
        <v>253.84615384615398</v>
      </c>
      <c r="DP121" s="18">
        <f>DO121*VLOOKUP('Données projet'!$B$14,Paramètres!$A$1:$I$89,3,0)*VLOOKUP('Données projet'!$B$14,Paramètres!$A$1:$I$89,5,0)</f>
        <v>241.56000000000014</v>
      </c>
      <c r="DQ121" s="14">
        <f t="shared" si="97"/>
        <v>58.775045414448314</v>
      </c>
      <c r="DR121" s="22">
        <f t="shared" si="70"/>
        <v>523.08353743016437</v>
      </c>
      <c r="DS121" s="60">
        <f t="shared" si="71"/>
        <v>804.79186079476472</v>
      </c>
      <c r="DT121" s="60">
        <f ca="1">AVERAGE(OFFSET($DS$3,0,0,'Données projet'!$E$14+1,1))-AVERAGE(OFFSET($H$3,0,0,'Données projet'!$E$14+1,1))</f>
        <v>398.29746143975166</v>
      </c>
      <c r="DU121" s="60">
        <f t="shared" si="98"/>
        <v>300.63705521148802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3.7</v>
      </c>
      <c r="EJ121" s="13">
        <f>IF('Données projet'!$A$192&gt;35,EJ120+EI121-ER120,IF(A121&lt;'Données projet'!$A$192,$EG$205^A121,IF(A121='Données projet'!$A$192,'Données projet'!$B$192,EJ120+EI121-ER120)))</f>
        <v>295.59999999999951</v>
      </c>
      <c r="EK121" s="18">
        <f>EJ121*VLOOKUP('Données projet'!$B$15,Paramètres!$A$1:$I$89,3,0)*VLOOKUP('Données projet'!$B$15,Paramètres!$A$1:$I$89,5,0)</f>
        <v>285.90431999999953</v>
      </c>
      <c r="EL121" s="14">
        <f t="shared" si="99"/>
        <v>68.213241999614453</v>
      </c>
      <c r="EM121" s="22">
        <f t="shared" si="73"/>
        <v>616.75475381599438</v>
      </c>
      <c r="EN121" s="60">
        <f t="shared" si="74"/>
        <v>898.46307718059484</v>
      </c>
      <c r="EO121" s="60">
        <f ca="1">AVERAGE(OFFSET($EN$3,0,0,'Données projet'!$E$15+1,1))-AVERAGE(OFFSET($H$3,0,0,'Données projet'!$E$15+1,1))</f>
        <v>496.33873798282525</v>
      </c>
      <c r="EP121" s="60">
        <f t="shared" si="100"/>
        <v>280.25465074992246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3.4106051316484809E-13</v>
      </c>
      <c r="FF121" s="18">
        <f>FE121*VLOOKUP('Données projet'!$B$16,Paramètres!$A$1:$I$89,3,0)*VLOOKUP('Données projet'!$B$16,Paramètres!$A$1:$I$89,5,0)</f>
        <v>2.9795046430081134E-13</v>
      </c>
      <c r="FG121" s="14">
        <f t="shared" si="101"/>
        <v>3.9419014464513778E-12</v>
      </c>
      <c r="FH121" s="22">
        <f t="shared" si="76"/>
        <v>7.384408744560063E-12</v>
      </c>
      <c r="FI121" s="60">
        <f t="shared" si="77"/>
        <v>281.70832336460779</v>
      </c>
      <c r="FJ121" s="60">
        <f ca="1">AVERAGE(OFFSET($FI$3,0,0,'Données projet'!$E$16+1,1))-AVERAGE(OFFSET($H$3,0,0,'Données projet'!$E$16+1,1))</f>
        <v>363.28611056308665</v>
      </c>
      <c r="FK121" s="60">
        <f t="shared" si="102"/>
        <v>389.43647559455974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1.7053025658242404E-13</v>
      </c>
      <c r="GA121" s="18">
        <f>FZ121*VLOOKUP('Données projet'!$B$17,Paramètres!$A$1:$I$89,3,0)*VLOOKUP('Données projet'!$B$17,Paramètres!$A$1:$I$89,5,0)</f>
        <v>1.1439169611549005E-13</v>
      </c>
      <c r="GB121" s="14">
        <f t="shared" si="103"/>
        <v>1.6918016515029816E-12</v>
      </c>
      <c r="GC121" s="22">
        <f t="shared" si="79"/>
        <v>3.1457867471021712E-12</v>
      </c>
      <c r="GD121" s="60">
        <f t="shared" si="80"/>
        <v>281.70832336460353</v>
      </c>
      <c r="GE121" s="60">
        <f ca="1">AVERAGE(OFFSET($GD$3,0,0,'Données projet'!$E$17+1,1))-AVERAGE(OFFSET($H$3,0,0,'Données projet'!$E$17+1,1))</f>
        <v>344.62096650402731</v>
      </c>
      <c r="GF121" s="60">
        <f t="shared" si="104"/>
        <v>277.30931495079346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5.7</v>
      </c>
      <c r="N122" s="14">
        <f>IF('Données projet'!$A$36&gt;35,N121+M122-V121,IF(A122&lt;'Données projet'!$A$36,$K$205^A122,IF(A122='Données projet'!$A$36,'Données projet'!$B$36,N121+M122-V121)))</f>
        <v>469.29999999999956</v>
      </c>
      <c r="O122" s="14">
        <f>N122*VLOOKUP('Données projet'!$B$9,Paramètres!$A$1:$I$89,3,0)*VLOOKUP('Données projet'!$B$9,Paramètres!$A$1:$I$89,5,0)</f>
        <v>402.65939999999966</v>
      </c>
      <c r="P122" s="14">
        <f t="shared" si="87"/>
        <v>92.315609651902349</v>
      </c>
      <c r="Q122" s="22">
        <f t="shared" si="107"/>
        <v>862.08147514372934</v>
      </c>
      <c r="R122" s="60">
        <f t="shared" si="55"/>
        <v>1143.9914664416585</v>
      </c>
      <c r="S122" s="60">
        <f ca="1">AVERAGE(OFFSET($R$3,0,0,'Données projet'!$E$9+1,1))-AVERAGE(OFFSET($H$3,0,0,'Données projet'!$E$9+1,1))</f>
        <v>632.26350546340541</v>
      </c>
      <c r="T122" s="60">
        <f t="shared" si="88"/>
        <v>340.45335016367915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2.7134774427395314E-13</v>
      </c>
      <c r="AK122" s="14">
        <f t="shared" si="89"/>
        <v>3.6292411711343559E-12</v>
      </c>
      <c r="AL122" s="22">
        <f t="shared" si="58"/>
        <v>6.7935256943361388E-12</v>
      </c>
      <c r="AM122" s="60">
        <f t="shared" si="59"/>
        <v>281.90999129793596</v>
      </c>
      <c r="AN122" s="60">
        <f ca="1">AVERAGE(OFFSET($AM$3,0,0,'Données projet'!$E$10+1,1))-AVERAGE(OFFSET($H$3,0,0,'Données projet'!$E$10+1,1))</f>
        <v>336.25341821407534</v>
      </c>
      <c r="AO122" s="60">
        <f t="shared" si="90"/>
        <v>360.3246221345039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2.7134774427395314E-13</v>
      </c>
      <c r="BF122" s="14">
        <f t="shared" si="91"/>
        <v>3.6292411711343559E-12</v>
      </c>
      <c r="BG122" s="22">
        <f t="shared" si="61"/>
        <v>6.7935256943361388E-12</v>
      </c>
      <c r="BH122" s="60">
        <f t="shared" si="62"/>
        <v>281.90999129793596</v>
      </c>
      <c r="BI122" s="60">
        <f ca="1">AVERAGE(OFFSET($BH$3,0,0,'Données projet'!$E$11+1,1))-AVERAGE(OFFSET($H$3,0,0,'Données projet'!$E$11+1,1))</f>
        <v>336.25341821407534</v>
      </c>
      <c r="BJ122" s="60">
        <f t="shared" si="92"/>
        <v>360.3246221345039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270.80663999999956</v>
      </c>
      <c r="CA122" s="14">
        <f t="shared" si="93"/>
        <v>65.020428921429911</v>
      </c>
      <c r="CB122" s="22">
        <f t="shared" si="64"/>
        <v>584.89881170482306</v>
      </c>
      <c r="CC122" s="60">
        <f t="shared" si="65"/>
        <v>866.80880300275226</v>
      </c>
      <c r="CD122" s="60">
        <f ca="1">AVERAGE(OFFSET($CC$3,0,0,'Données projet'!$E$12+1,1))-AVERAGE(OFFSET($H$3,0,0,'Données projet'!$E$12+1,1))</f>
        <v>469.67944008675863</v>
      </c>
      <c r="CE122" s="60">
        <f t="shared" si="94"/>
        <v>266.11908070867173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8.8675733422860506E-14</v>
      </c>
      <c r="CV122" s="14">
        <f t="shared" si="95"/>
        <v>1.3509285393066301E-12</v>
      </c>
      <c r="CW122" s="22">
        <f t="shared" si="67"/>
        <v>2.5073107750038623E-12</v>
      </c>
      <c r="CX122" s="60">
        <f t="shared" si="68"/>
        <v>281.90999129793164</v>
      </c>
      <c r="CY122" s="60">
        <f ca="1">AVERAGE(OFFSET($CX$3,0,0,'Données projet'!$E$13+1,1))-AVERAGE(OFFSET($H$3,0,0,'Données projet'!$E$13+1,1))</f>
        <v>312.59632808777332</v>
      </c>
      <c r="CZ122" s="60">
        <f t="shared" si="96"/>
        <v>302.59481222418219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2.884615384615381</v>
      </c>
      <c r="DO122" s="13">
        <f>IF('Données projet'!$A$166&gt;35,DO121+DN122-DW121,IF(A122&lt;'Données projet'!$A$166,$DL$205^A122,IF(A122='Données projet'!$A$166,'Données projet'!$B$166,DO121+DN122-DW121)))</f>
        <v>256.73076923076934</v>
      </c>
      <c r="DP122" s="18">
        <f>DO122*VLOOKUP('Données projet'!$B$14,Paramètres!$A$1:$I$89,3,0)*VLOOKUP('Données projet'!$B$14,Paramètres!$A$1:$I$89,5,0)</f>
        <v>244.30500000000009</v>
      </c>
      <c r="DQ122" s="14">
        <f t="shared" si="97"/>
        <v>59.364811635957629</v>
      </c>
      <c r="DR122" s="22">
        <f t="shared" si="70"/>
        <v>528.89158859929296</v>
      </c>
      <c r="DS122" s="60">
        <f t="shared" si="71"/>
        <v>810.80157989722215</v>
      </c>
      <c r="DT122" s="60">
        <f ca="1">AVERAGE(OFFSET($DS$3,0,0,'Données projet'!$E$14+1,1))-AVERAGE(OFFSET($H$3,0,0,'Données projet'!$E$14+1,1))</f>
        <v>398.29746143975166</v>
      </c>
      <c r="DU122" s="60">
        <f t="shared" si="98"/>
        <v>300.63705521148802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3.7</v>
      </c>
      <c r="EJ122" s="13">
        <f>IF('Données projet'!$A$192&gt;35,EJ121+EI122-ER121,IF(A122&lt;'Données projet'!$A$192,$EG$205^A122,IF(A122='Données projet'!$A$192,'Données projet'!$B$192,EJ121+EI122-ER121)))</f>
        <v>299.2999999999995</v>
      </c>
      <c r="EK122" s="18">
        <f>EJ122*VLOOKUP('Données projet'!$B$15,Paramètres!$A$1:$I$89,3,0)*VLOOKUP('Données projet'!$B$15,Paramètres!$A$1:$I$89,5,0)</f>
        <v>289.48295999999954</v>
      </c>
      <c r="EL122" s="14">
        <f t="shared" si="99"/>
        <v>68.967129713117401</v>
      </c>
      <c r="EM122" s="22">
        <f t="shared" si="73"/>
        <v>624.300572917012</v>
      </c>
      <c r="EN122" s="60">
        <f t="shared" si="74"/>
        <v>906.21056421494109</v>
      </c>
      <c r="EO122" s="60">
        <f ca="1">AVERAGE(OFFSET($EN$3,0,0,'Données projet'!$E$15+1,1))-AVERAGE(OFFSET($H$3,0,0,'Données projet'!$E$15+1,1))</f>
        <v>496.33873798282525</v>
      </c>
      <c r="EP122" s="60">
        <f t="shared" si="100"/>
        <v>280.25465074992246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3.4106051316484809E-13</v>
      </c>
      <c r="FF122" s="18">
        <f>FE122*VLOOKUP('Données projet'!$B$16,Paramètres!$A$1:$I$89,3,0)*VLOOKUP('Données projet'!$B$16,Paramètres!$A$1:$I$89,5,0)</f>
        <v>2.9795046430081134E-13</v>
      </c>
      <c r="FG122" s="14">
        <f t="shared" si="101"/>
        <v>3.9419014464513778E-12</v>
      </c>
      <c r="FH122" s="22">
        <f t="shared" si="76"/>
        <v>7.384408744560063E-12</v>
      </c>
      <c r="FI122" s="60">
        <f t="shared" si="77"/>
        <v>281.90999129793653</v>
      </c>
      <c r="FJ122" s="60">
        <f ca="1">AVERAGE(OFFSET($FI$3,0,0,'Données projet'!$E$16+1,1))-AVERAGE(OFFSET($H$3,0,0,'Données projet'!$E$16+1,1))</f>
        <v>363.28611056308665</v>
      </c>
      <c r="FK122" s="60">
        <f t="shared" si="102"/>
        <v>389.43647559455974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1.7053025658242404E-13</v>
      </c>
      <c r="GA122" s="18">
        <f>FZ122*VLOOKUP('Données projet'!$B$17,Paramètres!$A$1:$I$89,3,0)*VLOOKUP('Données projet'!$B$17,Paramètres!$A$1:$I$89,5,0)</f>
        <v>1.1439169611549005E-13</v>
      </c>
      <c r="GB122" s="14">
        <f t="shared" si="103"/>
        <v>1.6918016515029816E-12</v>
      </c>
      <c r="GC122" s="22">
        <f t="shared" si="79"/>
        <v>3.1457867471021712E-12</v>
      </c>
      <c r="GD122" s="60">
        <f t="shared" si="80"/>
        <v>281.90999129793227</v>
      </c>
      <c r="GE122" s="60">
        <f ca="1">AVERAGE(OFFSET($GD$3,0,0,'Données projet'!$E$17+1,1))-AVERAGE(OFFSET($H$3,0,0,'Données projet'!$E$17+1,1))</f>
        <v>344.62096650402731</v>
      </c>
      <c r="GF122" s="60">
        <f t="shared" si="104"/>
        <v>277.30931495079346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475</v>
      </c>
      <c r="L123" s="13">
        <f>VLOOKUP(A123,'Données projet'!$A$35:$I$55,9,0)</f>
        <v>5.7</v>
      </c>
      <c r="M123" s="13">
        <f t="array" ref="M123">INDEX(L:L,MIN(IF(ISNUMBER(L123:L319),ROW(L123:L319),"")))</f>
        <v>5.7</v>
      </c>
      <c r="N123" s="14">
        <f>IF('Données projet'!$A$36&gt;35,N122+M123-V122,IF(A123&lt;'Données projet'!$A$36,$K$205^A123,IF(A123='Données projet'!$A$36,'Données projet'!$B$36,N122+M123-V122)))</f>
        <v>474.99999999999955</v>
      </c>
      <c r="O123" s="14">
        <f>N123*VLOOKUP('Données projet'!$B$9,Paramètres!$A$1:$I$89,3,0)*VLOOKUP('Données projet'!$B$9,Paramètres!$A$1:$I$89,5,0)</f>
        <v>407.54999999999967</v>
      </c>
      <c r="P123" s="14">
        <f t="shared" si="87"/>
        <v>93.305642095357598</v>
      </c>
      <c r="Q123" s="22">
        <f t="shared" si="107"/>
        <v>872.32357664941389</v>
      </c>
      <c r="R123" s="60">
        <f t="shared" si="55"/>
        <v>1154.4317373928905</v>
      </c>
      <c r="S123" s="60">
        <f ca="1">AVERAGE(OFFSET($R$3,0,0,'Données projet'!$E$9+1,1))-AVERAGE(OFFSET($H$3,0,0,'Données projet'!$E$9+1,1))</f>
        <v>632.26350546340541</v>
      </c>
      <c r="T123" s="60">
        <f t="shared" si="88"/>
        <v>340.45335016367915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43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2.7134774427395314E-13</v>
      </c>
      <c r="AK123" s="14">
        <f t="shared" si="89"/>
        <v>3.6292411711343559E-12</v>
      </c>
      <c r="AL123" s="22">
        <f t="shared" si="58"/>
        <v>6.7935256943361388E-12</v>
      </c>
      <c r="AM123" s="60">
        <f t="shared" si="59"/>
        <v>282.10816074348344</v>
      </c>
      <c r="AN123" s="60">
        <f ca="1">AVERAGE(OFFSET($AM$3,0,0,'Données projet'!$E$10+1,1))-AVERAGE(OFFSET($H$3,0,0,'Données projet'!$E$10+1,1))</f>
        <v>336.25341821407534</v>
      </c>
      <c r="AO123" s="60">
        <f t="shared" si="90"/>
        <v>360.3246221345039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2.7134774427395314E-13</v>
      </c>
      <c r="BF123" s="14">
        <f t="shared" si="91"/>
        <v>3.6292411711343559E-12</v>
      </c>
      <c r="BG123" s="22">
        <f t="shared" si="61"/>
        <v>6.7935256943361388E-12</v>
      </c>
      <c r="BH123" s="60">
        <f t="shared" si="62"/>
        <v>282.10816074348344</v>
      </c>
      <c r="BI123" s="60">
        <f ca="1">AVERAGE(OFFSET($BH$3,0,0,'Données projet'!$E$11+1,1))-AVERAGE(OFFSET($H$3,0,0,'Données projet'!$E$11+1,1))</f>
        <v>336.25341821407534</v>
      </c>
      <c r="BJ123" s="60">
        <f t="shared" si="92"/>
        <v>360.3246221345039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274.15439999999955</v>
      </c>
      <c r="CA123" s="14">
        <f t="shared" si="93"/>
        <v>65.730152764515779</v>
      </c>
      <c r="CB123" s="22">
        <f t="shared" si="64"/>
        <v>591.96559606486414</v>
      </c>
      <c r="CC123" s="60">
        <f t="shared" si="65"/>
        <v>874.0737568083407</v>
      </c>
      <c r="CD123" s="60">
        <f ca="1">AVERAGE(OFFSET($CC$3,0,0,'Données projet'!$E$12+1,1))-AVERAGE(OFFSET($H$3,0,0,'Données projet'!$E$12+1,1))</f>
        <v>469.67944008675863</v>
      </c>
      <c r="CE123" s="60">
        <f t="shared" si="94"/>
        <v>266.11908070867173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8.8675733422860506E-14</v>
      </c>
      <c r="CV123" s="14">
        <f t="shared" si="95"/>
        <v>1.3509285393066301E-12</v>
      </c>
      <c r="CW123" s="22">
        <f t="shared" si="67"/>
        <v>2.5073107750038623E-12</v>
      </c>
      <c r="CX123" s="60">
        <f t="shared" si="68"/>
        <v>282.10816074347912</v>
      </c>
      <c r="CY123" s="60">
        <f ca="1">AVERAGE(OFFSET($CX$3,0,0,'Données projet'!$E$13+1,1))-AVERAGE(OFFSET($H$3,0,0,'Données projet'!$E$13+1,1))</f>
        <v>312.59632808777332</v>
      </c>
      <c r="CZ123" s="60">
        <f t="shared" si="96"/>
        <v>302.59481222418219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259.61538461538458</v>
      </c>
      <c r="DM123" s="13">
        <f>VLOOKUP(A123,'Données projet'!$A$165:$I$185,9,0)</f>
        <v>2.884615384615381</v>
      </c>
      <c r="DN123" s="13">
        <f t="array" ref="DN123">INDEX(DM:DM,MIN(IF(ISNUMBER(DM123:DM319),ROW(DM123:DM319),"")))</f>
        <v>2.884615384615381</v>
      </c>
      <c r="DO123" s="13">
        <f>IF('Données projet'!$A$166&gt;35,DO122+DN123-DW122,IF(A123&lt;'Données projet'!$A$166,$DL$205^A123,IF(A123='Données projet'!$A$166,'Données projet'!$B$166,DO122+DN123-DW122)))</f>
        <v>259.6153846153847</v>
      </c>
      <c r="DP123" s="18">
        <f>DO123*VLOOKUP('Données projet'!$B$14,Paramètres!$A$1:$I$89,3,0)*VLOOKUP('Données projet'!$B$14,Paramètres!$A$1:$I$89,5,0)</f>
        <v>247.0500000000001</v>
      </c>
      <c r="DQ123" s="14">
        <f t="shared" si="97"/>
        <v>59.953807009796499</v>
      </c>
      <c r="DR123" s="22">
        <f t="shared" si="70"/>
        <v>534.69829720872906</v>
      </c>
      <c r="DS123" s="60">
        <f t="shared" si="71"/>
        <v>816.80645795220562</v>
      </c>
      <c r="DT123" s="60">
        <f ca="1">AVERAGE(OFFSET($DS$3,0,0,'Données projet'!$E$14+1,1))-AVERAGE(OFFSET($H$3,0,0,'Données projet'!$E$14+1,1))</f>
        <v>398.29746143975166</v>
      </c>
      <c r="DU123" s="60">
        <f t="shared" si="98"/>
        <v>300.63705521148802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259.61538461538458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303</v>
      </c>
      <c r="EH123" s="13">
        <f>VLOOKUP(A123,'Données projet'!$A$191:$I$211,9,0)</f>
        <v>3.7</v>
      </c>
      <c r="EI123" s="13">
        <f t="array" ref="EI123">INDEX(EH:EH,MIN(IF(ISNUMBER(EH123:EH319),ROW(EH123:EH319),"")))</f>
        <v>3.7</v>
      </c>
      <c r="EJ123" s="13">
        <f>IF('Données projet'!$A$192&gt;35,EJ122+EI123-ER122,IF(A123&lt;'Données projet'!$A$192,$EG$205^A123,IF(A123='Données projet'!$A$192,'Données projet'!$B$192,EJ122+EI123-ER122)))</f>
        <v>302.99999999999949</v>
      </c>
      <c r="EK123" s="18">
        <f>EJ123*VLOOKUP('Données projet'!$B$15,Paramètres!$A$1:$I$89,3,0)*VLOOKUP('Données projet'!$B$15,Paramètres!$A$1:$I$89,5,0)</f>
        <v>293.06159999999949</v>
      </c>
      <c r="EL123" s="14">
        <f t="shared" si="99"/>
        <v>69.719933365116432</v>
      </c>
      <c r="EM123" s="22">
        <f t="shared" si="73"/>
        <v>631.84450394424357</v>
      </c>
      <c r="EN123" s="60">
        <f t="shared" si="74"/>
        <v>913.95266468772024</v>
      </c>
      <c r="EO123" s="60">
        <f ca="1">AVERAGE(OFFSET($EN$3,0,0,'Données projet'!$E$15+1,1))-AVERAGE(OFFSET($H$3,0,0,'Données projet'!$E$15+1,1))</f>
        <v>496.33873798282525</v>
      </c>
      <c r="EP123" s="60">
        <f t="shared" si="100"/>
        <v>280.25465074992246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35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3.4106051316484809E-13</v>
      </c>
      <c r="FF123" s="18">
        <f>FE123*VLOOKUP('Données projet'!$B$16,Paramètres!$A$1:$I$89,3,0)*VLOOKUP('Données projet'!$B$16,Paramètres!$A$1:$I$89,5,0)</f>
        <v>2.9795046430081134E-13</v>
      </c>
      <c r="FG123" s="14">
        <f t="shared" si="101"/>
        <v>3.9419014464513778E-12</v>
      </c>
      <c r="FH123" s="22">
        <f t="shared" si="76"/>
        <v>7.384408744560063E-12</v>
      </c>
      <c r="FI123" s="60">
        <f t="shared" si="77"/>
        <v>282.10816074348401</v>
      </c>
      <c r="FJ123" s="60">
        <f ca="1">AVERAGE(OFFSET($FI$3,0,0,'Données projet'!$E$16+1,1))-AVERAGE(OFFSET($H$3,0,0,'Données projet'!$E$16+1,1))</f>
        <v>363.28611056308665</v>
      </c>
      <c r="FK123" s="60">
        <f t="shared" si="102"/>
        <v>389.43647559455974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1.7053025658242404E-13</v>
      </c>
      <c r="GA123" s="18">
        <f>FZ123*VLOOKUP('Données projet'!$B$17,Paramètres!$A$1:$I$89,3,0)*VLOOKUP('Données projet'!$B$17,Paramètres!$A$1:$I$89,5,0)</f>
        <v>1.1439169611549005E-13</v>
      </c>
      <c r="GB123" s="14">
        <f t="shared" si="103"/>
        <v>1.6918016515029816E-12</v>
      </c>
      <c r="GC123" s="22">
        <f t="shared" si="79"/>
        <v>3.1457867471021712E-12</v>
      </c>
      <c r="GD123" s="60">
        <f t="shared" si="80"/>
        <v>282.10816074347974</v>
      </c>
      <c r="GE123" s="60">
        <f ca="1">AVERAGE(OFFSET($GD$3,0,0,'Données projet'!$E$17+1,1))-AVERAGE(OFFSET($H$3,0,0,'Données projet'!$E$17+1,1))</f>
        <v>344.62096650402731</v>
      </c>
      <c r="GF123" s="60">
        <f t="shared" si="104"/>
        <v>277.30931495079346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4.9000000000000004</v>
      </c>
      <c r="N124" s="14">
        <f>IF('Données projet'!$A$36&gt;35,N123+M124-V123,IF(A124&lt;'Données projet'!$A$36,$K$205^A124,IF(A124='Données projet'!$A$36,'Données projet'!$B$36,N123+M124-V123)))</f>
        <v>436.89999999999952</v>
      </c>
      <c r="O124" s="14">
        <f>N124*VLOOKUP('Données projet'!$B$9,Paramètres!$A$1:$I$89,3,0)*VLOOKUP('Données projet'!$B$9,Paramètres!$A$1:$I$89,5,0)</f>
        <v>374.86019999999962</v>
      </c>
      <c r="P124" s="14">
        <f t="shared" si="87"/>
        <v>86.660862508665431</v>
      </c>
      <c r="Q124" s="22">
        <f t="shared" si="107"/>
        <v>803.81585053592505</v>
      </c>
      <c r="R124" s="60">
        <f t="shared" si="55"/>
        <v>1086.1187429281094</v>
      </c>
      <c r="S124" s="60">
        <f ca="1">AVERAGE(OFFSET($R$3,0,0,'Données projet'!$E$9+1,1))-AVERAGE(OFFSET($H$3,0,0,'Données projet'!$E$9+1,1))</f>
        <v>632.26350546340541</v>
      </c>
      <c r="T124" s="60">
        <f t="shared" si="88"/>
        <v>340.45335016367915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2.7134774427395314E-13</v>
      </c>
      <c r="AK124" s="14">
        <f t="shared" si="89"/>
        <v>3.6292411711343559E-12</v>
      </c>
      <c r="AL124" s="22">
        <f t="shared" si="58"/>
        <v>6.7935256943361388E-12</v>
      </c>
      <c r="AM124" s="60">
        <f t="shared" si="59"/>
        <v>282.30289239219121</v>
      </c>
      <c r="AN124" s="60">
        <f ca="1">AVERAGE(OFFSET($AM$3,0,0,'Données projet'!$E$10+1,1))-AVERAGE(OFFSET($H$3,0,0,'Données projet'!$E$10+1,1))</f>
        <v>336.25341821407534</v>
      </c>
      <c r="AO124" s="60">
        <f t="shared" si="90"/>
        <v>360.3246221345039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2.7134774427395314E-13</v>
      </c>
      <c r="BF124" s="14">
        <f t="shared" si="91"/>
        <v>3.6292411711343559E-12</v>
      </c>
      <c r="BG124" s="22">
        <f t="shared" si="61"/>
        <v>6.7935256943361388E-12</v>
      </c>
      <c r="BH124" s="60">
        <f t="shared" si="62"/>
        <v>282.30289239219121</v>
      </c>
      <c r="BI124" s="60">
        <f ca="1">AVERAGE(OFFSET($BH$3,0,0,'Données projet'!$E$11+1,1))-AVERAGE(OFFSET($H$3,0,0,'Données projet'!$E$11+1,1))</f>
        <v>336.25341821407534</v>
      </c>
      <c r="BJ124" s="60">
        <f t="shared" si="92"/>
        <v>360.3246221345039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245.3817599999995</v>
      </c>
      <c r="CA124" s="14">
        <f t="shared" si="93"/>
        <v>59.595943661626663</v>
      </c>
      <c r="CB124" s="22">
        <f t="shared" si="64"/>
        <v>531.16950054399888</v>
      </c>
      <c r="CC124" s="60">
        <f t="shared" si="65"/>
        <v>813.47239293618327</v>
      </c>
      <c r="CD124" s="60">
        <f ca="1">AVERAGE(OFFSET($CC$3,0,0,'Données projet'!$E$12+1,1))-AVERAGE(OFFSET($H$3,0,0,'Données projet'!$E$12+1,1))</f>
        <v>469.67944008675863</v>
      </c>
      <c r="CE124" s="60">
        <f t="shared" si="94"/>
        <v>266.11908070867173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8.8675733422860506E-14</v>
      </c>
      <c r="CV124" s="14">
        <f t="shared" si="95"/>
        <v>1.3509285393066301E-12</v>
      </c>
      <c r="CW124" s="22">
        <f t="shared" si="67"/>
        <v>2.5073107750038623E-12</v>
      </c>
      <c r="CX124" s="60">
        <f t="shared" si="68"/>
        <v>282.30289239218689</v>
      </c>
      <c r="CY124" s="60">
        <f ca="1">AVERAGE(OFFSET($CX$3,0,0,'Données projet'!$E$13+1,1))-AVERAGE(OFFSET($H$3,0,0,'Données projet'!$E$13+1,1))</f>
        <v>312.59632808777332</v>
      </c>
      <c r="CZ124" s="60">
        <f t="shared" si="96"/>
        <v>302.59481222418219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1.0818439477588981E-13</v>
      </c>
      <c r="DQ124" s="14">
        <f t="shared" si="97"/>
        <v>1.6104228458716316E-12</v>
      </c>
      <c r="DR124" s="22">
        <f t="shared" si="70"/>
        <v>2.9932409441277661E-12</v>
      </c>
      <c r="DS124" s="60">
        <f t="shared" si="71"/>
        <v>282.3028923921874</v>
      </c>
      <c r="DT124" s="60">
        <f ca="1">AVERAGE(OFFSET($DS$3,0,0,'Données projet'!$E$14+1,1))-AVERAGE(OFFSET($H$3,0,0,'Données projet'!$E$14+1,1))</f>
        <v>398.29746143975166</v>
      </c>
      <c r="DU124" s="60">
        <f t="shared" si="98"/>
        <v>300.63705521148802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3.2</v>
      </c>
      <c r="EJ124" s="13">
        <f>IF('Données projet'!$A$192&gt;35,EJ123+EI124-ER123,IF(A124&lt;'Données projet'!$A$192,$EG$205^A124,IF(A124='Données projet'!$A$192,'Données projet'!$B$192,EJ123+EI124-ER123)))</f>
        <v>271.19999999999948</v>
      </c>
      <c r="EK124" s="18">
        <f>EJ124*VLOOKUP('Données projet'!$B$15,Paramètres!$A$1:$I$89,3,0)*VLOOKUP('Données projet'!$B$15,Paramètres!$A$1:$I$89,5,0)</f>
        <v>262.30463999999949</v>
      </c>
      <c r="EL124" s="14">
        <f t="shared" si="99"/>
        <v>63.213381472055985</v>
      </c>
      <c r="EM124" s="22">
        <f t="shared" si="73"/>
        <v>566.94388739716328</v>
      </c>
      <c r="EN124" s="60">
        <f t="shared" si="74"/>
        <v>849.24677978934767</v>
      </c>
      <c r="EO124" s="60">
        <f ca="1">AVERAGE(OFFSET($EN$3,0,0,'Données projet'!$E$15+1,1))-AVERAGE(OFFSET($H$3,0,0,'Données projet'!$E$15+1,1))</f>
        <v>496.33873798282525</v>
      </c>
      <c r="EP124" s="60">
        <f t="shared" si="100"/>
        <v>280.25465074992246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3.4106051316484809E-13</v>
      </c>
      <c r="FF124" s="18">
        <f>FE124*VLOOKUP('Données projet'!$B$16,Paramètres!$A$1:$I$89,3,0)*VLOOKUP('Données projet'!$B$16,Paramètres!$A$1:$I$89,5,0)</f>
        <v>2.9795046430081134E-13</v>
      </c>
      <c r="FG124" s="14">
        <f t="shared" si="101"/>
        <v>3.9419014464513778E-12</v>
      </c>
      <c r="FH124" s="22">
        <f t="shared" si="76"/>
        <v>7.384408744560063E-12</v>
      </c>
      <c r="FI124" s="60">
        <f t="shared" si="77"/>
        <v>282.30289239219178</v>
      </c>
      <c r="FJ124" s="60">
        <f ca="1">AVERAGE(OFFSET($FI$3,0,0,'Données projet'!$E$16+1,1))-AVERAGE(OFFSET($H$3,0,0,'Données projet'!$E$16+1,1))</f>
        <v>363.28611056308665</v>
      </c>
      <c r="FK124" s="60">
        <f t="shared" si="102"/>
        <v>389.43647559455974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1.7053025658242404E-13</v>
      </c>
      <c r="GA124" s="18">
        <f>FZ124*VLOOKUP('Données projet'!$B$17,Paramètres!$A$1:$I$89,3,0)*VLOOKUP('Données projet'!$B$17,Paramètres!$A$1:$I$89,5,0)</f>
        <v>1.1439169611549005E-13</v>
      </c>
      <c r="GB124" s="14">
        <f t="shared" si="103"/>
        <v>1.6918016515029816E-12</v>
      </c>
      <c r="GC124" s="22">
        <f t="shared" si="79"/>
        <v>3.1457867471021712E-12</v>
      </c>
      <c r="GD124" s="60">
        <f t="shared" si="80"/>
        <v>282.30289239218752</v>
      </c>
      <c r="GE124" s="60">
        <f ca="1">AVERAGE(OFFSET($GD$3,0,0,'Données projet'!$E$17+1,1))-AVERAGE(OFFSET($H$3,0,0,'Données projet'!$E$17+1,1))</f>
        <v>344.62096650402731</v>
      </c>
      <c r="GF124" s="60">
        <f t="shared" si="104"/>
        <v>277.30931495079346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4.9000000000000004</v>
      </c>
      <c r="N125" s="14">
        <f>IF('Données projet'!$A$36&gt;35,N124+M125-V124,IF(A125&lt;'Données projet'!$A$36,$K$205^A125,IF(A125='Données projet'!$A$36,'Données projet'!$B$36,N124+M125-V124)))</f>
        <v>441.7999999999995</v>
      </c>
      <c r="O125" s="14">
        <f>N125*VLOOKUP('Données projet'!$B$9,Paramètres!$A$1:$I$89,3,0)*VLOOKUP('Données projet'!$B$9,Paramètres!$A$1:$I$89,5,0)</f>
        <v>379.06439999999964</v>
      </c>
      <c r="P125" s="14">
        <f t="shared" si="87"/>
        <v>87.519105676243626</v>
      </c>
      <c r="Q125" s="22">
        <f t="shared" si="107"/>
        <v>812.63293905279033</v>
      </c>
      <c r="R125" s="60">
        <f t="shared" si="55"/>
        <v>1095.1271849349321</v>
      </c>
      <c r="S125" s="60">
        <f ca="1">AVERAGE(OFFSET($R$3,0,0,'Données projet'!$E$9+1,1))-AVERAGE(OFFSET($H$3,0,0,'Données projet'!$E$9+1,1))</f>
        <v>632.26350546340541</v>
      </c>
      <c r="T125" s="60">
        <f t="shared" si="88"/>
        <v>340.45335016367915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2.7134774427395314E-13</v>
      </c>
      <c r="AK125" s="14">
        <f t="shared" si="89"/>
        <v>3.6292411711343559E-12</v>
      </c>
      <c r="AL125" s="22">
        <f t="shared" si="58"/>
        <v>6.7935256943361388E-12</v>
      </c>
      <c r="AM125" s="60">
        <f t="shared" si="59"/>
        <v>282.49424588214862</v>
      </c>
      <c r="AN125" s="60">
        <f ca="1">AVERAGE(OFFSET($AM$3,0,0,'Données projet'!$E$10+1,1))-AVERAGE(OFFSET($H$3,0,0,'Données projet'!$E$10+1,1))</f>
        <v>336.25341821407534</v>
      </c>
      <c r="AO125" s="60">
        <f t="shared" si="90"/>
        <v>360.3246221345039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2.7134774427395314E-13</v>
      </c>
      <c r="BF125" s="14">
        <f t="shared" si="91"/>
        <v>3.6292411711343559E-12</v>
      </c>
      <c r="BG125" s="22">
        <f t="shared" si="61"/>
        <v>6.7935256943361388E-12</v>
      </c>
      <c r="BH125" s="60">
        <f t="shared" si="62"/>
        <v>282.49424588214862</v>
      </c>
      <c r="BI125" s="60">
        <f ca="1">AVERAGE(OFFSET($BH$3,0,0,'Données projet'!$E$11+1,1))-AVERAGE(OFFSET($H$3,0,0,'Données projet'!$E$11+1,1))</f>
        <v>336.25341821407534</v>
      </c>
      <c r="BJ125" s="60">
        <f t="shared" si="92"/>
        <v>360.3246221345039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248.27711999999951</v>
      </c>
      <c r="CA125" s="14">
        <f t="shared" si="93"/>
        <v>60.216863677580257</v>
      </c>
      <c r="CB125" s="22">
        <f t="shared" si="64"/>
        <v>537.29368823845141</v>
      </c>
      <c r="CC125" s="60">
        <f t="shared" si="65"/>
        <v>819.78793412059326</v>
      </c>
      <c r="CD125" s="60">
        <f ca="1">AVERAGE(OFFSET($CC$3,0,0,'Données projet'!$E$12+1,1))-AVERAGE(OFFSET($H$3,0,0,'Données projet'!$E$12+1,1))</f>
        <v>469.67944008675863</v>
      </c>
      <c r="CE125" s="60">
        <f t="shared" si="94"/>
        <v>266.11908070867173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8.8675733422860506E-14</v>
      </c>
      <c r="CV125" s="14">
        <f t="shared" si="95"/>
        <v>1.3509285393066301E-12</v>
      </c>
      <c r="CW125" s="22">
        <f t="shared" si="67"/>
        <v>2.5073107750038623E-12</v>
      </c>
      <c r="CX125" s="60">
        <f t="shared" si="68"/>
        <v>282.4942458821443</v>
      </c>
      <c r="CY125" s="60">
        <f ca="1">AVERAGE(OFFSET($CX$3,0,0,'Données projet'!$E$13+1,1))-AVERAGE(OFFSET($H$3,0,0,'Données projet'!$E$13+1,1))</f>
        <v>312.59632808777332</v>
      </c>
      <c r="CZ125" s="60">
        <f t="shared" si="96"/>
        <v>302.59481222418219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1.0818439477588981E-13</v>
      </c>
      <c r="DQ125" s="14">
        <f t="shared" si="97"/>
        <v>1.6104228458716316E-12</v>
      </c>
      <c r="DR125" s="22">
        <f t="shared" si="70"/>
        <v>2.9932409441277661E-12</v>
      </c>
      <c r="DS125" s="60">
        <f t="shared" si="71"/>
        <v>282.49424588214481</v>
      </c>
      <c r="DT125" s="60">
        <f ca="1">AVERAGE(OFFSET($DS$3,0,0,'Données projet'!$E$14+1,1))-AVERAGE(OFFSET($H$3,0,0,'Données projet'!$E$14+1,1))</f>
        <v>398.29746143975166</v>
      </c>
      <c r="DU125" s="60">
        <f t="shared" si="98"/>
        <v>300.63705521148802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3.2</v>
      </c>
      <c r="EJ125" s="13">
        <f>IF('Données projet'!$A$192&gt;35,EJ124+EI125-ER124,IF(A125&lt;'Données projet'!$A$192,$EG$205^A125,IF(A125='Données projet'!$A$192,'Données projet'!$B$192,EJ124+EI125-ER124)))</f>
        <v>274.39999999999947</v>
      </c>
      <c r="EK125" s="18">
        <f>EJ125*VLOOKUP('Données projet'!$B$15,Paramètres!$A$1:$I$89,3,0)*VLOOKUP('Données projet'!$B$15,Paramètres!$A$1:$I$89,5,0)</f>
        <v>265.39967999999948</v>
      </c>
      <c r="EL125" s="14">
        <f t="shared" si="99"/>
        <v>63.87199095821434</v>
      </c>
      <c r="EM125" s="22">
        <f t="shared" si="73"/>
        <v>573.48149358555565</v>
      </c>
      <c r="EN125" s="60">
        <f t="shared" si="74"/>
        <v>855.97573946769739</v>
      </c>
      <c r="EO125" s="60">
        <f ca="1">AVERAGE(OFFSET($EN$3,0,0,'Données projet'!$E$15+1,1))-AVERAGE(OFFSET($H$3,0,0,'Données projet'!$E$15+1,1))</f>
        <v>496.33873798282525</v>
      </c>
      <c r="EP125" s="60">
        <f t="shared" si="100"/>
        <v>280.25465074992246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3.4106051316484809E-13</v>
      </c>
      <c r="FF125" s="18">
        <f>FE125*VLOOKUP('Données projet'!$B$16,Paramètres!$A$1:$I$89,3,0)*VLOOKUP('Données projet'!$B$16,Paramètres!$A$1:$I$89,5,0)</f>
        <v>2.9795046430081134E-13</v>
      </c>
      <c r="FG125" s="14">
        <f t="shared" si="101"/>
        <v>3.9419014464513778E-12</v>
      </c>
      <c r="FH125" s="22">
        <f t="shared" si="76"/>
        <v>7.384408744560063E-12</v>
      </c>
      <c r="FI125" s="60">
        <f t="shared" si="77"/>
        <v>282.49424588214919</v>
      </c>
      <c r="FJ125" s="60">
        <f ca="1">AVERAGE(OFFSET($FI$3,0,0,'Données projet'!$E$16+1,1))-AVERAGE(OFFSET($H$3,0,0,'Données projet'!$E$16+1,1))</f>
        <v>363.28611056308665</v>
      </c>
      <c r="FK125" s="60">
        <f t="shared" si="102"/>
        <v>389.43647559455974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1.7053025658242404E-13</v>
      </c>
      <c r="GA125" s="18">
        <f>FZ125*VLOOKUP('Données projet'!$B$17,Paramètres!$A$1:$I$89,3,0)*VLOOKUP('Données projet'!$B$17,Paramètres!$A$1:$I$89,5,0)</f>
        <v>1.1439169611549005E-13</v>
      </c>
      <c r="GB125" s="14">
        <f t="shared" si="103"/>
        <v>1.6918016515029816E-12</v>
      </c>
      <c r="GC125" s="22">
        <f t="shared" si="79"/>
        <v>3.1457867471021712E-12</v>
      </c>
      <c r="GD125" s="60">
        <f t="shared" si="80"/>
        <v>282.49424588214492</v>
      </c>
      <c r="GE125" s="60">
        <f ca="1">AVERAGE(OFFSET($GD$3,0,0,'Données projet'!$E$17+1,1))-AVERAGE(OFFSET($H$3,0,0,'Données projet'!$E$17+1,1))</f>
        <v>344.62096650402731</v>
      </c>
      <c r="GF125" s="60">
        <f t="shared" si="104"/>
        <v>277.30931495079346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4.9000000000000004</v>
      </c>
      <c r="N126" s="14">
        <f>IF('Données projet'!$A$36&gt;35,N125+M126-V125,IF(A126&lt;'Données projet'!$A$36,$K$205^A126,IF(A126='Données projet'!$A$36,'Données projet'!$B$36,N125+M126-V125)))</f>
        <v>446.69999999999948</v>
      </c>
      <c r="O126" s="14">
        <f>N126*VLOOKUP('Données projet'!$B$9,Paramètres!$A$1:$I$89,3,0)*VLOOKUP('Données projet'!$B$9,Paramètres!$A$1:$I$89,5,0)</f>
        <v>383.26859999999959</v>
      </c>
      <c r="P126" s="14">
        <f t="shared" si="87"/>
        <v>88.376241550158213</v>
      </c>
      <c r="Q126" s="22">
        <f t="shared" si="107"/>
        <v>821.44809903319162</v>
      </c>
      <c r="R126" s="60">
        <f t="shared" si="55"/>
        <v>1104.1303788500422</v>
      </c>
      <c r="S126" s="60">
        <f ca="1">AVERAGE(OFFSET($R$3,0,0,'Données projet'!$E$9+1,1))-AVERAGE(OFFSET($H$3,0,0,'Données projet'!$E$9+1,1))</f>
        <v>632.26350546340541</v>
      </c>
      <c r="T126" s="60">
        <f t="shared" si="88"/>
        <v>340.45335016367915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2.7134774427395314E-13</v>
      </c>
      <c r="AK126" s="14">
        <f t="shared" si="89"/>
        <v>3.6292411711343559E-12</v>
      </c>
      <c r="AL126" s="22">
        <f t="shared" si="58"/>
        <v>6.7935256943361388E-12</v>
      </c>
      <c r="AM126" s="60">
        <f t="shared" si="59"/>
        <v>282.68227981685749</v>
      </c>
      <c r="AN126" s="60">
        <f ca="1">AVERAGE(OFFSET($AM$3,0,0,'Données projet'!$E$10+1,1))-AVERAGE(OFFSET($H$3,0,0,'Données projet'!$E$10+1,1))</f>
        <v>336.25341821407534</v>
      </c>
      <c r="AO126" s="60">
        <f t="shared" si="90"/>
        <v>360.3246221345039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2.7134774427395314E-13</v>
      </c>
      <c r="BF126" s="14">
        <f t="shared" si="91"/>
        <v>3.6292411711343559E-12</v>
      </c>
      <c r="BG126" s="22">
        <f t="shared" si="61"/>
        <v>6.7935256943361388E-12</v>
      </c>
      <c r="BH126" s="60">
        <f t="shared" si="62"/>
        <v>282.68227981685749</v>
      </c>
      <c r="BI126" s="60">
        <f ca="1">AVERAGE(OFFSET($BH$3,0,0,'Données projet'!$E$11+1,1))-AVERAGE(OFFSET($H$3,0,0,'Données projet'!$E$11+1,1))</f>
        <v>336.25341821407534</v>
      </c>
      <c r="BJ126" s="60">
        <f t="shared" si="92"/>
        <v>360.3246221345039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251.1724799999995</v>
      </c>
      <c r="CA126" s="14">
        <f t="shared" si="93"/>
        <v>60.836941386956575</v>
      </c>
      <c r="CB126" s="22">
        <f t="shared" si="64"/>
        <v>543.41640891561519</v>
      </c>
      <c r="CC126" s="60">
        <f t="shared" si="65"/>
        <v>826.09868873246592</v>
      </c>
      <c r="CD126" s="60">
        <f ca="1">AVERAGE(OFFSET($CC$3,0,0,'Données projet'!$E$12+1,1))-AVERAGE(OFFSET($H$3,0,0,'Données projet'!$E$12+1,1))</f>
        <v>469.67944008675863</v>
      </c>
      <c r="CE126" s="60">
        <f t="shared" si="94"/>
        <v>266.11908070867173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8.8675733422860506E-14</v>
      </c>
      <c r="CV126" s="14">
        <f t="shared" si="95"/>
        <v>1.3509285393066301E-12</v>
      </c>
      <c r="CW126" s="22">
        <f t="shared" si="67"/>
        <v>2.5073107750038623E-12</v>
      </c>
      <c r="CX126" s="60">
        <f t="shared" si="68"/>
        <v>282.68227981685317</v>
      </c>
      <c r="CY126" s="60">
        <f ca="1">AVERAGE(OFFSET($CX$3,0,0,'Données projet'!$E$13+1,1))-AVERAGE(OFFSET($H$3,0,0,'Données projet'!$E$13+1,1))</f>
        <v>312.59632808777332</v>
      </c>
      <c r="CZ126" s="60">
        <f t="shared" si="96"/>
        <v>302.59481222418219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1.0818439477588981E-13</v>
      </c>
      <c r="DQ126" s="14">
        <f t="shared" si="97"/>
        <v>1.6104228458716316E-12</v>
      </c>
      <c r="DR126" s="22">
        <f t="shared" si="70"/>
        <v>2.9932409441277661E-12</v>
      </c>
      <c r="DS126" s="60">
        <f t="shared" si="71"/>
        <v>282.68227981685368</v>
      </c>
      <c r="DT126" s="60">
        <f ca="1">AVERAGE(OFFSET($DS$3,0,0,'Données projet'!$E$14+1,1))-AVERAGE(OFFSET($H$3,0,0,'Données projet'!$E$14+1,1))</f>
        <v>398.29746143975166</v>
      </c>
      <c r="DU126" s="60">
        <f t="shared" si="98"/>
        <v>300.63705521148802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3.2</v>
      </c>
      <c r="EJ126" s="13">
        <f>IF('Données projet'!$A$192&gt;35,EJ125+EI126-ER125,IF(A126&lt;'Données projet'!$A$192,$EG$205^A126,IF(A126='Données projet'!$A$192,'Données projet'!$B$192,EJ125+EI126-ER125)))</f>
        <v>277.59999999999945</v>
      </c>
      <c r="EK126" s="18">
        <f>EJ126*VLOOKUP('Données projet'!$B$15,Paramètres!$A$1:$I$89,3,0)*VLOOKUP('Données projet'!$B$15,Paramètres!$A$1:$I$89,5,0)</f>
        <v>268.49471999999946</v>
      </c>
      <c r="EL126" s="14">
        <f t="shared" si="99"/>
        <v>64.529707010294615</v>
      </c>
      <c r="EM126" s="22">
        <f t="shared" si="73"/>
        <v>580.01754370959543</v>
      </c>
      <c r="EN126" s="60">
        <f t="shared" si="74"/>
        <v>862.69982352644615</v>
      </c>
      <c r="EO126" s="60">
        <f ca="1">AVERAGE(OFFSET($EN$3,0,0,'Données projet'!$E$15+1,1))-AVERAGE(OFFSET($H$3,0,0,'Données projet'!$E$15+1,1))</f>
        <v>496.33873798282525</v>
      </c>
      <c r="EP126" s="60">
        <f t="shared" si="100"/>
        <v>280.25465074992246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3.4106051316484809E-13</v>
      </c>
      <c r="FF126" s="18">
        <f>FE126*VLOOKUP('Données projet'!$B$16,Paramètres!$A$1:$I$89,3,0)*VLOOKUP('Données projet'!$B$16,Paramètres!$A$1:$I$89,5,0)</f>
        <v>2.9795046430081134E-13</v>
      </c>
      <c r="FG126" s="14">
        <f t="shared" si="101"/>
        <v>3.9419014464513778E-12</v>
      </c>
      <c r="FH126" s="22">
        <f t="shared" si="76"/>
        <v>7.384408744560063E-12</v>
      </c>
      <c r="FI126" s="60">
        <f t="shared" si="77"/>
        <v>282.68227981685806</v>
      </c>
      <c r="FJ126" s="60">
        <f ca="1">AVERAGE(OFFSET($FI$3,0,0,'Données projet'!$E$16+1,1))-AVERAGE(OFFSET($H$3,0,0,'Données projet'!$E$16+1,1))</f>
        <v>363.28611056308665</v>
      </c>
      <c r="FK126" s="60">
        <f t="shared" si="102"/>
        <v>389.43647559455974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1.7053025658242404E-13</v>
      </c>
      <c r="GA126" s="18">
        <f>FZ126*VLOOKUP('Données projet'!$B$17,Paramètres!$A$1:$I$89,3,0)*VLOOKUP('Données projet'!$B$17,Paramètres!$A$1:$I$89,5,0)</f>
        <v>1.1439169611549005E-13</v>
      </c>
      <c r="GB126" s="14">
        <f t="shared" si="103"/>
        <v>1.6918016515029816E-12</v>
      </c>
      <c r="GC126" s="22">
        <f t="shared" si="79"/>
        <v>3.1457867471021712E-12</v>
      </c>
      <c r="GD126" s="60">
        <f t="shared" si="80"/>
        <v>282.68227981685379</v>
      </c>
      <c r="GE126" s="60">
        <f ca="1">AVERAGE(OFFSET($GD$3,0,0,'Données projet'!$E$17+1,1))-AVERAGE(OFFSET($H$3,0,0,'Données projet'!$E$17+1,1))</f>
        <v>344.62096650402731</v>
      </c>
      <c r="GF126" s="60">
        <f t="shared" si="104"/>
        <v>277.30931495079346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4.9000000000000004</v>
      </c>
      <c r="N127" s="14">
        <f>IF('Données projet'!$A$36&gt;35,N126+M127-V126,IF(A127&lt;'Données projet'!$A$36,$K$205^A127,IF(A127='Données projet'!$A$36,'Données projet'!$B$36,N126+M127-V126)))</f>
        <v>451.59999999999945</v>
      </c>
      <c r="O127" s="14">
        <f>N127*VLOOKUP('Données projet'!$B$9,Paramètres!$A$1:$I$89,3,0)*VLOOKUP('Données projet'!$B$9,Paramètres!$A$1:$I$89,5,0)</f>
        <v>387.47279999999955</v>
      </c>
      <c r="P127" s="14">
        <f t="shared" si="87"/>
        <v>89.232283682398233</v>
      </c>
      <c r="Q127" s="22">
        <f t="shared" si="107"/>
        <v>830.26135408017615</v>
      </c>
      <c r="R127" s="60">
        <f t="shared" si="55"/>
        <v>1113.1284058633496</v>
      </c>
      <c r="S127" s="60">
        <f ca="1">AVERAGE(OFFSET($R$3,0,0,'Données projet'!$E$9+1,1))-AVERAGE(OFFSET($H$3,0,0,'Données projet'!$E$9+1,1))</f>
        <v>632.26350546340541</v>
      </c>
      <c r="T127" s="60">
        <f t="shared" si="88"/>
        <v>340.45335016367915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2.7134774427395314E-13</v>
      </c>
      <c r="AK127" s="14">
        <f t="shared" si="89"/>
        <v>3.6292411711343559E-12</v>
      </c>
      <c r="AL127" s="22">
        <f t="shared" si="58"/>
        <v>6.7935256943361388E-12</v>
      </c>
      <c r="AM127" s="60">
        <f t="shared" si="59"/>
        <v>282.86705178318016</v>
      </c>
      <c r="AN127" s="60">
        <f ca="1">AVERAGE(OFFSET($AM$3,0,0,'Données projet'!$E$10+1,1))-AVERAGE(OFFSET($H$3,0,0,'Données projet'!$E$10+1,1))</f>
        <v>336.25341821407534</v>
      </c>
      <c r="AO127" s="60">
        <f t="shared" si="90"/>
        <v>360.3246221345039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2.7134774427395314E-13</v>
      </c>
      <c r="BF127" s="14">
        <f t="shared" si="91"/>
        <v>3.6292411711343559E-12</v>
      </c>
      <c r="BG127" s="22">
        <f t="shared" si="61"/>
        <v>6.7935256943361388E-12</v>
      </c>
      <c r="BH127" s="60">
        <f t="shared" si="62"/>
        <v>282.86705178318016</v>
      </c>
      <c r="BI127" s="60">
        <f ca="1">AVERAGE(OFFSET($BH$3,0,0,'Données projet'!$E$11+1,1))-AVERAGE(OFFSET($H$3,0,0,'Données projet'!$E$11+1,1))</f>
        <v>336.25341821407534</v>
      </c>
      <c r="BJ127" s="60">
        <f t="shared" si="92"/>
        <v>360.3246221345039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254.06783999999948</v>
      </c>
      <c r="CA127" s="14">
        <f t="shared" si="93"/>
        <v>61.456187622750612</v>
      </c>
      <c r="CB127" s="22">
        <f t="shared" si="64"/>
        <v>549.53768144295634</v>
      </c>
      <c r="CC127" s="60">
        <f t="shared" si="65"/>
        <v>832.40473322612968</v>
      </c>
      <c r="CD127" s="60">
        <f ca="1">AVERAGE(OFFSET($CC$3,0,0,'Données projet'!$E$12+1,1))-AVERAGE(OFFSET($H$3,0,0,'Données projet'!$E$12+1,1))</f>
        <v>469.67944008675863</v>
      </c>
      <c r="CE127" s="60">
        <f t="shared" si="94"/>
        <v>266.11908070867173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8.8675733422860506E-14</v>
      </c>
      <c r="CV127" s="14">
        <f t="shared" si="95"/>
        <v>1.3509285393066301E-12</v>
      </c>
      <c r="CW127" s="22">
        <f t="shared" si="67"/>
        <v>2.5073107750038623E-12</v>
      </c>
      <c r="CX127" s="60">
        <f t="shared" si="68"/>
        <v>282.86705178317584</v>
      </c>
      <c r="CY127" s="60">
        <f ca="1">AVERAGE(OFFSET($CX$3,0,0,'Données projet'!$E$13+1,1))-AVERAGE(OFFSET($H$3,0,0,'Données projet'!$E$13+1,1))</f>
        <v>312.59632808777332</v>
      </c>
      <c r="CZ127" s="60">
        <f t="shared" si="96"/>
        <v>302.59481222418219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1.0818439477588981E-13</v>
      </c>
      <c r="DQ127" s="14">
        <f t="shared" si="97"/>
        <v>1.6104228458716316E-12</v>
      </c>
      <c r="DR127" s="22">
        <f t="shared" si="70"/>
        <v>2.9932409441277661E-12</v>
      </c>
      <c r="DS127" s="60">
        <f t="shared" si="71"/>
        <v>282.86705178317635</v>
      </c>
      <c r="DT127" s="60">
        <f ca="1">AVERAGE(OFFSET($DS$3,0,0,'Données projet'!$E$14+1,1))-AVERAGE(OFFSET($H$3,0,0,'Données projet'!$E$14+1,1))</f>
        <v>398.29746143975166</v>
      </c>
      <c r="DU127" s="60">
        <f t="shared" si="98"/>
        <v>300.63705521148802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3.2</v>
      </c>
      <c r="EJ127" s="13">
        <f>IF('Données projet'!$A$192&gt;35,EJ126+EI127-ER126,IF(A127&lt;'Données projet'!$A$192,$EG$205^A127,IF(A127='Données projet'!$A$192,'Données projet'!$B$192,EJ126+EI127-ER126)))</f>
        <v>280.79999999999944</v>
      </c>
      <c r="EK127" s="18">
        <f>EJ127*VLOOKUP('Données projet'!$B$15,Paramètres!$A$1:$I$89,3,0)*VLOOKUP('Données projet'!$B$15,Paramètres!$A$1:$I$89,5,0)</f>
        <v>271.5897599999995</v>
      </c>
      <c r="EL127" s="14">
        <f t="shared" si="99"/>
        <v>65.186541118848012</v>
      </c>
      <c r="EM127" s="22">
        <f t="shared" si="73"/>
        <v>586.55205778199274</v>
      </c>
      <c r="EN127" s="60">
        <f t="shared" si="74"/>
        <v>869.41910956516608</v>
      </c>
      <c r="EO127" s="60">
        <f ca="1">AVERAGE(OFFSET($EN$3,0,0,'Données projet'!$E$15+1,1))-AVERAGE(OFFSET($H$3,0,0,'Données projet'!$E$15+1,1))</f>
        <v>496.33873798282525</v>
      </c>
      <c r="EP127" s="60">
        <f t="shared" si="100"/>
        <v>280.25465074992246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3.4106051316484809E-13</v>
      </c>
      <c r="FF127" s="18">
        <f>FE127*VLOOKUP('Données projet'!$B$16,Paramètres!$A$1:$I$89,3,0)*VLOOKUP('Données projet'!$B$16,Paramètres!$A$1:$I$89,5,0)</f>
        <v>2.9795046430081134E-13</v>
      </c>
      <c r="FG127" s="14">
        <f t="shared" si="101"/>
        <v>3.9419014464513778E-12</v>
      </c>
      <c r="FH127" s="22">
        <f t="shared" si="76"/>
        <v>7.384408744560063E-12</v>
      </c>
      <c r="FI127" s="60">
        <f t="shared" si="77"/>
        <v>282.86705178318073</v>
      </c>
      <c r="FJ127" s="60">
        <f ca="1">AVERAGE(OFFSET($FI$3,0,0,'Données projet'!$E$16+1,1))-AVERAGE(OFFSET($H$3,0,0,'Données projet'!$E$16+1,1))</f>
        <v>363.28611056308665</v>
      </c>
      <c r="FK127" s="60">
        <f t="shared" si="102"/>
        <v>389.43647559455974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1.7053025658242404E-13</v>
      </c>
      <c r="GA127" s="18">
        <f>FZ127*VLOOKUP('Données projet'!$B$17,Paramètres!$A$1:$I$89,3,0)*VLOOKUP('Données projet'!$B$17,Paramètres!$A$1:$I$89,5,0)</f>
        <v>1.1439169611549005E-13</v>
      </c>
      <c r="GB127" s="14">
        <f t="shared" si="103"/>
        <v>1.6918016515029816E-12</v>
      </c>
      <c r="GC127" s="22">
        <f t="shared" si="79"/>
        <v>3.1457867471021712E-12</v>
      </c>
      <c r="GD127" s="60">
        <f t="shared" si="80"/>
        <v>282.86705178317646</v>
      </c>
      <c r="GE127" s="60">
        <f ca="1">AVERAGE(OFFSET($GD$3,0,0,'Données projet'!$E$17+1,1))-AVERAGE(OFFSET($H$3,0,0,'Données projet'!$E$17+1,1))</f>
        <v>344.62096650402731</v>
      </c>
      <c r="GF127" s="60">
        <f t="shared" si="104"/>
        <v>277.30931495079346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4.9000000000000004</v>
      </c>
      <c r="N128" s="14">
        <f>IF('Données projet'!$A$36&gt;35,N127+M128-V127,IF(A128&lt;'Données projet'!$A$36,$K$205^A128,IF(A128='Données projet'!$A$36,'Données projet'!$B$36,N127+M128-V127)))</f>
        <v>456.49999999999943</v>
      </c>
      <c r="O128" s="14">
        <f>N128*VLOOKUP('Données projet'!$B$9,Paramètres!$A$1:$I$89,3,0)*VLOOKUP('Données projet'!$B$9,Paramètres!$A$1:$I$89,5,0)</f>
        <v>391.67699999999957</v>
      </c>
      <c r="P128" s="14">
        <f t="shared" si="87"/>
        <v>90.087245313928733</v>
      </c>
      <c r="Q128" s="22">
        <f t="shared" si="107"/>
        <v>839.07272725509176</v>
      </c>
      <c r="R128" s="60">
        <f t="shared" si="55"/>
        <v>1122.1213456240603</v>
      </c>
      <c r="S128" s="60">
        <f ca="1">AVERAGE(OFFSET($R$3,0,0,'Données projet'!$E$9+1,1))-AVERAGE(OFFSET($H$3,0,0,'Données projet'!$E$9+1,1))</f>
        <v>632.26350546340541</v>
      </c>
      <c r="T128" s="60">
        <f t="shared" si="88"/>
        <v>340.45335016367915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2.7134774427395314E-13</v>
      </c>
      <c r="AK128" s="14">
        <f t="shared" si="89"/>
        <v>3.6292411711343559E-12</v>
      </c>
      <c r="AL128" s="22">
        <f t="shared" si="58"/>
        <v>6.7935256943361388E-12</v>
      </c>
      <c r="AM128" s="60">
        <f t="shared" si="59"/>
        <v>283.04861836897533</v>
      </c>
      <c r="AN128" s="60">
        <f ca="1">AVERAGE(OFFSET($AM$3,0,0,'Données projet'!$E$10+1,1))-AVERAGE(OFFSET($H$3,0,0,'Données projet'!$E$10+1,1))</f>
        <v>336.25341821407534</v>
      </c>
      <c r="AO128" s="60">
        <f t="shared" si="90"/>
        <v>360.3246221345039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2.7134774427395314E-13</v>
      </c>
      <c r="BF128" s="14">
        <f t="shared" si="91"/>
        <v>3.6292411711343559E-12</v>
      </c>
      <c r="BG128" s="22">
        <f t="shared" si="61"/>
        <v>6.7935256943361388E-12</v>
      </c>
      <c r="BH128" s="60">
        <f t="shared" si="62"/>
        <v>283.04861836897533</v>
      </c>
      <c r="BI128" s="60">
        <f ca="1">AVERAGE(OFFSET($BH$3,0,0,'Données projet'!$E$11+1,1))-AVERAGE(OFFSET($H$3,0,0,'Données projet'!$E$11+1,1))</f>
        <v>336.25341821407534</v>
      </c>
      <c r="BJ128" s="60">
        <f t="shared" si="92"/>
        <v>360.3246221345039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256.96319999999946</v>
      </c>
      <c r="CA128" s="14">
        <f t="shared" si="93"/>
        <v>62.07461295683791</v>
      </c>
      <c r="CB128" s="22">
        <f t="shared" si="64"/>
        <v>555.65752423315837</v>
      </c>
      <c r="CC128" s="60">
        <f t="shared" si="65"/>
        <v>838.70614260212687</v>
      </c>
      <c r="CD128" s="60">
        <f ca="1">AVERAGE(OFFSET($CC$3,0,0,'Données projet'!$E$12+1,1))-AVERAGE(OFFSET($H$3,0,0,'Données projet'!$E$12+1,1))</f>
        <v>469.67944008675863</v>
      </c>
      <c r="CE128" s="60">
        <f t="shared" si="94"/>
        <v>266.11908070867173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8.8675733422860506E-14</v>
      </c>
      <c r="CV128" s="14">
        <f t="shared" si="95"/>
        <v>1.3509285393066301E-12</v>
      </c>
      <c r="CW128" s="22">
        <f t="shared" si="67"/>
        <v>2.5073107750038623E-12</v>
      </c>
      <c r="CX128" s="60">
        <f t="shared" si="68"/>
        <v>283.04861836897101</v>
      </c>
      <c r="CY128" s="60">
        <f ca="1">AVERAGE(OFFSET($CX$3,0,0,'Données projet'!$E$13+1,1))-AVERAGE(OFFSET($H$3,0,0,'Données projet'!$E$13+1,1))</f>
        <v>312.59632808777332</v>
      </c>
      <c r="CZ128" s="60">
        <f t="shared" si="96"/>
        <v>302.59481222418219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1.0818439477588981E-13</v>
      </c>
      <c r="DQ128" s="14">
        <f t="shared" si="97"/>
        <v>1.6104228458716316E-12</v>
      </c>
      <c r="DR128" s="22">
        <f t="shared" si="70"/>
        <v>2.9932409441277661E-12</v>
      </c>
      <c r="DS128" s="60">
        <f t="shared" si="71"/>
        <v>283.04861836897152</v>
      </c>
      <c r="DT128" s="60">
        <f ca="1">AVERAGE(OFFSET($DS$3,0,0,'Données projet'!$E$14+1,1))-AVERAGE(OFFSET($H$3,0,0,'Données projet'!$E$14+1,1))</f>
        <v>398.29746143975166</v>
      </c>
      <c r="DU128" s="60">
        <f t="shared" si="98"/>
        <v>300.63705521148802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3.2</v>
      </c>
      <c r="EJ128" s="13">
        <f>IF('Données projet'!$A$192&gt;35,EJ127+EI128-ER127,IF(A128&lt;'Données projet'!$A$192,$EG$205^A128,IF(A128='Données projet'!$A$192,'Données projet'!$B$192,EJ127+EI128-ER127)))</f>
        <v>283.99999999999943</v>
      </c>
      <c r="EK128" s="18">
        <f>EJ128*VLOOKUP('Données projet'!$B$15,Paramètres!$A$1:$I$89,3,0)*VLOOKUP('Données projet'!$B$15,Paramètres!$A$1:$I$89,5,0)</f>
        <v>274.68479999999943</v>
      </c>
      <c r="EL128" s="14">
        <f t="shared" si="99"/>
        <v>65.842504497456545</v>
      </c>
      <c r="EM128" s="22">
        <f t="shared" si="73"/>
        <v>593.08505533306914</v>
      </c>
      <c r="EN128" s="60">
        <f t="shared" si="74"/>
        <v>876.13367370203764</v>
      </c>
      <c r="EO128" s="60">
        <f ca="1">AVERAGE(OFFSET($EN$3,0,0,'Données projet'!$E$15+1,1))-AVERAGE(OFFSET($H$3,0,0,'Données projet'!$E$15+1,1))</f>
        <v>496.33873798282525</v>
      </c>
      <c r="EP128" s="60">
        <f t="shared" si="100"/>
        <v>280.25465074992246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3.4106051316484809E-13</v>
      </c>
      <c r="FF128" s="18">
        <f>FE128*VLOOKUP('Données projet'!$B$16,Paramètres!$A$1:$I$89,3,0)*VLOOKUP('Données projet'!$B$16,Paramètres!$A$1:$I$89,5,0)</f>
        <v>2.9795046430081134E-13</v>
      </c>
      <c r="FG128" s="14">
        <f t="shared" si="101"/>
        <v>3.9419014464513778E-12</v>
      </c>
      <c r="FH128" s="22">
        <f t="shared" si="76"/>
        <v>7.384408744560063E-12</v>
      </c>
      <c r="FI128" s="60">
        <f t="shared" si="77"/>
        <v>283.04861836897589</v>
      </c>
      <c r="FJ128" s="60">
        <f ca="1">AVERAGE(OFFSET($FI$3,0,0,'Données projet'!$E$16+1,1))-AVERAGE(OFFSET($H$3,0,0,'Données projet'!$E$16+1,1))</f>
        <v>363.28611056308665</v>
      </c>
      <c r="FK128" s="60">
        <f t="shared" si="102"/>
        <v>389.43647559455974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1.7053025658242404E-13</v>
      </c>
      <c r="GA128" s="18">
        <f>FZ128*VLOOKUP('Données projet'!$B$17,Paramètres!$A$1:$I$89,3,0)*VLOOKUP('Données projet'!$B$17,Paramètres!$A$1:$I$89,5,0)</f>
        <v>1.1439169611549005E-13</v>
      </c>
      <c r="GB128" s="14">
        <f t="shared" si="103"/>
        <v>1.6918016515029816E-12</v>
      </c>
      <c r="GC128" s="22">
        <f t="shared" si="79"/>
        <v>3.1457867471021712E-12</v>
      </c>
      <c r="GD128" s="60">
        <f t="shared" si="80"/>
        <v>283.04861836897163</v>
      </c>
      <c r="GE128" s="60">
        <f ca="1">AVERAGE(OFFSET($GD$3,0,0,'Données projet'!$E$17+1,1))-AVERAGE(OFFSET($H$3,0,0,'Données projet'!$E$17+1,1))</f>
        <v>344.62096650402731</v>
      </c>
      <c r="GF128" s="60">
        <f t="shared" si="104"/>
        <v>277.30931495079346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4.9000000000000004</v>
      </c>
      <c r="N129" s="14">
        <f>IF('Données projet'!$A$36&gt;35,N128+M129-V128,IF(A129&lt;'Données projet'!$A$36,$K$205^A129,IF(A129='Données projet'!$A$36,'Données projet'!$B$36,N128+M129-V128)))</f>
        <v>461.39999999999941</v>
      </c>
      <c r="O129" s="14">
        <f>N129*VLOOKUP('Données projet'!$B$9,Paramètres!$A$1:$I$89,3,0)*VLOOKUP('Données projet'!$B$9,Paramètres!$A$1:$I$89,5,0)</f>
        <v>395.88119999999952</v>
      </c>
      <c r="P129" s="14">
        <f t="shared" si="87"/>
        <v>90.941139385088988</v>
      </c>
      <c r="Q129" s="22">
        <f t="shared" si="107"/>
        <v>847.8822410956958</v>
      </c>
      <c r="R129" s="60">
        <f t="shared" si="55"/>
        <v>1131.109276276118</v>
      </c>
      <c r="S129" s="60">
        <f ca="1">AVERAGE(OFFSET($R$3,0,0,'Données projet'!$E$9+1,1))-AVERAGE(OFFSET($H$3,0,0,'Données projet'!$E$9+1,1))</f>
        <v>632.26350546340541</v>
      </c>
      <c r="T129" s="60">
        <f t="shared" si="88"/>
        <v>340.45335016367915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2.7134774427395314E-13</v>
      </c>
      <c r="AK129" s="14">
        <f t="shared" si="89"/>
        <v>3.6292411711343559E-12</v>
      </c>
      <c r="AL129" s="22">
        <f t="shared" si="58"/>
        <v>6.7935256943361388E-12</v>
      </c>
      <c r="AM129" s="60">
        <f t="shared" si="59"/>
        <v>283.22703518042903</v>
      </c>
      <c r="AN129" s="60">
        <f ca="1">AVERAGE(OFFSET($AM$3,0,0,'Données projet'!$E$10+1,1))-AVERAGE(OFFSET($H$3,0,0,'Données projet'!$E$10+1,1))</f>
        <v>336.25341821407534</v>
      </c>
      <c r="AO129" s="60">
        <f t="shared" si="90"/>
        <v>360.3246221345039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2.7134774427395314E-13</v>
      </c>
      <c r="BF129" s="14">
        <f t="shared" si="91"/>
        <v>3.6292411711343559E-12</v>
      </c>
      <c r="BG129" s="22">
        <f t="shared" si="61"/>
        <v>6.7935256943361388E-12</v>
      </c>
      <c r="BH129" s="60">
        <f t="shared" si="62"/>
        <v>283.22703518042903</v>
      </c>
      <c r="BI129" s="60">
        <f ca="1">AVERAGE(OFFSET($BH$3,0,0,'Données projet'!$E$11+1,1))-AVERAGE(OFFSET($H$3,0,0,'Données projet'!$E$11+1,1))</f>
        <v>336.25341821407534</v>
      </c>
      <c r="BJ129" s="60">
        <f t="shared" si="92"/>
        <v>360.3246221345039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259.85855999999944</v>
      </c>
      <c r="CA129" s="14">
        <f t="shared" si="93"/>
        <v>62.692227709138365</v>
      </c>
      <c r="CB129" s="22">
        <f t="shared" si="64"/>
        <v>561.77595526008167</v>
      </c>
      <c r="CC129" s="60">
        <f t="shared" si="65"/>
        <v>845.00299044050394</v>
      </c>
      <c r="CD129" s="60">
        <f ca="1">AVERAGE(OFFSET($CC$3,0,0,'Données projet'!$E$12+1,1))-AVERAGE(OFFSET($H$3,0,0,'Données projet'!$E$12+1,1))</f>
        <v>469.67944008675863</v>
      </c>
      <c r="CE129" s="60">
        <f t="shared" si="94"/>
        <v>266.11908070867173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8.8675733422860506E-14</v>
      </c>
      <c r="CV129" s="14">
        <f t="shared" si="95"/>
        <v>1.3509285393066301E-12</v>
      </c>
      <c r="CW129" s="22">
        <f t="shared" si="67"/>
        <v>2.5073107750038623E-12</v>
      </c>
      <c r="CX129" s="60">
        <f t="shared" si="68"/>
        <v>283.22703518042471</v>
      </c>
      <c r="CY129" s="60">
        <f ca="1">AVERAGE(OFFSET($CX$3,0,0,'Données projet'!$E$13+1,1))-AVERAGE(OFFSET($H$3,0,0,'Données projet'!$E$13+1,1))</f>
        <v>312.59632808777332</v>
      </c>
      <c r="CZ129" s="60">
        <f t="shared" si="96"/>
        <v>302.59481222418219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1.0818439477588981E-13</v>
      </c>
      <c r="DQ129" s="14">
        <f t="shared" si="97"/>
        <v>1.6104228458716316E-12</v>
      </c>
      <c r="DR129" s="22">
        <f t="shared" si="70"/>
        <v>2.9932409441277661E-12</v>
      </c>
      <c r="DS129" s="60">
        <f t="shared" si="71"/>
        <v>283.22703518042522</v>
      </c>
      <c r="DT129" s="60">
        <f ca="1">AVERAGE(OFFSET($DS$3,0,0,'Données projet'!$E$14+1,1))-AVERAGE(OFFSET($H$3,0,0,'Données projet'!$E$14+1,1))</f>
        <v>398.29746143975166</v>
      </c>
      <c r="DU129" s="60">
        <f t="shared" si="98"/>
        <v>300.63705521148802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3.2</v>
      </c>
      <c r="EJ129" s="13">
        <f>IF('Données projet'!$A$192&gt;35,EJ128+EI129-ER128,IF(A129&lt;'Données projet'!$A$192,$EG$205^A129,IF(A129='Données projet'!$A$192,'Données projet'!$B$192,EJ128+EI129-ER128)))</f>
        <v>287.19999999999942</v>
      </c>
      <c r="EK129" s="18">
        <f>EJ129*VLOOKUP('Données projet'!$B$15,Paramètres!$A$1:$I$89,3,0)*VLOOKUP('Données projet'!$B$15,Paramètres!$A$1:$I$89,5,0)</f>
        <v>277.77983999999947</v>
      </c>
      <c r="EL129" s="14">
        <f t="shared" si="99"/>
        <v>66.497608092453063</v>
      </c>
      <c r="EM129" s="22">
        <f t="shared" si="73"/>
        <v>599.61655542768813</v>
      </c>
      <c r="EN129" s="60">
        <f t="shared" si="74"/>
        <v>882.84359060811039</v>
      </c>
      <c r="EO129" s="60">
        <f ca="1">AVERAGE(OFFSET($EN$3,0,0,'Données projet'!$E$15+1,1))-AVERAGE(OFFSET($H$3,0,0,'Données projet'!$E$15+1,1))</f>
        <v>496.33873798282525</v>
      </c>
      <c r="EP129" s="60">
        <f t="shared" si="100"/>
        <v>280.25465074992246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3.4106051316484809E-13</v>
      </c>
      <c r="FF129" s="18">
        <f>FE129*VLOOKUP('Données projet'!$B$16,Paramètres!$A$1:$I$89,3,0)*VLOOKUP('Données projet'!$B$16,Paramètres!$A$1:$I$89,5,0)</f>
        <v>2.9795046430081134E-13</v>
      </c>
      <c r="FG129" s="14">
        <f t="shared" si="101"/>
        <v>3.9419014464513778E-12</v>
      </c>
      <c r="FH129" s="22">
        <f t="shared" si="76"/>
        <v>7.384408744560063E-12</v>
      </c>
      <c r="FI129" s="60">
        <f t="shared" si="77"/>
        <v>283.2270351804296</v>
      </c>
      <c r="FJ129" s="60">
        <f ca="1">AVERAGE(OFFSET($FI$3,0,0,'Données projet'!$E$16+1,1))-AVERAGE(OFFSET($H$3,0,0,'Données projet'!$E$16+1,1))</f>
        <v>363.28611056308665</v>
      </c>
      <c r="FK129" s="60">
        <f t="shared" si="102"/>
        <v>389.43647559455974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1.7053025658242404E-13</v>
      </c>
      <c r="GA129" s="18">
        <f>FZ129*VLOOKUP('Données projet'!$B$17,Paramètres!$A$1:$I$89,3,0)*VLOOKUP('Données projet'!$B$17,Paramètres!$A$1:$I$89,5,0)</f>
        <v>1.1439169611549005E-13</v>
      </c>
      <c r="GB129" s="14">
        <f t="shared" si="103"/>
        <v>1.6918016515029816E-12</v>
      </c>
      <c r="GC129" s="22">
        <f t="shared" si="79"/>
        <v>3.1457867471021712E-12</v>
      </c>
      <c r="GD129" s="60">
        <f t="shared" si="80"/>
        <v>283.22703518042533</v>
      </c>
      <c r="GE129" s="60">
        <f ca="1">AVERAGE(OFFSET($GD$3,0,0,'Données projet'!$E$17+1,1))-AVERAGE(OFFSET($H$3,0,0,'Données projet'!$E$17+1,1))</f>
        <v>344.62096650402731</v>
      </c>
      <c r="GF129" s="60">
        <f t="shared" si="104"/>
        <v>277.30931495079346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4.9000000000000004</v>
      </c>
      <c r="N130" s="14">
        <f>IF('Données projet'!$A$36&gt;35,N129+M130-V129,IF(A130&lt;'Données projet'!$A$36,$K$205^A130,IF(A130='Données projet'!$A$36,'Données projet'!$B$36,N129+M130-V129)))</f>
        <v>466.29999999999939</v>
      </c>
      <c r="O130" s="14">
        <f>N130*VLOOKUP('Données projet'!$B$9,Paramètres!$A$1:$I$89,3,0)*VLOOKUP('Données projet'!$B$9,Paramètres!$A$1:$I$89,5,0)</f>
        <v>400.08539999999954</v>
      </c>
      <c r="P130" s="14">
        <f t="shared" si="87"/>
        <v>91.793978545536447</v>
      </c>
      <c r="Q130" s="22">
        <f t="shared" si="107"/>
        <v>856.68991763347515</v>
      </c>
      <c r="R130" s="60">
        <f t="shared" si="55"/>
        <v>1140.0922744925526</v>
      </c>
      <c r="S130" s="60">
        <f ca="1">AVERAGE(OFFSET($R$3,0,0,'Données projet'!$E$9+1,1))-AVERAGE(OFFSET($H$3,0,0,'Données projet'!$E$9+1,1))</f>
        <v>632.26350546340541</v>
      </c>
      <c r="T130" s="60">
        <f t="shared" si="88"/>
        <v>340.45335016367915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2.7134774427395314E-13</v>
      </c>
      <c r="AK130" s="14">
        <f t="shared" si="89"/>
        <v>3.6292411711343559E-12</v>
      </c>
      <c r="AL130" s="22">
        <f t="shared" si="58"/>
        <v>6.7935256943361388E-12</v>
      </c>
      <c r="AM130" s="60">
        <f t="shared" si="59"/>
        <v>283.40235685908425</v>
      </c>
      <c r="AN130" s="60">
        <f ca="1">AVERAGE(OFFSET($AM$3,0,0,'Données projet'!$E$10+1,1))-AVERAGE(OFFSET($H$3,0,0,'Données projet'!$E$10+1,1))</f>
        <v>336.25341821407534</v>
      </c>
      <c r="AO130" s="60">
        <f t="shared" si="90"/>
        <v>360.3246221345039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2.7134774427395314E-13</v>
      </c>
      <c r="BF130" s="14">
        <f t="shared" si="91"/>
        <v>3.6292411711343559E-12</v>
      </c>
      <c r="BG130" s="22">
        <f t="shared" si="61"/>
        <v>6.7935256943361388E-12</v>
      </c>
      <c r="BH130" s="60">
        <f t="shared" si="62"/>
        <v>283.40235685908425</v>
      </c>
      <c r="BI130" s="60">
        <f ca="1">AVERAGE(OFFSET($BH$3,0,0,'Données projet'!$E$11+1,1))-AVERAGE(OFFSET($H$3,0,0,'Données projet'!$E$11+1,1))</f>
        <v>336.25341821407534</v>
      </c>
      <c r="BJ130" s="60">
        <f t="shared" si="92"/>
        <v>360.3246221345039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262.75391999999948</v>
      </c>
      <c r="CA130" s="14">
        <f t="shared" si="93"/>
        <v>63.309041956360211</v>
      </c>
      <c r="CB130" s="22">
        <f t="shared" si="64"/>
        <v>567.89299207399313</v>
      </c>
      <c r="CC130" s="60">
        <f t="shared" si="65"/>
        <v>851.2953489330705</v>
      </c>
      <c r="CD130" s="60">
        <f ca="1">AVERAGE(OFFSET($CC$3,0,0,'Données projet'!$E$12+1,1))-AVERAGE(OFFSET($H$3,0,0,'Données projet'!$E$12+1,1))</f>
        <v>469.67944008675863</v>
      </c>
      <c r="CE130" s="60">
        <f t="shared" si="94"/>
        <v>266.11908070867173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8.8675733422860506E-14</v>
      </c>
      <c r="CV130" s="14">
        <f t="shared" si="95"/>
        <v>1.3509285393066301E-12</v>
      </c>
      <c r="CW130" s="22">
        <f t="shared" si="67"/>
        <v>2.5073107750038623E-12</v>
      </c>
      <c r="CX130" s="60">
        <f t="shared" si="68"/>
        <v>283.40235685907993</v>
      </c>
      <c r="CY130" s="60">
        <f ca="1">AVERAGE(OFFSET($CX$3,0,0,'Données projet'!$E$13+1,1))-AVERAGE(OFFSET($H$3,0,0,'Données projet'!$E$13+1,1))</f>
        <v>312.59632808777332</v>
      </c>
      <c r="CZ130" s="60">
        <f t="shared" si="96"/>
        <v>302.59481222418219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1.0818439477588981E-13</v>
      </c>
      <c r="DQ130" s="14">
        <f t="shared" si="97"/>
        <v>1.6104228458716316E-12</v>
      </c>
      <c r="DR130" s="22">
        <f t="shared" si="70"/>
        <v>2.9932409441277661E-12</v>
      </c>
      <c r="DS130" s="60">
        <f t="shared" si="71"/>
        <v>283.40235685908044</v>
      </c>
      <c r="DT130" s="60">
        <f ca="1">AVERAGE(OFFSET($DS$3,0,0,'Données projet'!$E$14+1,1))-AVERAGE(OFFSET($H$3,0,0,'Données projet'!$E$14+1,1))</f>
        <v>398.29746143975166</v>
      </c>
      <c r="DU130" s="60">
        <f t="shared" si="98"/>
        <v>300.63705521148802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3.2</v>
      </c>
      <c r="EJ130" s="13">
        <f>IF('Données projet'!$A$192&gt;35,EJ129+EI130-ER129,IF(A130&lt;'Données projet'!$A$192,$EG$205^A130,IF(A130='Données projet'!$A$192,'Données projet'!$B$192,EJ129+EI130-ER129)))</f>
        <v>290.39999999999941</v>
      </c>
      <c r="EK130" s="18">
        <f>EJ130*VLOOKUP('Données projet'!$B$15,Paramètres!$A$1:$I$89,3,0)*VLOOKUP('Données projet'!$B$15,Paramètres!$A$1:$I$89,5,0)</f>
        <v>280.87487999999945</v>
      </c>
      <c r="EL130" s="14">
        <f t="shared" si="99"/>
        <v>67.151862592195727</v>
      </c>
      <c r="EM130" s="22">
        <f t="shared" si="73"/>
        <v>606.1465766814066</v>
      </c>
      <c r="EN130" s="60">
        <f t="shared" si="74"/>
        <v>889.54893354048409</v>
      </c>
      <c r="EO130" s="60">
        <f ca="1">AVERAGE(OFFSET($EN$3,0,0,'Données projet'!$E$15+1,1))-AVERAGE(OFFSET($H$3,0,0,'Données projet'!$E$15+1,1))</f>
        <v>496.33873798282525</v>
      </c>
      <c r="EP130" s="60">
        <f t="shared" si="100"/>
        <v>280.25465074992246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3.4106051316484809E-13</v>
      </c>
      <c r="FF130" s="18">
        <f>FE130*VLOOKUP('Données projet'!$B$16,Paramètres!$A$1:$I$89,3,0)*VLOOKUP('Données projet'!$B$16,Paramètres!$A$1:$I$89,5,0)</f>
        <v>2.9795046430081134E-13</v>
      </c>
      <c r="FG130" s="14">
        <f t="shared" si="101"/>
        <v>3.9419014464513778E-12</v>
      </c>
      <c r="FH130" s="22">
        <f t="shared" si="76"/>
        <v>7.384408744560063E-12</v>
      </c>
      <c r="FI130" s="60">
        <f t="shared" si="77"/>
        <v>283.40235685908482</v>
      </c>
      <c r="FJ130" s="60">
        <f ca="1">AVERAGE(OFFSET($FI$3,0,0,'Données projet'!$E$16+1,1))-AVERAGE(OFFSET($H$3,0,0,'Données projet'!$E$16+1,1))</f>
        <v>363.28611056308665</v>
      </c>
      <c r="FK130" s="60">
        <f t="shared" si="102"/>
        <v>389.43647559455974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1.7053025658242404E-13</v>
      </c>
      <c r="GA130" s="18">
        <f>FZ130*VLOOKUP('Données projet'!$B$17,Paramètres!$A$1:$I$89,3,0)*VLOOKUP('Données projet'!$B$17,Paramètres!$A$1:$I$89,5,0)</f>
        <v>1.1439169611549005E-13</v>
      </c>
      <c r="GB130" s="14">
        <f t="shared" si="103"/>
        <v>1.6918016515029816E-12</v>
      </c>
      <c r="GC130" s="22">
        <f t="shared" si="79"/>
        <v>3.1457867471021712E-12</v>
      </c>
      <c r="GD130" s="60">
        <f t="shared" si="80"/>
        <v>283.40235685908056</v>
      </c>
      <c r="GE130" s="60">
        <f ca="1">AVERAGE(OFFSET($GD$3,0,0,'Données projet'!$E$17+1,1))-AVERAGE(OFFSET($H$3,0,0,'Données projet'!$E$17+1,1))</f>
        <v>344.62096650402731</v>
      </c>
      <c r="GF130" s="60">
        <f t="shared" si="104"/>
        <v>277.30931495079346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4.9000000000000004</v>
      </c>
      <c r="N131" s="14">
        <f>IF('Données projet'!$A$36&gt;35,N130+M131-V130,IF(A131&lt;'Données projet'!$A$36,$K$205^A131,IF(A131='Données projet'!$A$36,'Données projet'!$B$36,N130+M131-V130)))</f>
        <v>471.19999999999936</v>
      </c>
      <c r="O131" s="14">
        <f>N131*VLOOKUP('Données projet'!$B$9,Paramètres!$A$1:$I$89,3,0)*VLOOKUP('Données projet'!$B$9,Paramètres!$A$1:$I$89,5,0)</f>
        <v>404.2895999999995</v>
      </c>
      <c r="P131" s="14">
        <f t="shared" si="87"/>
        <v>92.645775163760945</v>
      </c>
      <c r="Q131" s="22">
        <f t="shared" ref="Q131:Q153" si="108">(O131+P131)*0.475*44/12</f>
        <v>865.49577841021608</v>
      </c>
      <c r="R131" s="60">
        <f t="shared" ref="R131:R194" si="109">Q131+(I131+J131)*44/12</f>
        <v>1149.0704155087847</v>
      </c>
      <c r="S131" s="60">
        <f ca="1">AVERAGE(OFFSET($R$3,0,0,'Données projet'!$E$9+1,1))-AVERAGE(OFFSET($H$3,0,0,'Données projet'!$E$9+1,1))</f>
        <v>632.26350546340541</v>
      </c>
      <c r="T131" s="60">
        <f t="shared" si="88"/>
        <v>340.45335016367915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2.7134774427395314E-13</v>
      </c>
      <c r="AK131" s="14">
        <f t="shared" si="89"/>
        <v>3.6292411711343559E-12</v>
      </c>
      <c r="AL131" s="22">
        <f t="shared" si="58"/>
        <v>6.7935256943361388E-12</v>
      </c>
      <c r="AM131" s="60">
        <f t="shared" si="59"/>
        <v>283.57463709857535</v>
      </c>
      <c r="AN131" s="60">
        <f ca="1">AVERAGE(OFFSET($AM$3,0,0,'Données projet'!$E$10+1,1))-AVERAGE(OFFSET($H$3,0,0,'Données projet'!$E$10+1,1))</f>
        <v>336.25341821407534</v>
      </c>
      <c r="AO131" s="60">
        <f t="shared" si="90"/>
        <v>360.3246221345039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2.7134774427395314E-13</v>
      </c>
      <c r="BF131" s="14">
        <f t="shared" si="91"/>
        <v>3.6292411711343559E-12</v>
      </c>
      <c r="BG131" s="22">
        <f t="shared" si="61"/>
        <v>6.7935256943361388E-12</v>
      </c>
      <c r="BH131" s="60">
        <f t="shared" si="62"/>
        <v>283.57463709857535</v>
      </c>
      <c r="BI131" s="60">
        <f ca="1">AVERAGE(OFFSET($BH$3,0,0,'Données projet'!$E$11+1,1))-AVERAGE(OFFSET($H$3,0,0,'Données projet'!$E$11+1,1))</f>
        <v>336.25341821407534</v>
      </c>
      <c r="BJ131" s="60">
        <f t="shared" si="92"/>
        <v>360.3246221345039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265.64927999999946</v>
      </c>
      <c r="CA131" s="14">
        <f t="shared" si="93"/>
        <v>63.925065540346907</v>
      </c>
      <c r="CB131" s="22">
        <f t="shared" si="64"/>
        <v>574.00865181610322</v>
      </c>
      <c r="CC131" s="60">
        <f t="shared" si="65"/>
        <v>857.58328891467181</v>
      </c>
      <c r="CD131" s="60">
        <f ca="1">AVERAGE(OFFSET($CC$3,0,0,'Données projet'!$E$12+1,1))-AVERAGE(OFFSET($H$3,0,0,'Données projet'!$E$12+1,1))</f>
        <v>469.67944008675863</v>
      </c>
      <c r="CE131" s="60">
        <f t="shared" si="94"/>
        <v>266.11908070867173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8.8675733422860506E-14</v>
      </c>
      <c r="CV131" s="14">
        <f t="shared" si="95"/>
        <v>1.3509285393066301E-12</v>
      </c>
      <c r="CW131" s="22">
        <f t="shared" si="67"/>
        <v>2.5073107750038623E-12</v>
      </c>
      <c r="CX131" s="60">
        <f t="shared" si="68"/>
        <v>283.57463709857103</v>
      </c>
      <c r="CY131" s="60">
        <f ca="1">AVERAGE(OFFSET($CX$3,0,0,'Données projet'!$E$13+1,1))-AVERAGE(OFFSET($H$3,0,0,'Données projet'!$E$13+1,1))</f>
        <v>312.59632808777332</v>
      </c>
      <c r="CZ131" s="60">
        <f t="shared" si="96"/>
        <v>302.59481222418219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1.0818439477588981E-13</v>
      </c>
      <c r="DQ131" s="14">
        <f t="shared" si="97"/>
        <v>1.6104228458716316E-12</v>
      </c>
      <c r="DR131" s="22">
        <f t="shared" si="70"/>
        <v>2.9932409441277661E-12</v>
      </c>
      <c r="DS131" s="60">
        <f t="shared" si="71"/>
        <v>283.57463709857154</v>
      </c>
      <c r="DT131" s="60">
        <f ca="1">AVERAGE(OFFSET($DS$3,0,0,'Données projet'!$E$14+1,1))-AVERAGE(OFFSET($H$3,0,0,'Données projet'!$E$14+1,1))</f>
        <v>398.29746143975166</v>
      </c>
      <c r="DU131" s="60">
        <f t="shared" si="98"/>
        <v>300.63705521148802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3.2</v>
      </c>
      <c r="EJ131" s="13">
        <f>IF('Données projet'!$A$192&gt;35,EJ130+EI131-ER130,IF(A131&lt;'Données projet'!$A$192,$EG$205^A131,IF(A131='Données projet'!$A$192,'Données projet'!$B$192,EJ130+EI131-ER130)))</f>
        <v>293.5999999999994</v>
      </c>
      <c r="EK131" s="18">
        <f>EJ131*VLOOKUP('Données projet'!$B$15,Paramètres!$A$1:$I$89,3,0)*VLOOKUP('Données projet'!$B$15,Paramètres!$A$1:$I$89,5,0)</f>
        <v>283.96991999999943</v>
      </c>
      <c r="EL131" s="14">
        <f t="shared" si="99"/>
        <v>67.805278435922148</v>
      </c>
      <c r="EM131" s="22">
        <f t="shared" si="73"/>
        <v>612.67513727589676</v>
      </c>
      <c r="EN131" s="60">
        <f t="shared" si="74"/>
        <v>896.24977437446523</v>
      </c>
      <c r="EO131" s="60">
        <f ca="1">AVERAGE(OFFSET($EN$3,0,0,'Données projet'!$E$15+1,1))-AVERAGE(OFFSET($H$3,0,0,'Données projet'!$E$15+1,1))</f>
        <v>496.33873798282525</v>
      </c>
      <c r="EP131" s="60">
        <f t="shared" si="100"/>
        <v>280.25465074992246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3.4106051316484809E-13</v>
      </c>
      <c r="FF131" s="18">
        <f>FE131*VLOOKUP('Données projet'!$B$16,Paramètres!$A$1:$I$89,3,0)*VLOOKUP('Données projet'!$B$16,Paramètres!$A$1:$I$89,5,0)</f>
        <v>2.9795046430081134E-13</v>
      </c>
      <c r="FG131" s="14">
        <f t="shared" si="101"/>
        <v>3.9419014464513778E-12</v>
      </c>
      <c r="FH131" s="22">
        <f t="shared" si="76"/>
        <v>7.384408744560063E-12</v>
      </c>
      <c r="FI131" s="60">
        <f t="shared" si="77"/>
        <v>283.57463709857592</v>
      </c>
      <c r="FJ131" s="60">
        <f ca="1">AVERAGE(OFFSET($FI$3,0,0,'Données projet'!$E$16+1,1))-AVERAGE(OFFSET($H$3,0,0,'Données projet'!$E$16+1,1))</f>
        <v>363.28611056308665</v>
      </c>
      <c r="FK131" s="60">
        <f t="shared" si="102"/>
        <v>389.43647559455974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1.7053025658242404E-13</v>
      </c>
      <c r="GA131" s="18">
        <f>FZ131*VLOOKUP('Données projet'!$B$17,Paramètres!$A$1:$I$89,3,0)*VLOOKUP('Données projet'!$B$17,Paramètres!$A$1:$I$89,5,0)</f>
        <v>1.1439169611549005E-13</v>
      </c>
      <c r="GB131" s="14">
        <f t="shared" si="103"/>
        <v>1.6918016515029816E-12</v>
      </c>
      <c r="GC131" s="22">
        <f t="shared" si="79"/>
        <v>3.1457867471021712E-12</v>
      </c>
      <c r="GD131" s="60">
        <f t="shared" si="80"/>
        <v>283.57463709857166</v>
      </c>
      <c r="GE131" s="60">
        <f ca="1">AVERAGE(OFFSET($GD$3,0,0,'Données projet'!$E$17+1,1))-AVERAGE(OFFSET($H$3,0,0,'Données projet'!$E$17+1,1))</f>
        <v>344.62096650402731</v>
      </c>
      <c r="GF131" s="60">
        <f t="shared" si="104"/>
        <v>277.30931495079346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4.9000000000000004</v>
      </c>
      <c r="N132" s="14">
        <f>IF('Données projet'!$A$36&gt;35,N131+M132-V131,IF(A132&lt;'Données projet'!$A$36,$K$205^A132,IF(A132='Données projet'!$A$36,'Données projet'!$B$36,N131+M132-V131)))</f>
        <v>476.09999999999934</v>
      </c>
      <c r="O132" s="14">
        <f>N132*VLOOKUP('Données projet'!$B$9,Paramètres!$A$1:$I$89,3,0)*VLOOKUP('Données projet'!$B$9,Paramètres!$A$1:$I$89,5,0)</f>
        <v>408.49379999999951</v>
      </c>
      <c r="P132" s="14">
        <f t="shared" si="87"/>
        <v>93.496541336191953</v>
      </c>
      <c r="Q132" s="22">
        <f t="shared" si="108"/>
        <v>874.29984449386677</v>
      </c>
      <c r="R132" s="60">
        <f t="shared" si="109"/>
        <v>1158.0437731549321</v>
      </c>
      <c r="S132" s="60">
        <f ca="1">AVERAGE(OFFSET($R$3,0,0,'Données projet'!$E$9+1,1))-AVERAGE(OFFSET($H$3,0,0,'Données projet'!$E$9+1,1))</f>
        <v>632.26350546340541</v>
      </c>
      <c r="T132" s="60">
        <f t="shared" si="88"/>
        <v>340.45335016367915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2.7134774427395314E-13</v>
      </c>
      <c r="AK132" s="14">
        <f t="shared" si="89"/>
        <v>3.6292411711343559E-12</v>
      </c>
      <c r="AL132" s="22">
        <f t="shared" ref="AL132:AL153" si="112">(AJ132+AK132)*0.475*44/12</f>
        <v>6.7935256943361388E-12</v>
      </c>
      <c r="AM132" s="60">
        <f t="shared" ref="AM132:AM195" si="113">AL132+(AD132+AE132)*44/12</f>
        <v>283.74392866107218</v>
      </c>
      <c r="AN132" s="60">
        <f ca="1">AVERAGE(OFFSET($AM$3,0,0,'Données projet'!$E$10+1,1))-AVERAGE(OFFSET($H$3,0,0,'Données projet'!$E$10+1,1))</f>
        <v>336.25341821407534</v>
      </c>
      <c r="AO132" s="60">
        <f t="shared" si="90"/>
        <v>360.3246221345039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2.7134774427395314E-13</v>
      </c>
      <c r="BF132" s="14">
        <f t="shared" si="91"/>
        <v>3.6292411711343559E-12</v>
      </c>
      <c r="BG132" s="22">
        <f t="shared" ref="BG132:BG153" si="115">(BE132+BF132)*0.475*44/12</f>
        <v>6.7935256943361388E-12</v>
      </c>
      <c r="BH132" s="60">
        <f t="shared" ref="BH132:BH195" si="116">BG132+(AY132+AZ132)*44/12</f>
        <v>283.74392866107218</v>
      </c>
      <c r="BI132" s="60">
        <f ca="1">AVERAGE(OFFSET($BH$3,0,0,'Données projet'!$E$11+1,1))-AVERAGE(OFFSET($H$3,0,0,'Données projet'!$E$11+1,1))</f>
        <v>336.25341821407534</v>
      </c>
      <c r="BJ132" s="60">
        <f t="shared" si="92"/>
        <v>360.3246221345039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268.54463999999945</v>
      </c>
      <c r="CA132" s="14">
        <f t="shared" si="93"/>
        <v>64.540308076050593</v>
      </c>
      <c r="CB132" s="22">
        <f t="shared" ref="CB132:CB153" si="118">(BZ132+CA132)*0.475*44/12</f>
        <v>580.12295123245383</v>
      </c>
      <c r="CC132" s="60">
        <f t="shared" ref="CC132:CC195" si="119">CB132+(BT132+BU132)*44/12</f>
        <v>863.86687989351913</v>
      </c>
      <c r="CD132" s="60">
        <f ca="1">AVERAGE(OFFSET($CC$3,0,0,'Données projet'!$E$12+1,1))-AVERAGE(OFFSET($H$3,0,0,'Données projet'!$E$12+1,1))</f>
        <v>469.67944008675863</v>
      </c>
      <c r="CE132" s="60">
        <f t="shared" si="94"/>
        <v>266.11908070867173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8.8675733422860506E-14</v>
      </c>
      <c r="CV132" s="14">
        <f t="shared" si="95"/>
        <v>1.3509285393066301E-12</v>
      </c>
      <c r="CW132" s="22">
        <f t="shared" ref="CW132:CW153" si="121">(CU132+CV132)*0.475*44/12</f>
        <v>2.5073107750038623E-12</v>
      </c>
      <c r="CX132" s="60">
        <f t="shared" ref="CX132:CX195" si="122">CW132+(CO132+CP132)*44/12</f>
        <v>283.74392866106786</v>
      </c>
      <c r="CY132" s="60">
        <f ca="1">AVERAGE(OFFSET($CX$3,0,0,'Données projet'!$E$13+1,1))-AVERAGE(OFFSET($H$3,0,0,'Données projet'!$E$13+1,1))</f>
        <v>312.59632808777332</v>
      </c>
      <c r="CZ132" s="60">
        <f t="shared" si="96"/>
        <v>302.59481222418219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1.0818439477588981E-13</v>
      </c>
      <c r="DQ132" s="14">
        <f t="shared" si="97"/>
        <v>1.6104228458716316E-12</v>
      </c>
      <c r="DR132" s="22">
        <f t="shared" ref="DR132:DR153" si="124">(DP132+DQ132)*0.475*44/12</f>
        <v>2.9932409441277661E-12</v>
      </c>
      <c r="DS132" s="60">
        <f t="shared" ref="DS132:DS195" si="125">DR132+(DJ132+DK132)*44/12</f>
        <v>283.74392866106837</v>
      </c>
      <c r="DT132" s="60">
        <f ca="1">AVERAGE(OFFSET($DS$3,0,0,'Données projet'!$E$14+1,1))-AVERAGE(OFFSET($H$3,0,0,'Données projet'!$E$14+1,1))</f>
        <v>398.29746143975166</v>
      </c>
      <c r="DU132" s="60">
        <f t="shared" si="98"/>
        <v>300.63705521148802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3.2</v>
      </c>
      <c r="EJ132" s="13">
        <f>IF('Données projet'!$A$192&gt;35,EJ131+EI132-ER131,IF(A132&lt;'Données projet'!$A$192,$EG$205^A132,IF(A132='Données projet'!$A$192,'Données projet'!$B$192,EJ131+EI132-ER131)))</f>
        <v>296.79999999999939</v>
      </c>
      <c r="EK132" s="18">
        <f>EJ132*VLOOKUP('Données projet'!$B$15,Paramètres!$A$1:$I$89,3,0)*VLOOKUP('Données projet'!$B$15,Paramètres!$A$1:$I$89,5,0)</f>
        <v>287.06495999999942</v>
      </c>
      <c r="EL132" s="14">
        <f t="shared" si="99"/>
        <v>68.457865822206202</v>
      </c>
      <c r="EM132" s="22">
        <f t="shared" ref="EM132:EM153" si="127">(EK132+EL132)*0.475*44/12</f>
        <v>619.20225497367471</v>
      </c>
      <c r="EN132" s="60">
        <f t="shared" ref="EN132:EN195" si="128">EM132+(EE132+EF132)*44/12</f>
        <v>902.94618363474001</v>
      </c>
      <c r="EO132" s="60">
        <f ca="1">AVERAGE(OFFSET($EN$3,0,0,'Données projet'!$E$15+1,1))-AVERAGE(OFFSET($H$3,0,0,'Données projet'!$E$15+1,1))</f>
        <v>496.33873798282525</v>
      </c>
      <c r="EP132" s="60">
        <f t="shared" si="100"/>
        <v>280.25465074992246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3.4106051316484809E-13</v>
      </c>
      <c r="FF132" s="18">
        <f>FE132*VLOOKUP('Données projet'!$B$16,Paramètres!$A$1:$I$89,3,0)*VLOOKUP('Données projet'!$B$16,Paramètres!$A$1:$I$89,5,0)</f>
        <v>2.9795046430081134E-13</v>
      </c>
      <c r="FG132" s="14">
        <f t="shared" si="101"/>
        <v>3.9419014464513778E-12</v>
      </c>
      <c r="FH132" s="22">
        <f t="shared" ref="FH132:FH153" si="130">(FF132+FG132)*0.475*44/12</f>
        <v>7.384408744560063E-12</v>
      </c>
      <c r="FI132" s="60">
        <f t="shared" ref="FI132:FI195" si="131">FH132+(EZ132+FA132)*44/12</f>
        <v>283.74392866107274</v>
      </c>
      <c r="FJ132" s="60">
        <f ca="1">AVERAGE(OFFSET($FI$3,0,0,'Données projet'!$E$16+1,1))-AVERAGE(OFFSET($H$3,0,0,'Données projet'!$E$16+1,1))</f>
        <v>363.28611056308665</v>
      </c>
      <c r="FK132" s="60">
        <f t="shared" si="102"/>
        <v>389.43647559455974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1.7053025658242404E-13</v>
      </c>
      <c r="GA132" s="18">
        <f>FZ132*VLOOKUP('Données projet'!$B$17,Paramètres!$A$1:$I$89,3,0)*VLOOKUP('Données projet'!$B$17,Paramètres!$A$1:$I$89,5,0)</f>
        <v>1.1439169611549005E-13</v>
      </c>
      <c r="GB132" s="14">
        <f t="shared" si="103"/>
        <v>1.6918016515029816E-12</v>
      </c>
      <c r="GC132" s="22">
        <f t="shared" ref="GC132:GC153" si="133">(GA132+GB132)*0.475*44/12</f>
        <v>3.1457867471021712E-12</v>
      </c>
      <c r="GD132" s="60">
        <f t="shared" ref="GD132:GD195" si="134">GC132+(FU132+FV132)*44/12</f>
        <v>283.74392866106848</v>
      </c>
      <c r="GE132" s="60">
        <f ca="1">AVERAGE(OFFSET($GD$3,0,0,'Données projet'!$E$17+1,1))-AVERAGE(OFFSET($H$3,0,0,'Données projet'!$E$17+1,1))</f>
        <v>344.62096650402731</v>
      </c>
      <c r="GF132" s="60">
        <f t="shared" si="104"/>
        <v>277.30931495079346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481</v>
      </c>
      <c r="L133" s="13">
        <f>VLOOKUP(A133,'Données projet'!$A$35:$I$55,9,0)</f>
        <v>4.9000000000000004</v>
      </c>
      <c r="M133" s="13">
        <f t="array" ref="M133">INDEX(L:L,MIN(IF(ISNUMBER(L133:L329),ROW(L133:L329),"")))</f>
        <v>4.9000000000000004</v>
      </c>
      <c r="N133" s="14">
        <f>IF('Données projet'!$A$36&gt;35,N132+M133-V132,IF(A133&lt;'Données projet'!$A$36,$K$205^A133,IF(A133='Données projet'!$A$36,'Données projet'!$B$36,N132+M133-V132)))</f>
        <v>480.99999999999932</v>
      </c>
      <c r="O133" s="14">
        <f>N133*VLOOKUP('Données projet'!$B$9,Paramètres!$A$1:$I$89,3,0)*VLOOKUP('Données projet'!$B$9,Paramètres!$A$1:$I$89,5,0)</f>
        <v>412.69799999999952</v>
      </c>
      <c r="P133" s="14">
        <f t="shared" ref="P133:P196" si="141">EXP(-1.0587+0.8836*LN(O133)+0.284)</f>
        <v>94.34628889591923</v>
      </c>
      <c r="Q133" s="22">
        <f t="shared" si="108"/>
        <v>883.10213649372508</v>
      </c>
      <c r="R133" s="60">
        <f t="shared" si="109"/>
        <v>1167.0124198871572</v>
      </c>
      <c r="S133" s="60">
        <f ca="1">AVERAGE(OFFSET($R$3,0,0,'Données projet'!$E$9+1,1))-AVERAGE(OFFSET($H$3,0,0,'Données projet'!$E$9+1,1))</f>
        <v>632.26350546340541</v>
      </c>
      <c r="T133" s="60">
        <f t="shared" ref="T133:T196" si="142">$T$3</f>
        <v>340.45335016367915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41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2.7134774427395314E-13</v>
      </c>
      <c r="AK133" s="14">
        <f t="shared" ref="AK133:AK153" si="143">EXP(-1.0587+0.8836*LN(AJ133)+0.284)</f>
        <v>3.6292411711343559E-12</v>
      </c>
      <c r="AL133" s="22">
        <f t="shared" si="112"/>
        <v>6.7935256943361388E-12</v>
      </c>
      <c r="AM133" s="60">
        <f t="shared" si="113"/>
        <v>283.91028339343893</v>
      </c>
      <c r="AN133" s="60">
        <f ca="1">AVERAGE(OFFSET($AM$3,0,0,'Données projet'!$E$10+1,1))-AVERAGE(OFFSET($H$3,0,0,'Données projet'!$E$10+1,1))</f>
        <v>336.25341821407534</v>
      </c>
      <c r="AO133" s="60">
        <f t="shared" ref="AO133:AO196" si="144">$AO$3</f>
        <v>360.3246221345039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2.7134774427395314E-13</v>
      </c>
      <c r="BF133" s="14">
        <f t="shared" ref="BF133:BF153" si="145">EXP(-1.0587+0.8836*LN(BE133)+0.284)</f>
        <v>3.6292411711343559E-12</v>
      </c>
      <c r="BG133" s="22">
        <f t="shared" si="115"/>
        <v>6.7935256943361388E-12</v>
      </c>
      <c r="BH133" s="60">
        <f t="shared" si="116"/>
        <v>283.91028339343893</v>
      </c>
      <c r="BI133" s="60">
        <f ca="1">AVERAGE(OFFSET($BH$3,0,0,'Données projet'!$E$11+1,1))-AVERAGE(OFFSET($H$3,0,0,'Données projet'!$E$11+1,1))</f>
        <v>336.25341821407534</v>
      </c>
      <c r="BJ133" s="60">
        <f t="shared" ref="BJ133:BJ196" si="146">$BJ$3</f>
        <v>360.3246221345039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271.43999999999943</v>
      </c>
      <c r="CA133" s="14">
        <f t="shared" ref="CA133:CA153" si="147">EXP(-1.0587+0.8836*LN(BZ133)+0.284)</f>
        <v>65.154778959151116</v>
      </c>
      <c r="CB133" s="22">
        <f t="shared" si="118"/>
        <v>586.23590668718714</v>
      </c>
      <c r="CC133" s="60">
        <f t="shared" si="119"/>
        <v>870.14619008061925</v>
      </c>
      <c r="CD133" s="60">
        <f ca="1">AVERAGE(OFFSET($CC$3,0,0,'Données projet'!$E$12+1,1))-AVERAGE(OFFSET($H$3,0,0,'Données projet'!$E$12+1,1))</f>
        <v>469.67944008675863</v>
      </c>
      <c r="CE133" s="60">
        <f t="shared" ref="CE133:CE196" si="148">$CE$3</f>
        <v>266.11908070867173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8.8675733422860506E-14</v>
      </c>
      <c r="CV133" s="14">
        <f t="shared" ref="CV133:CV153" si="149">EXP(-1.0587+0.8836*LN(CU133)+0.284)</f>
        <v>1.3509285393066301E-12</v>
      </c>
      <c r="CW133" s="22">
        <f t="shared" si="121"/>
        <v>2.5073107750038623E-12</v>
      </c>
      <c r="CX133" s="60">
        <f t="shared" si="122"/>
        <v>283.91028339343461</v>
      </c>
      <c r="CY133" s="60">
        <f ca="1">AVERAGE(OFFSET($CX$3,0,0,'Données projet'!$E$13+1,1))-AVERAGE(OFFSET($H$3,0,0,'Données projet'!$E$13+1,1))</f>
        <v>312.59632808777332</v>
      </c>
      <c r="CZ133" s="60">
        <f t="shared" ref="CZ133:CZ196" si="150">$CZ$3</f>
        <v>302.59481222418219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1.0818439477588981E-13</v>
      </c>
      <c r="DQ133" s="14">
        <f t="shared" ref="DQ133:DQ153" si="151">EXP(-1.0587+0.8836*LN(DP133)+0.284)</f>
        <v>1.6104228458716316E-12</v>
      </c>
      <c r="DR133" s="22">
        <f t="shared" si="124"/>
        <v>2.9932409441277661E-12</v>
      </c>
      <c r="DS133" s="60">
        <f t="shared" si="125"/>
        <v>283.91028339343512</v>
      </c>
      <c r="DT133" s="60">
        <f ca="1">AVERAGE(OFFSET($DS$3,0,0,'Données projet'!$E$14+1,1))-AVERAGE(OFFSET($H$3,0,0,'Données projet'!$E$14+1,1))</f>
        <v>398.29746143975166</v>
      </c>
      <c r="DU133" s="60">
        <f t="shared" ref="DU133:DU196" si="152">$DU$3</f>
        <v>300.63705521148802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300</v>
      </c>
      <c r="EH133" s="13">
        <f>VLOOKUP(A133,'Données projet'!$A$191:$I$211,9,0)</f>
        <v>3.2</v>
      </c>
      <c r="EI133" s="13">
        <f t="array" ref="EI133">INDEX(EH:EH,MIN(IF(ISNUMBER(EH133:EH329),ROW(EH133:EH329),"")))</f>
        <v>3.2</v>
      </c>
      <c r="EJ133" s="13">
        <f>IF('Données projet'!$A$192&gt;35,EJ132+EI133-ER132,IF(A133&lt;'Données projet'!$A$192,$EG$205^A133,IF(A133='Données projet'!$A$192,'Données projet'!$B$192,EJ132+EI133-ER132)))</f>
        <v>299.99999999999937</v>
      </c>
      <c r="EK133" s="18">
        <f>EJ133*VLOOKUP('Données projet'!$B$15,Paramètres!$A$1:$I$89,3,0)*VLOOKUP('Données projet'!$B$15,Paramètres!$A$1:$I$89,5,0)</f>
        <v>290.1599999999994</v>
      </c>
      <c r="EL133" s="14">
        <f t="shared" ref="EL133:EL153" si="153">EXP(-1.0587+0.8836*LN(EK133)+0.284)</f>
        <v>69.10963471703981</v>
      </c>
      <c r="EM133" s="22">
        <f t="shared" si="127"/>
        <v>625.72794713217661</v>
      </c>
      <c r="EN133" s="60">
        <f t="shared" si="128"/>
        <v>909.63823052560872</v>
      </c>
      <c r="EO133" s="60">
        <f ca="1">AVERAGE(OFFSET($EN$3,0,0,'Données projet'!$E$15+1,1))-AVERAGE(OFFSET($H$3,0,0,'Données projet'!$E$15+1,1))</f>
        <v>496.33873798282525</v>
      </c>
      <c r="EP133" s="60">
        <f t="shared" ref="EP133:EP196" si="154">$EP$3</f>
        <v>280.25465074992246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31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3.4106051316484809E-13</v>
      </c>
      <c r="FF133" s="18">
        <f>FE133*VLOOKUP('Données projet'!$B$16,Paramètres!$A$1:$I$89,3,0)*VLOOKUP('Données projet'!$B$16,Paramètres!$A$1:$I$89,5,0)</f>
        <v>2.9795046430081134E-13</v>
      </c>
      <c r="FG133" s="14">
        <f t="shared" ref="FG133:FG153" si="155">EXP(-1.0587+0.8836*LN(FF133)+0.284)</f>
        <v>3.9419014464513778E-12</v>
      </c>
      <c r="FH133" s="22">
        <f t="shared" si="130"/>
        <v>7.384408744560063E-12</v>
      </c>
      <c r="FI133" s="60">
        <f t="shared" si="131"/>
        <v>283.9102833934395</v>
      </c>
      <c r="FJ133" s="60">
        <f ca="1">AVERAGE(OFFSET($FI$3,0,0,'Données projet'!$E$16+1,1))-AVERAGE(OFFSET($H$3,0,0,'Données projet'!$E$16+1,1))</f>
        <v>363.28611056308665</v>
      </c>
      <c r="FK133" s="60">
        <f t="shared" ref="FK133:FK196" si="156">$FK$3</f>
        <v>389.43647559455974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1.7053025658242404E-13</v>
      </c>
      <c r="GA133" s="18">
        <f>FZ133*VLOOKUP('Données projet'!$B$17,Paramètres!$A$1:$I$89,3,0)*VLOOKUP('Données projet'!$B$17,Paramètres!$A$1:$I$89,5,0)</f>
        <v>1.1439169611549005E-13</v>
      </c>
      <c r="GB133" s="14">
        <f t="shared" ref="GB133:GB153" si="157">EXP(-1.0587+0.8836*LN(GA133)+0.284)</f>
        <v>1.6918016515029816E-12</v>
      </c>
      <c r="GC133" s="22">
        <f t="shared" si="133"/>
        <v>3.1457867471021712E-12</v>
      </c>
      <c r="GD133" s="60">
        <f t="shared" si="134"/>
        <v>283.91028339343524</v>
      </c>
      <c r="GE133" s="60">
        <f ca="1">AVERAGE(OFFSET($GD$3,0,0,'Données projet'!$E$17+1,1))-AVERAGE(OFFSET($H$3,0,0,'Données projet'!$E$17+1,1))</f>
        <v>344.62096650402731</v>
      </c>
      <c r="GF133" s="60">
        <f t="shared" ref="GF133:GF196" si="158">$GF$3</f>
        <v>277.30931495079346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4.5</v>
      </c>
      <c r="N134" s="14">
        <f>IF('Données projet'!$A$36&gt;35,N133+M134-V133,IF(A134&lt;'Données projet'!$A$36,$K$205^A134,IF(A134='Données projet'!$A$36,'Données projet'!$B$36,N133+M134-V133)))</f>
        <v>444.49999999999932</v>
      </c>
      <c r="O134" s="14">
        <f>N134*VLOOKUP('Données projet'!$B$9,Paramètres!$A$1:$I$89,3,0)*VLOOKUP('Données projet'!$B$9,Paramètres!$A$1:$I$89,5,0)</f>
        <v>381.38099999999946</v>
      </c>
      <c r="P134" s="14">
        <f t="shared" si="141"/>
        <v>87.991541131843164</v>
      </c>
      <c r="Q134" s="22">
        <f t="shared" si="108"/>
        <v>817.49050913795918</v>
      </c>
      <c r="R134" s="60">
        <f t="shared" si="109"/>
        <v>1101.5642613810649</v>
      </c>
      <c r="S134" s="60">
        <f ca="1">AVERAGE(OFFSET($R$3,0,0,'Données projet'!$E$9+1,1))-AVERAGE(OFFSET($H$3,0,0,'Données projet'!$E$9+1,1))</f>
        <v>632.26350546340541</v>
      </c>
      <c r="T134" s="60">
        <f t="shared" si="142"/>
        <v>340.45335016367915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2.7134774427395314E-13</v>
      </c>
      <c r="AK134" s="14">
        <f t="shared" si="143"/>
        <v>3.6292411711343559E-12</v>
      </c>
      <c r="AL134" s="22">
        <f t="shared" si="112"/>
        <v>6.7935256943361388E-12</v>
      </c>
      <c r="AM134" s="60">
        <f t="shared" si="113"/>
        <v>284.07375224311255</v>
      </c>
      <c r="AN134" s="60">
        <f ca="1">AVERAGE(OFFSET($AM$3,0,0,'Données projet'!$E$10+1,1))-AVERAGE(OFFSET($H$3,0,0,'Données projet'!$E$10+1,1))</f>
        <v>336.25341821407534</v>
      </c>
      <c r="AO134" s="60">
        <f t="shared" si="144"/>
        <v>360.3246221345039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2.7134774427395314E-13</v>
      </c>
      <c r="BF134" s="14">
        <f t="shared" si="145"/>
        <v>3.6292411711343559E-12</v>
      </c>
      <c r="BG134" s="22">
        <f t="shared" si="115"/>
        <v>6.7935256943361388E-12</v>
      </c>
      <c r="BH134" s="60">
        <f t="shared" si="116"/>
        <v>284.07375224311255</v>
      </c>
      <c r="BI134" s="60">
        <f ca="1">AVERAGE(OFFSET($BH$3,0,0,'Données projet'!$E$11+1,1))-AVERAGE(OFFSET($H$3,0,0,'Données projet'!$E$11+1,1))</f>
        <v>336.25341821407534</v>
      </c>
      <c r="BJ134" s="60">
        <f t="shared" si="146"/>
        <v>360.3246221345039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245.8341599999994</v>
      </c>
      <c r="CA134" s="14">
        <f t="shared" si="147"/>
        <v>59.693018383856675</v>
      </c>
      <c r="CB134" s="22">
        <f t="shared" si="118"/>
        <v>532.12650235188266</v>
      </c>
      <c r="CC134" s="60">
        <f t="shared" si="119"/>
        <v>816.20025459498834</v>
      </c>
      <c r="CD134" s="60">
        <f ca="1">AVERAGE(OFFSET($CC$3,0,0,'Données projet'!$E$12+1,1))-AVERAGE(OFFSET($H$3,0,0,'Données projet'!$E$12+1,1))</f>
        <v>469.67944008675863</v>
      </c>
      <c r="CE134" s="60">
        <f t="shared" si="148"/>
        <v>266.11908070867173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8.8675733422860506E-14</v>
      </c>
      <c r="CV134" s="14">
        <f t="shared" si="149"/>
        <v>1.3509285393066301E-12</v>
      </c>
      <c r="CW134" s="22">
        <f t="shared" si="121"/>
        <v>2.5073107750038623E-12</v>
      </c>
      <c r="CX134" s="60">
        <f t="shared" si="122"/>
        <v>284.07375224310823</v>
      </c>
      <c r="CY134" s="60">
        <f ca="1">AVERAGE(OFFSET($CX$3,0,0,'Données projet'!$E$13+1,1))-AVERAGE(OFFSET($H$3,0,0,'Données projet'!$E$13+1,1))</f>
        <v>312.59632808777332</v>
      </c>
      <c r="CZ134" s="60">
        <f t="shared" si="150"/>
        <v>302.59481222418219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1.0818439477588981E-13</v>
      </c>
      <c r="DQ134" s="14">
        <f t="shared" si="151"/>
        <v>1.6104228458716316E-12</v>
      </c>
      <c r="DR134" s="22">
        <f t="shared" si="124"/>
        <v>2.9932409441277661E-12</v>
      </c>
      <c r="DS134" s="60">
        <f t="shared" si="125"/>
        <v>284.07375224310874</v>
      </c>
      <c r="DT134" s="60">
        <f ca="1">AVERAGE(OFFSET($DS$3,0,0,'Données projet'!$E$14+1,1))-AVERAGE(OFFSET($H$3,0,0,'Données projet'!$E$14+1,1))</f>
        <v>398.29746143975166</v>
      </c>
      <c r="DU134" s="60">
        <f t="shared" si="152"/>
        <v>300.63705521148802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2.7</v>
      </c>
      <c r="EJ134" s="13">
        <f>IF('Données projet'!$A$192&gt;35,EJ133+EI134-ER133,IF(A134&lt;'Données projet'!$A$192,$EG$205^A134,IF(A134='Données projet'!$A$192,'Données projet'!$B$192,EJ133+EI134-ER133)))</f>
        <v>271.69999999999936</v>
      </c>
      <c r="EK134" s="18">
        <f>EJ134*VLOOKUP('Données projet'!$B$15,Paramètres!$A$1:$I$89,3,0)*VLOOKUP('Données projet'!$B$15,Paramètres!$A$1:$I$89,5,0)</f>
        <v>262.7882399999994</v>
      </c>
      <c r="EL134" s="14">
        <f t="shared" si="153"/>
        <v>63.316348571334714</v>
      </c>
      <c r="EM134" s="22">
        <f t="shared" si="127"/>
        <v>567.96549176174028</v>
      </c>
      <c r="EN134" s="60">
        <f t="shared" si="128"/>
        <v>852.03924400484607</v>
      </c>
      <c r="EO134" s="60">
        <f ca="1">AVERAGE(OFFSET($EN$3,0,0,'Données projet'!$E$15+1,1))-AVERAGE(OFFSET($H$3,0,0,'Données projet'!$E$15+1,1))</f>
        <v>496.33873798282525</v>
      </c>
      <c r="EP134" s="60">
        <f t="shared" si="154"/>
        <v>280.25465074992246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3.4106051316484809E-13</v>
      </c>
      <c r="FF134" s="18">
        <f>FE134*VLOOKUP('Données projet'!$B$16,Paramètres!$A$1:$I$89,3,0)*VLOOKUP('Données projet'!$B$16,Paramètres!$A$1:$I$89,5,0)</f>
        <v>2.9795046430081134E-13</v>
      </c>
      <c r="FG134" s="14">
        <f t="shared" si="155"/>
        <v>3.9419014464513778E-12</v>
      </c>
      <c r="FH134" s="22">
        <f t="shared" si="130"/>
        <v>7.384408744560063E-12</v>
      </c>
      <c r="FI134" s="60">
        <f t="shared" si="131"/>
        <v>284.07375224311312</v>
      </c>
      <c r="FJ134" s="60">
        <f ca="1">AVERAGE(OFFSET($FI$3,0,0,'Données projet'!$E$16+1,1))-AVERAGE(OFFSET($H$3,0,0,'Données projet'!$E$16+1,1))</f>
        <v>363.28611056308665</v>
      </c>
      <c r="FK134" s="60">
        <f t="shared" si="156"/>
        <v>389.43647559455974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1.7053025658242404E-13</v>
      </c>
      <c r="GA134" s="18">
        <f>FZ134*VLOOKUP('Données projet'!$B$17,Paramètres!$A$1:$I$89,3,0)*VLOOKUP('Données projet'!$B$17,Paramètres!$A$1:$I$89,5,0)</f>
        <v>1.1439169611549005E-13</v>
      </c>
      <c r="GB134" s="14">
        <f t="shared" si="157"/>
        <v>1.6918016515029816E-12</v>
      </c>
      <c r="GC134" s="22">
        <f t="shared" si="133"/>
        <v>3.1457867471021712E-12</v>
      </c>
      <c r="GD134" s="60">
        <f t="shared" si="134"/>
        <v>284.07375224310886</v>
      </c>
      <c r="GE134" s="60">
        <f ca="1">AVERAGE(OFFSET($GD$3,0,0,'Données projet'!$E$17+1,1))-AVERAGE(OFFSET($H$3,0,0,'Données projet'!$E$17+1,1))</f>
        <v>344.62096650402731</v>
      </c>
      <c r="GF134" s="60">
        <f t="shared" si="158"/>
        <v>277.30931495079346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4.5</v>
      </c>
      <c r="N135" s="14">
        <f>IF('Données projet'!$A$36&gt;35,N134+M135-V134,IF(A135&lt;'Données projet'!$A$36,$K$205^A135,IF(A135='Données projet'!$A$36,'Données projet'!$B$36,N134+M135-V134)))</f>
        <v>448.99999999999932</v>
      </c>
      <c r="O135" s="14">
        <f>N135*VLOOKUP('Données projet'!$B$9,Paramètres!$A$1:$I$89,3,0)*VLOOKUP('Données projet'!$B$9,Paramètres!$A$1:$I$89,5,0)</f>
        <v>385.24199999999945</v>
      </c>
      <c r="P135" s="14">
        <f t="shared" si="141"/>
        <v>88.778192635344823</v>
      </c>
      <c r="Q135" s="22">
        <f t="shared" si="108"/>
        <v>825.58516883989125</v>
      </c>
      <c r="R135" s="60">
        <f t="shared" si="109"/>
        <v>1109.8195541135904</v>
      </c>
      <c r="S135" s="60">
        <f ca="1">AVERAGE(OFFSET($R$3,0,0,'Données projet'!$E$9+1,1))-AVERAGE(OFFSET($H$3,0,0,'Données projet'!$E$9+1,1))</f>
        <v>632.26350546340541</v>
      </c>
      <c r="T135" s="60">
        <f t="shared" si="142"/>
        <v>340.45335016367915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2.7134774427395314E-13</v>
      </c>
      <c r="AK135" s="14">
        <f t="shared" si="143"/>
        <v>3.6292411711343559E-12</v>
      </c>
      <c r="AL135" s="22">
        <f t="shared" si="112"/>
        <v>6.7935256943361388E-12</v>
      </c>
      <c r="AM135" s="60">
        <f t="shared" si="113"/>
        <v>284.23438527370598</v>
      </c>
      <c r="AN135" s="60">
        <f ca="1">AVERAGE(OFFSET($AM$3,0,0,'Données projet'!$E$10+1,1))-AVERAGE(OFFSET($H$3,0,0,'Données projet'!$E$10+1,1))</f>
        <v>336.25341821407534</v>
      </c>
      <c r="AO135" s="60">
        <f t="shared" si="144"/>
        <v>360.3246221345039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2.7134774427395314E-13</v>
      </c>
      <c r="BF135" s="14">
        <f t="shared" si="145"/>
        <v>3.6292411711343559E-12</v>
      </c>
      <c r="BG135" s="22">
        <f t="shared" si="115"/>
        <v>6.7935256943361388E-12</v>
      </c>
      <c r="BH135" s="60">
        <f t="shared" si="116"/>
        <v>284.23438527370598</v>
      </c>
      <c r="BI135" s="60">
        <f ca="1">AVERAGE(OFFSET($BH$3,0,0,'Données projet'!$E$11+1,1))-AVERAGE(OFFSET($H$3,0,0,'Données projet'!$E$11+1,1))</f>
        <v>336.25341821407534</v>
      </c>
      <c r="BJ135" s="60">
        <f t="shared" si="146"/>
        <v>360.3246221345039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248.2771199999994</v>
      </c>
      <c r="CA135" s="14">
        <f t="shared" si="147"/>
        <v>60.216863677580257</v>
      </c>
      <c r="CB135" s="22">
        <f t="shared" si="118"/>
        <v>537.29368823845118</v>
      </c>
      <c r="CC135" s="60">
        <f t="shared" si="119"/>
        <v>821.52807351215029</v>
      </c>
      <c r="CD135" s="60">
        <f ca="1">AVERAGE(OFFSET($CC$3,0,0,'Données projet'!$E$12+1,1))-AVERAGE(OFFSET($H$3,0,0,'Données projet'!$E$12+1,1))</f>
        <v>469.67944008675863</v>
      </c>
      <c r="CE135" s="60">
        <f t="shared" si="148"/>
        <v>266.11908070867173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8.8675733422860506E-14</v>
      </c>
      <c r="CV135" s="14">
        <f t="shared" si="149"/>
        <v>1.3509285393066301E-12</v>
      </c>
      <c r="CW135" s="22">
        <f t="shared" si="121"/>
        <v>2.5073107750038623E-12</v>
      </c>
      <c r="CX135" s="60">
        <f t="shared" si="122"/>
        <v>284.23438527370166</v>
      </c>
      <c r="CY135" s="60">
        <f ca="1">AVERAGE(OFFSET($CX$3,0,0,'Données projet'!$E$13+1,1))-AVERAGE(OFFSET($H$3,0,0,'Données projet'!$E$13+1,1))</f>
        <v>312.59632808777332</v>
      </c>
      <c r="CZ135" s="60">
        <f t="shared" si="150"/>
        <v>302.59481222418219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1.0818439477588981E-13</v>
      </c>
      <c r="DQ135" s="14">
        <f t="shared" si="151"/>
        <v>1.6104228458716316E-12</v>
      </c>
      <c r="DR135" s="22">
        <f t="shared" si="124"/>
        <v>2.9932409441277661E-12</v>
      </c>
      <c r="DS135" s="60">
        <f t="shared" si="125"/>
        <v>284.23438527370217</v>
      </c>
      <c r="DT135" s="60">
        <f ca="1">AVERAGE(OFFSET($DS$3,0,0,'Données projet'!$E$14+1,1))-AVERAGE(OFFSET($H$3,0,0,'Données projet'!$E$14+1,1))</f>
        <v>398.29746143975166</v>
      </c>
      <c r="DU135" s="60">
        <f t="shared" si="152"/>
        <v>300.63705521148802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2.7</v>
      </c>
      <c r="EJ135" s="13">
        <f>IF('Données projet'!$A$192&gt;35,EJ134+EI135-ER134,IF(A135&lt;'Données projet'!$A$192,$EG$205^A135,IF(A135='Données projet'!$A$192,'Données projet'!$B$192,EJ134+EI135-ER134)))</f>
        <v>274.39999999999935</v>
      </c>
      <c r="EK135" s="18">
        <f>EJ135*VLOOKUP('Données projet'!$B$15,Paramètres!$A$1:$I$89,3,0)*VLOOKUP('Données projet'!$B$15,Paramètres!$A$1:$I$89,5,0)</f>
        <v>265.39967999999936</v>
      </c>
      <c r="EL135" s="14">
        <f t="shared" si="153"/>
        <v>63.87199095821434</v>
      </c>
      <c r="EM135" s="22">
        <f t="shared" si="127"/>
        <v>573.48149358555554</v>
      </c>
      <c r="EN135" s="60">
        <f t="shared" si="128"/>
        <v>857.71587885925464</v>
      </c>
      <c r="EO135" s="60">
        <f ca="1">AVERAGE(OFFSET($EN$3,0,0,'Données projet'!$E$15+1,1))-AVERAGE(OFFSET($H$3,0,0,'Données projet'!$E$15+1,1))</f>
        <v>496.33873798282525</v>
      </c>
      <c r="EP135" s="60">
        <f t="shared" si="154"/>
        <v>280.25465074992246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3.4106051316484809E-13</v>
      </c>
      <c r="FF135" s="18">
        <f>FE135*VLOOKUP('Données projet'!$B$16,Paramètres!$A$1:$I$89,3,0)*VLOOKUP('Données projet'!$B$16,Paramètres!$A$1:$I$89,5,0)</f>
        <v>2.9795046430081134E-13</v>
      </c>
      <c r="FG135" s="14">
        <f t="shared" si="155"/>
        <v>3.9419014464513778E-12</v>
      </c>
      <c r="FH135" s="22">
        <f t="shared" si="130"/>
        <v>7.384408744560063E-12</v>
      </c>
      <c r="FI135" s="60">
        <f t="shared" si="131"/>
        <v>284.23438527370655</v>
      </c>
      <c r="FJ135" s="60">
        <f ca="1">AVERAGE(OFFSET($FI$3,0,0,'Données projet'!$E$16+1,1))-AVERAGE(OFFSET($H$3,0,0,'Données projet'!$E$16+1,1))</f>
        <v>363.28611056308665</v>
      </c>
      <c r="FK135" s="60">
        <f t="shared" si="156"/>
        <v>389.43647559455974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1.7053025658242404E-13</v>
      </c>
      <c r="GA135" s="18">
        <f>FZ135*VLOOKUP('Données projet'!$B$17,Paramètres!$A$1:$I$89,3,0)*VLOOKUP('Données projet'!$B$17,Paramètres!$A$1:$I$89,5,0)</f>
        <v>1.1439169611549005E-13</v>
      </c>
      <c r="GB135" s="14">
        <f t="shared" si="157"/>
        <v>1.6918016515029816E-12</v>
      </c>
      <c r="GC135" s="22">
        <f t="shared" si="133"/>
        <v>3.1457867471021712E-12</v>
      </c>
      <c r="GD135" s="60">
        <f t="shared" si="134"/>
        <v>284.23438527370229</v>
      </c>
      <c r="GE135" s="60">
        <f ca="1">AVERAGE(OFFSET($GD$3,0,0,'Données projet'!$E$17+1,1))-AVERAGE(OFFSET($H$3,0,0,'Données projet'!$E$17+1,1))</f>
        <v>344.62096650402731</v>
      </c>
      <c r="GF135" s="60">
        <f t="shared" si="158"/>
        <v>277.30931495079346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4.5</v>
      </c>
      <c r="N136" s="14">
        <f>IF('Données projet'!$A$36&gt;35,N135+M136-V135,IF(A136&lt;'Données projet'!$A$36,$K$205^A136,IF(A136='Données projet'!$A$36,'Données projet'!$B$36,N135+M136-V135)))</f>
        <v>453.49999999999932</v>
      </c>
      <c r="O136" s="14">
        <f>N136*VLOOKUP('Données projet'!$B$9,Paramètres!$A$1:$I$89,3,0)*VLOOKUP('Données projet'!$B$9,Paramètres!$A$1:$I$89,5,0)</f>
        <v>389.10299999999944</v>
      </c>
      <c r="P136" s="14">
        <f t="shared" si="141"/>
        <v>89.563926956004039</v>
      </c>
      <c r="Q136" s="22">
        <f t="shared" si="108"/>
        <v>833.67823111503947</v>
      </c>
      <c r="R136" s="60">
        <f t="shared" si="109"/>
        <v>1118.0704627953728</v>
      </c>
      <c r="S136" s="60">
        <f ca="1">AVERAGE(OFFSET($R$3,0,0,'Données projet'!$E$9+1,1))-AVERAGE(OFFSET($H$3,0,0,'Données projet'!$E$9+1,1))</f>
        <v>632.26350546340541</v>
      </c>
      <c r="T136" s="60">
        <f t="shared" si="142"/>
        <v>340.45335016367915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2.7134774427395314E-13</v>
      </c>
      <c r="AK136" s="14">
        <f t="shared" si="143"/>
        <v>3.6292411711343559E-12</v>
      </c>
      <c r="AL136" s="22">
        <f t="shared" si="112"/>
        <v>6.7935256943361388E-12</v>
      </c>
      <c r="AM136" s="60">
        <f t="shared" si="113"/>
        <v>284.39223168034022</v>
      </c>
      <c r="AN136" s="60">
        <f ca="1">AVERAGE(OFFSET($AM$3,0,0,'Données projet'!$E$10+1,1))-AVERAGE(OFFSET($H$3,0,0,'Données projet'!$E$10+1,1))</f>
        <v>336.25341821407534</v>
      </c>
      <c r="AO136" s="60">
        <f t="shared" si="144"/>
        <v>360.3246221345039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2.7134774427395314E-13</v>
      </c>
      <c r="BF136" s="14">
        <f t="shared" si="145"/>
        <v>3.6292411711343559E-12</v>
      </c>
      <c r="BG136" s="22">
        <f t="shared" si="115"/>
        <v>6.7935256943361388E-12</v>
      </c>
      <c r="BH136" s="60">
        <f t="shared" si="116"/>
        <v>284.39223168034022</v>
      </c>
      <c r="BI136" s="60">
        <f ca="1">AVERAGE(OFFSET($BH$3,0,0,'Données projet'!$E$11+1,1))-AVERAGE(OFFSET($H$3,0,0,'Données projet'!$E$11+1,1))</f>
        <v>336.25341821407534</v>
      </c>
      <c r="BJ136" s="60">
        <f t="shared" si="146"/>
        <v>360.3246221345039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250.72007999999943</v>
      </c>
      <c r="CA136" s="14">
        <f t="shared" si="147"/>
        <v>60.740109326032709</v>
      </c>
      <c r="CB136" s="22">
        <f t="shared" si="118"/>
        <v>542.45982974283925</v>
      </c>
      <c r="CC136" s="60">
        <f t="shared" si="119"/>
        <v>826.8520614231727</v>
      </c>
      <c r="CD136" s="60">
        <f ca="1">AVERAGE(OFFSET($CC$3,0,0,'Données projet'!$E$12+1,1))-AVERAGE(OFFSET($H$3,0,0,'Données projet'!$E$12+1,1))</f>
        <v>469.67944008675863</v>
      </c>
      <c r="CE136" s="60">
        <f t="shared" si="148"/>
        <v>266.11908070867173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8.8675733422860506E-14</v>
      </c>
      <c r="CV136" s="14">
        <f t="shared" si="149"/>
        <v>1.3509285393066301E-12</v>
      </c>
      <c r="CW136" s="22">
        <f t="shared" si="121"/>
        <v>2.5073107750038623E-12</v>
      </c>
      <c r="CX136" s="60">
        <f t="shared" si="122"/>
        <v>284.3922316803359</v>
      </c>
      <c r="CY136" s="60">
        <f ca="1">AVERAGE(OFFSET($CX$3,0,0,'Données projet'!$E$13+1,1))-AVERAGE(OFFSET($H$3,0,0,'Données projet'!$E$13+1,1))</f>
        <v>312.59632808777332</v>
      </c>
      <c r="CZ136" s="60">
        <f t="shared" si="150"/>
        <v>302.59481222418219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1.0818439477588981E-13</v>
      </c>
      <c r="DQ136" s="14">
        <f t="shared" si="151"/>
        <v>1.6104228458716316E-12</v>
      </c>
      <c r="DR136" s="22">
        <f t="shared" si="124"/>
        <v>2.9932409441277661E-12</v>
      </c>
      <c r="DS136" s="60">
        <f t="shared" si="125"/>
        <v>284.39223168033641</v>
      </c>
      <c r="DT136" s="60">
        <f ca="1">AVERAGE(OFFSET($DS$3,0,0,'Données projet'!$E$14+1,1))-AVERAGE(OFFSET($H$3,0,0,'Données projet'!$E$14+1,1))</f>
        <v>398.29746143975166</v>
      </c>
      <c r="DU136" s="60">
        <f t="shared" si="152"/>
        <v>300.63705521148802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2.7</v>
      </c>
      <c r="EJ136" s="13">
        <f>IF('Données projet'!$A$192&gt;35,EJ135+EI136-ER135,IF(A136&lt;'Données projet'!$A$192,$EG$205^A136,IF(A136='Données projet'!$A$192,'Données projet'!$B$192,EJ135+EI136-ER135)))</f>
        <v>277.09999999999934</v>
      </c>
      <c r="EK136" s="18">
        <f>EJ136*VLOOKUP('Données projet'!$B$15,Paramètres!$A$1:$I$89,3,0)*VLOOKUP('Données projet'!$B$15,Paramètres!$A$1:$I$89,5,0)</f>
        <v>268.01111999999938</v>
      </c>
      <c r="EL136" s="14">
        <f t="shared" si="153"/>
        <v>64.426997301716739</v>
      </c>
      <c r="EM136" s="22">
        <f t="shared" si="127"/>
        <v>578.99638763382234</v>
      </c>
      <c r="EN136" s="60">
        <f t="shared" si="128"/>
        <v>863.38861931415568</v>
      </c>
      <c r="EO136" s="60">
        <f ca="1">AVERAGE(OFFSET($EN$3,0,0,'Données projet'!$E$15+1,1))-AVERAGE(OFFSET($H$3,0,0,'Données projet'!$E$15+1,1))</f>
        <v>496.33873798282525</v>
      </c>
      <c r="EP136" s="60">
        <f t="shared" si="154"/>
        <v>280.25465074992246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3.4106051316484809E-13</v>
      </c>
      <c r="FF136" s="18">
        <f>FE136*VLOOKUP('Données projet'!$B$16,Paramètres!$A$1:$I$89,3,0)*VLOOKUP('Données projet'!$B$16,Paramètres!$A$1:$I$89,5,0)</f>
        <v>2.9795046430081134E-13</v>
      </c>
      <c r="FG136" s="14">
        <f t="shared" si="155"/>
        <v>3.9419014464513778E-12</v>
      </c>
      <c r="FH136" s="22">
        <f t="shared" si="130"/>
        <v>7.384408744560063E-12</v>
      </c>
      <c r="FI136" s="60">
        <f t="shared" si="131"/>
        <v>284.39223168034079</v>
      </c>
      <c r="FJ136" s="60">
        <f ca="1">AVERAGE(OFFSET($FI$3,0,0,'Données projet'!$E$16+1,1))-AVERAGE(OFFSET($H$3,0,0,'Données projet'!$E$16+1,1))</f>
        <v>363.28611056308665</v>
      </c>
      <c r="FK136" s="60">
        <f t="shared" si="156"/>
        <v>389.43647559455974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1.7053025658242404E-13</v>
      </c>
      <c r="GA136" s="18">
        <f>FZ136*VLOOKUP('Données projet'!$B$17,Paramètres!$A$1:$I$89,3,0)*VLOOKUP('Données projet'!$B$17,Paramètres!$A$1:$I$89,5,0)</f>
        <v>1.1439169611549005E-13</v>
      </c>
      <c r="GB136" s="14">
        <f t="shared" si="157"/>
        <v>1.6918016515029816E-12</v>
      </c>
      <c r="GC136" s="22">
        <f t="shared" si="133"/>
        <v>3.1457867471021712E-12</v>
      </c>
      <c r="GD136" s="60">
        <f t="shared" si="134"/>
        <v>284.39223168033652</v>
      </c>
      <c r="GE136" s="60">
        <f ca="1">AVERAGE(OFFSET($GD$3,0,0,'Données projet'!$E$17+1,1))-AVERAGE(OFFSET($H$3,0,0,'Données projet'!$E$17+1,1))</f>
        <v>344.62096650402731</v>
      </c>
      <c r="GF136" s="60">
        <f t="shared" si="158"/>
        <v>277.30931495079346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4.5</v>
      </c>
      <c r="N137" s="14">
        <f>IF('Données projet'!$A$36&gt;35,N136+M137-V136,IF(A137&lt;'Données projet'!$A$36,$K$205^A137,IF(A137='Données projet'!$A$36,'Données projet'!$B$36,N136+M137-V136)))</f>
        <v>457.99999999999932</v>
      </c>
      <c r="O137" s="14">
        <f>N137*VLOOKUP('Données projet'!$B$9,Paramètres!$A$1:$I$89,3,0)*VLOOKUP('Données projet'!$B$9,Paramètres!$A$1:$I$89,5,0)</f>
        <v>392.96399999999943</v>
      </c>
      <c r="P137" s="14">
        <f t="shared" si="141"/>
        <v>90.34875424869395</v>
      </c>
      <c r="Q137" s="22">
        <f t="shared" si="108"/>
        <v>841.76971364980761</v>
      </c>
      <c r="R137" s="60">
        <f t="shared" si="109"/>
        <v>1126.317053454512</v>
      </c>
      <c r="S137" s="60">
        <f ca="1">AVERAGE(OFFSET($R$3,0,0,'Données projet'!$E$9+1,1))-AVERAGE(OFFSET($H$3,0,0,'Données projet'!$E$9+1,1))</f>
        <v>632.26350546340541</v>
      </c>
      <c r="T137" s="60">
        <f t="shared" si="142"/>
        <v>340.45335016367915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2.7134774427395314E-13</v>
      </c>
      <c r="AK137" s="14">
        <f t="shared" si="143"/>
        <v>3.6292411711343559E-12</v>
      </c>
      <c r="AL137" s="22">
        <f t="shared" si="112"/>
        <v>6.7935256943361388E-12</v>
      </c>
      <c r="AM137" s="60">
        <f t="shared" si="113"/>
        <v>284.5473398047111</v>
      </c>
      <c r="AN137" s="60">
        <f ca="1">AVERAGE(OFFSET($AM$3,0,0,'Données projet'!$E$10+1,1))-AVERAGE(OFFSET($H$3,0,0,'Données projet'!$E$10+1,1))</f>
        <v>336.25341821407534</v>
      </c>
      <c r="AO137" s="60">
        <f t="shared" si="144"/>
        <v>360.3246221345039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2.7134774427395314E-13</v>
      </c>
      <c r="BF137" s="14">
        <f t="shared" si="145"/>
        <v>3.6292411711343559E-12</v>
      </c>
      <c r="BG137" s="22">
        <f t="shared" si="115"/>
        <v>6.7935256943361388E-12</v>
      </c>
      <c r="BH137" s="60">
        <f t="shared" si="116"/>
        <v>284.5473398047111</v>
      </c>
      <c r="BI137" s="60">
        <f ca="1">AVERAGE(OFFSET($BH$3,0,0,'Données projet'!$E$11+1,1))-AVERAGE(OFFSET($H$3,0,0,'Données projet'!$E$11+1,1))</f>
        <v>336.25341821407534</v>
      </c>
      <c r="BJ137" s="60">
        <f t="shared" si="146"/>
        <v>360.3246221345039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253.16303999999937</v>
      </c>
      <c r="CA137" s="14">
        <f t="shared" si="147"/>
        <v>61.262761848634923</v>
      </c>
      <c r="CB137" s="22">
        <f t="shared" si="118"/>
        <v>547.62493821970475</v>
      </c>
      <c r="CC137" s="60">
        <f t="shared" si="119"/>
        <v>832.17227802440902</v>
      </c>
      <c r="CD137" s="60">
        <f ca="1">AVERAGE(OFFSET($CC$3,0,0,'Données projet'!$E$12+1,1))-AVERAGE(OFFSET($H$3,0,0,'Données projet'!$E$12+1,1))</f>
        <v>469.67944008675863</v>
      </c>
      <c r="CE137" s="60">
        <f t="shared" si="148"/>
        <v>266.11908070867173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8.8675733422860506E-14</v>
      </c>
      <c r="CV137" s="14">
        <f t="shared" si="149"/>
        <v>1.3509285393066301E-12</v>
      </c>
      <c r="CW137" s="22">
        <f t="shared" si="121"/>
        <v>2.5073107750038623E-12</v>
      </c>
      <c r="CX137" s="60">
        <f t="shared" si="122"/>
        <v>284.54733980470678</v>
      </c>
      <c r="CY137" s="60">
        <f ca="1">AVERAGE(OFFSET($CX$3,0,0,'Données projet'!$E$13+1,1))-AVERAGE(OFFSET($H$3,0,0,'Données projet'!$E$13+1,1))</f>
        <v>312.59632808777332</v>
      </c>
      <c r="CZ137" s="60">
        <f t="shared" si="150"/>
        <v>302.59481222418219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1.0818439477588981E-13</v>
      </c>
      <c r="DQ137" s="14">
        <f t="shared" si="151"/>
        <v>1.6104228458716316E-12</v>
      </c>
      <c r="DR137" s="22">
        <f t="shared" si="124"/>
        <v>2.9932409441277661E-12</v>
      </c>
      <c r="DS137" s="60">
        <f t="shared" si="125"/>
        <v>284.54733980470729</v>
      </c>
      <c r="DT137" s="60">
        <f ca="1">AVERAGE(OFFSET($DS$3,0,0,'Données projet'!$E$14+1,1))-AVERAGE(OFFSET($H$3,0,0,'Données projet'!$E$14+1,1))</f>
        <v>398.29746143975166</v>
      </c>
      <c r="DU137" s="60">
        <f t="shared" si="152"/>
        <v>300.63705521148802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2.7</v>
      </c>
      <c r="EJ137" s="13">
        <f>IF('Données projet'!$A$192&gt;35,EJ136+EI137-ER136,IF(A137&lt;'Données projet'!$A$192,$EG$205^A137,IF(A137='Données projet'!$A$192,'Données projet'!$B$192,EJ136+EI137-ER136)))</f>
        <v>279.79999999999933</v>
      </c>
      <c r="EK137" s="18">
        <f>EJ137*VLOOKUP('Données projet'!$B$15,Paramètres!$A$1:$I$89,3,0)*VLOOKUP('Données projet'!$B$15,Paramètres!$A$1:$I$89,5,0)</f>
        <v>270.62255999999934</v>
      </c>
      <c r="EL137" s="14">
        <f t="shared" si="153"/>
        <v>64.981374516987898</v>
      </c>
      <c r="EM137" s="22">
        <f t="shared" si="127"/>
        <v>584.51018595041944</v>
      </c>
      <c r="EN137" s="60">
        <f t="shared" si="128"/>
        <v>869.05752575512372</v>
      </c>
      <c r="EO137" s="60">
        <f ca="1">AVERAGE(OFFSET($EN$3,0,0,'Données projet'!$E$15+1,1))-AVERAGE(OFFSET($H$3,0,0,'Données projet'!$E$15+1,1))</f>
        <v>496.33873798282525</v>
      </c>
      <c r="EP137" s="60">
        <f t="shared" si="154"/>
        <v>280.25465074992246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3.4106051316484809E-13</v>
      </c>
      <c r="FF137" s="18">
        <f>FE137*VLOOKUP('Données projet'!$B$16,Paramètres!$A$1:$I$89,3,0)*VLOOKUP('Données projet'!$B$16,Paramètres!$A$1:$I$89,5,0)</f>
        <v>2.9795046430081134E-13</v>
      </c>
      <c r="FG137" s="14">
        <f t="shared" si="155"/>
        <v>3.9419014464513778E-12</v>
      </c>
      <c r="FH137" s="22">
        <f t="shared" si="130"/>
        <v>7.384408744560063E-12</v>
      </c>
      <c r="FI137" s="60">
        <f t="shared" si="131"/>
        <v>284.54733980471167</v>
      </c>
      <c r="FJ137" s="60">
        <f ca="1">AVERAGE(OFFSET($FI$3,0,0,'Données projet'!$E$16+1,1))-AVERAGE(OFFSET($H$3,0,0,'Données projet'!$E$16+1,1))</f>
        <v>363.28611056308665</v>
      </c>
      <c r="FK137" s="60">
        <f t="shared" si="156"/>
        <v>389.43647559455974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1.7053025658242404E-13</v>
      </c>
      <c r="GA137" s="18">
        <f>FZ137*VLOOKUP('Données projet'!$B$17,Paramètres!$A$1:$I$89,3,0)*VLOOKUP('Données projet'!$B$17,Paramètres!$A$1:$I$89,5,0)</f>
        <v>1.1439169611549005E-13</v>
      </c>
      <c r="GB137" s="14">
        <f t="shared" si="157"/>
        <v>1.6918016515029816E-12</v>
      </c>
      <c r="GC137" s="22">
        <f t="shared" si="133"/>
        <v>3.1457867471021712E-12</v>
      </c>
      <c r="GD137" s="60">
        <f t="shared" si="134"/>
        <v>284.54733980470741</v>
      </c>
      <c r="GE137" s="60">
        <f ca="1">AVERAGE(OFFSET($GD$3,0,0,'Données projet'!$E$17+1,1))-AVERAGE(OFFSET($H$3,0,0,'Données projet'!$E$17+1,1))</f>
        <v>344.62096650402731</v>
      </c>
      <c r="GF137" s="60">
        <f t="shared" si="158"/>
        <v>277.30931495079346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4.5</v>
      </c>
      <c r="N138" s="14">
        <f>IF('Données projet'!$A$36&gt;35,N137+M138-V137,IF(A138&lt;'Données projet'!$A$36,$K$205^A138,IF(A138='Données projet'!$A$36,'Données projet'!$B$36,N137+M138-V137)))</f>
        <v>462.49999999999932</v>
      </c>
      <c r="O138" s="14">
        <f>N138*VLOOKUP('Données projet'!$B$9,Paramètres!$A$1:$I$89,3,0)*VLOOKUP('Données projet'!$B$9,Paramètres!$A$1:$I$89,5,0)</f>
        <v>396.82499999999948</v>
      </c>
      <c r="P138" s="14">
        <f t="shared" si="141"/>
        <v>91.132684457234802</v>
      </c>
      <c r="Q138" s="22">
        <f t="shared" si="108"/>
        <v>849.85963376301618</v>
      </c>
      <c r="R138" s="60">
        <f t="shared" si="109"/>
        <v>1134.5593909129034</v>
      </c>
      <c r="S138" s="60">
        <f ca="1">AVERAGE(OFFSET($R$3,0,0,'Données projet'!$E$9+1,1))-AVERAGE(OFFSET($H$3,0,0,'Données projet'!$E$9+1,1))</f>
        <v>632.26350546340541</v>
      </c>
      <c r="T138" s="60">
        <f t="shared" si="142"/>
        <v>340.45335016367915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2.7134774427395314E-13</v>
      </c>
      <c r="AK138" s="14">
        <f t="shared" si="143"/>
        <v>3.6292411711343559E-12</v>
      </c>
      <c r="AL138" s="22">
        <f t="shared" si="112"/>
        <v>6.7935256943361388E-12</v>
      </c>
      <c r="AM138" s="60">
        <f t="shared" si="113"/>
        <v>284.69975714989397</v>
      </c>
      <c r="AN138" s="60">
        <f ca="1">AVERAGE(OFFSET($AM$3,0,0,'Données projet'!$E$10+1,1))-AVERAGE(OFFSET($H$3,0,0,'Données projet'!$E$10+1,1))</f>
        <v>336.25341821407534</v>
      </c>
      <c r="AO138" s="60">
        <f t="shared" si="144"/>
        <v>360.3246221345039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2.7134774427395314E-13</v>
      </c>
      <c r="BF138" s="14">
        <f t="shared" si="145"/>
        <v>3.6292411711343559E-12</v>
      </c>
      <c r="BG138" s="22">
        <f t="shared" si="115"/>
        <v>6.7935256943361388E-12</v>
      </c>
      <c r="BH138" s="60">
        <f t="shared" si="116"/>
        <v>284.69975714989397</v>
      </c>
      <c r="BI138" s="60">
        <f ca="1">AVERAGE(OFFSET($BH$3,0,0,'Données projet'!$E$11+1,1))-AVERAGE(OFFSET($H$3,0,0,'Données projet'!$E$11+1,1))</f>
        <v>336.25341821407534</v>
      </c>
      <c r="BJ138" s="60">
        <f t="shared" si="146"/>
        <v>360.3246221345039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255.60599999999937</v>
      </c>
      <c r="CA138" s="14">
        <f t="shared" si="147"/>
        <v>61.784827631732192</v>
      </c>
      <c r="CB138" s="22">
        <f t="shared" si="118"/>
        <v>552.78902479193243</v>
      </c>
      <c r="CC138" s="60">
        <f t="shared" si="119"/>
        <v>837.48878194181952</v>
      </c>
      <c r="CD138" s="60">
        <f ca="1">AVERAGE(OFFSET($CC$3,0,0,'Données projet'!$E$12+1,1))-AVERAGE(OFFSET($H$3,0,0,'Données projet'!$E$12+1,1))</f>
        <v>469.67944008675863</v>
      </c>
      <c r="CE138" s="60">
        <f t="shared" si="148"/>
        <v>266.11908070867173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8.8675733422860506E-14</v>
      </c>
      <c r="CV138" s="14">
        <f t="shared" si="149"/>
        <v>1.3509285393066301E-12</v>
      </c>
      <c r="CW138" s="22">
        <f t="shared" si="121"/>
        <v>2.5073107750038623E-12</v>
      </c>
      <c r="CX138" s="60">
        <f t="shared" si="122"/>
        <v>284.69975714988965</v>
      </c>
      <c r="CY138" s="60">
        <f ca="1">AVERAGE(OFFSET($CX$3,0,0,'Données projet'!$E$13+1,1))-AVERAGE(OFFSET($H$3,0,0,'Données projet'!$E$13+1,1))</f>
        <v>312.59632808777332</v>
      </c>
      <c r="CZ138" s="60">
        <f t="shared" si="150"/>
        <v>302.59481222418219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1.0818439477588981E-13</v>
      </c>
      <c r="DQ138" s="14">
        <f t="shared" si="151"/>
        <v>1.6104228458716316E-12</v>
      </c>
      <c r="DR138" s="22">
        <f t="shared" si="124"/>
        <v>2.9932409441277661E-12</v>
      </c>
      <c r="DS138" s="60">
        <f t="shared" si="125"/>
        <v>284.69975714989016</v>
      </c>
      <c r="DT138" s="60">
        <f ca="1">AVERAGE(OFFSET($DS$3,0,0,'Données projet'!$E$14+1,1))-AVERAGE(OFFSET($H$3,0,0,'Données projet'!$E$14+1,1))</f>
        <v>398.29746143975166</v>
      </c>
      <c r="DU138" s="60">
        <f t="shared" si="152"/>
        <v>300.63705521148802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2.7</v>
      </c>
      <c r="EJ138" s="13">
        <f>IF('Données projet'!$A$192&gt;35,EJ137+EI138-ER137,IF(A138&lt;'Données projet'!$A$192,$EG$205^A138,IF(A138='Données projet'!$A$192,'Données projet'!$B$192,EJ137+EI138-ER137)))</f>
        <v>282.49999999999932</v>
      </c>
      <c r="EK138" s="18">
        <f>EJ138*VLOOKUP('Données projet'!$B$15,Paramètres!$A$1:$I$89,3,0)*VLOOKUP('Données projet'!$B$15,Paramètres!$A$1:$I$89,5,0)</f>
        <v>273.23399999999936</v>
      </c>
      <c r="EL138" s="14">
        <f t="shared" si="153"/>
        <v>65.535129378020301</v>
      </c>
      <c r="EM138" s="22">
        <f t="shared" si="127"/>
        <v>590.0229003333842</v>
      </c>
      <c r="EN138" s="60">
        <f t="shared" si="128"/>
        <v>874.7226574832714</v>
      </c>
      <c r="EO138" s="60">
        <f ca="1">AVERAGE(OFFSET($EN$3,0,0,'Données projet'!$E$15+1,1))-AVERAGE(OFFSET($H$3,0,0,'Données projet'!$E$15+1,1))</f>
        <v>496.33873798282525</v>
      </c>
      <c r="EP138" s="60">
        <f t="shared" si="154"/>
        <v>280.25465074992246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3.4106051316484809E-13</v>
      </c>
      <c r="FF138" s="18">
        <f>FE138*VLOOKUP('Données projet'!$B$16,Paramètres!$A$1:$I$89,3,0)*VLOOKUP('Données projet'!$B$16,Paramètres!$A$1:$I$89,5,0)</f>
        <v>2.9795046430081134E-13</v>
      </c>
      <c r="FG138" s="14">
        <f t="shared" si="155"/>
        <v>3.9419014464513778E-12</v>
      </c>
      <c r="FH138" s="22">
        <f t="shared" si="130"/>
        <v>7.384408744560063E-12</v>
      </c>
      <c r="FI138" s="60">
        <f t="shared" si="131"/>
        <v>284.69975714989454</v>
      </c>
      <c r="FJ138" s="60">
        <f ca="1">AVERAGE(OFFSET($FI$3,0,0,'Données projet'!$E$16+1,1))-AVERAGE(OFFSET($H$3,0,0,'Données projet'!$E$16+1,1))</f>
        <v>363.28611056308665</v>
      </c>
      <c r="FK138" s="60">
        <f t="shared" si="156"/>
        <v>389.43647559455974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1.7053025658242404E-13</v>
      </c>
      <c r="GA138" s="18">
        <f>FZ138*VLOOKUP('Données projet'!$B$17,Paramètres!$A$1:$I$89,3,0)*VLOOKUP('Données projet'!$B$17,Paramètres!$A$1:$I$89,5,0)</f>
        <v>1.1439169611549005E-13</v>
      </c>
      <c r="GB138" s="14">
        <f t="shared" si="157"/>
        <v>1.6918016515029816E-12</v>
      </c>
      <c r="GC138" s="22">
        <f t="shared" si="133"/>
        <v>3.1457867471021712E-12</v>
      </c>
      <c r="GD138" s="60">
        <f t="shared" si="134"/>
        <v>284.69975714989027</v>
      </c>
      <c r="GE138" s="60">
        <f ca="1">AVERAGE(OFFSET($GD$3,0,0,'Données projet'!$E$17+1,1))-AVERAGE(OFFSET($H$3,0,0,'Données projet'!$E$17+1,1))</f>
        <v>344.62096650402731</v>
      </c>
      <c r="GF138" s="60">
        <f t="shared" si="158"/>
        <v>277.30931495079346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4.5</v>
      </c>
      <c r="N139" s="14">
        <f>IF('Données projet'!$A$36&gt;35,N138+M139-V138,IF(A139&lt;'Données projet'!$A$36,$K$205^A139,IF(A139='Données projet'!$A$36,'Données projet'!$B$36,N138+M139-V138)))</f>
        <v>466.99999999999932</v>
      </c>
      <c r="O139" s="14">
        <f>N139*VLOOKUP('Données projet'!$B$9,Paramètres!$A$1:$I$89,3,0)*VLOOKUP('Données projet'!$B$9,Paramètres!$A$1:$I$89,5,0)</f>
        <v>400.68599999999941</v>
      </c>
      <c r="P139" s="14">
        <f t="shared" si="141"/>
        <v>91.915727320789799</v>
      </c>
      <c r="Q139" s="22">
        <f t="shared" si="108"/>
        <v>857.94800841704125</v>
      </c>
      <c r="R139" s="60">
        <f t="shared" si="109"/>
        <v>1142.7975388119264</v>
      </c>
      <c r="S139" s="60">
        <f ca="1">AVERAGE(OFFSET($R$3,0,0,'Données projet'!$E$9+1,1))-AVERAGE(OFFSET($H$3,0,0,'Données projet'!$E$9+1,1))</f>
        <v>632.26350546340541</v>
      </c>
      <c r="T139" s="60">
        <f t="shared" si="142"/>
        <v>340.45335016367915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2.7134774427395314E-13</v>
      </c>
      <c r="AK139" s="14">
        <f t="shared" si="143"/>
        <v>3.6292411711343559E-12</v>
      </c>
      <c r="AL139" s="22">
        <f t="shared" si="112"/>
        <v>6.7935256943361388E-12</v>
      </c>
      <c r="AM139" s="60">
        <f t="shared" si="113"/>
        <v>284.84953039489204</v>
      </c>
      <c r="AN139" s="60">
        <f ca="1">AVERAGE(OFFSET($AM$3,0,0,'Données projet'!$E$10+1,1))-AVERAGE(OFFSET($H$3,0,0,'Données projet'!$E$10+1,1))</f>
        <v>336.25341821407534</v>
      </c>
      <c r="AO139" s="60">
        <f t="shared" si="144"/>
        <v>360.3246221345039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2.7134774427395314E-13</v>
      </c>
      <c r="BF139" s="14">
        <f t="shared" si="145"/>
        <v>3.6292411711343559E-12</v>
      </c>
      <c r="BG139" s="22">
        <f t="shared" si="115"/>
        <v>6.7935256943361388E-12</v>
      </c>
      <c r="BH139" s="60">
        <f t="shared" si="116"/>
        <v>284.84953039489204</v>
      </c>
      <c r="BI139" s="60">
        <f ca="1">AVERAGE(OFFSET($BH$3,0,0,'Données projet'!$E$11+1,1))-AVERAGE(OFFSET($H$3,0,0,'Données projet'!$E$11+1,1))</f>
        <v>336.25341821407534</v>
      </c>
      <c r="BJ139" s="60">
        <f t="shared" si="146"/>
        <v>360.3246221345039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258.0489599999994</v>
      </c>
      <c r="CA139" s="14">
        <f t="shared" si="147"/>
        <v>62.306312932555649</v>
      </c>
      <c r="CB139" s="22">
        <f t="shared" si="118"/>
        <v>557.95210035753337</v>
      </c>
      <c r="CC139" s="60">
        <f t="shared" si="119"/>
        <v>842.80163075241853</v>
      </c>
      <c r="CD139" s="60">
        <f ca="1">AVERAGE(OFFSET($CC$3,0,0,'Données projet'!$E$12+1,1))-AVERAGE(OFFSET($H$3,0,0,'Données projet'!$E$12+1,1))</f>
        <v>469.67944008675863</v>
      </c>
      <c r="CE139" s="60">
        <f t="shared" si="148"/>
        <v>266.11908070867173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8.8675733422860506E-14</v>
      </c>
      <c r="CV139" s="14">
        <f t="shared" si="149"/>
        <v>1.3509285393066301E-12</v>
      </c>
      <c r="CW139" s="22">
        <f t="shared" si="121"/>
        <v>2.5073107750038623E-12</v>
      </c>
      <c r="CX139" s="60">
        <f t="shared" si="122"/>
        <v>284.84953039488772</v>
      </c>
      <c r="CY139" s="60">
        <f ca="1">AVERAGE(OFFSET($CX$3,0,0,'Données projet'!$E$13+1,1))-AVERAGE(OFFSET($H$3,0,0,'Données projet'!$E$13+1,1))</f>
        <v>312.59632808777332</v>
      </c>
      <c r="CZ139" s="60">
        <f t="shared" si="150"/>
        <v>302.59481222418219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1.0818439477588981E-13</v>
      </c>
      <c r="DQ139" s="14">
        <f t="shared" si="151"/>
        <v>1.6104228458716316E-12</v>
      </c>
      <c r="DR139" s="22">
        <f t="shared" si="124"/>
        <v>2.9932409441277661E-12</v>
      </c>
      <c r="DS139" s="60">
        <f t="shared" si="125"/>
        <v>284.84953039488823</v>
      </c>
      <c r="DT139" s="60">
        <f ca="1">AVERAGE(OFFSET($DS$3,0,0,'Données projet'!$E$14+1,1))-AVERAGE(OFFSET($H$3,0,0,'Données projet'!$E$14+1,1))</f>
        <v>398.29746143975166</v>
      </c>
      <c r="DU139" s="60">
        <f t="shared" si="152"/>
        <v>300.63705521148802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2.7</v>
      </c>
      <c r="EJ139" s="13">
        <f>IF('Données projet'!$A$192&gt;35,EJ138+EI139-ER138,IF(A139&lt;'Données projet'!$A$192,$EG$205^A139,IF(A139='Données projet'!$A$192,'Données projet'!$B$192,EJ138+EI139-ER138)))</f>
        <v>285.19999999999931</v>
      </c>
      <c r="EK139" s="18">
        <f>EJ139*VLOOKUP('Données projet'!$B$15,Paramètres!$A$1:$I$89,3,0)*VLOOKUP('Données projet'!$B$15,Paramètres!$A$1:$I$89,5,0)</f>
        <v>275.84543999999931</v>
      </c>
      <c r="EL139" s="14">
        <f t="shared" si="153"/>
        <v>66.088268521855113</v>
      </c>
      <c r="EM139" s="22">
        <f t="shared" si="127"/>
        <v>595.53454234222977</v>
      </c>
      <c r="EN139" s="60">
        <f t="shared" si="128"/>
        <v>880.38407273711505</v>
      </c>
      <c r="EO139" s="60">
        <f ca="1">AVERAGE(OFFSET($EN$3,0,0,'Données projet'!$E$15+1,1))-AVERAGE(OFFSET($H$3,0,0,'Données projet'!$E$15+1,1))</f>
        <v>496.33873798282525</v>
      </c>
      <c r="EP139" s="60">
        <f t="shared" si="154"/>
        <v>280.25465074992246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3.4106051316484809E-13</v>
      </c>
      <c r="FF139" s="18">
        <f>FE139*VLOOKUP('Données projet'!$B$16,Paramètres!$A$1:$I$89,3,0)*VLOOKUP('Données projet'!$B$16,Paramètres!$A$1:$I$89,5,0)</f>
        <v>2.9795046430081134E-13</v>
      </c>
      <c r="FG139" s="14">
        <f t="shared" si="155"/>
        <v>3.9419014464513778E-12</v>
      </c>
      <c r="FH139" s="22">
        <f t="shared" si="130"/>
        <v>7.384408744560063E-12</v>
      </c>
      <c r="FI139" s="60">
        <f t="shared" si="131"/>
        <v>284.84953039489261</v>
      </c>
      <c r="FJ139" s="60">
        <f ca="1">AVERAGE(OFFSET($FI$3,0,0,'Données projet'!$E$16+1,1))-AVERAGE(OFFSET($H$3,0,0,'Données projet'!$E$16+1,1))</f>
        <v>363.28611056308665</v>
      </c>
      <c r="FK139" s="60">
        <f t="shared" si="156"/>
        <v>389.43647559455974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1.7053025658242404E-13</v>
      </c>
      <c r="GA139" s="18">
        <f>FZ139*VLOOKUP('Données projet'!$B$17,Paramètres!$A$1:$I$89,3,0)*VLOOKUP('Données projet'!$B$17,Paramètres!$A$1:$I$89,5,0)</f>
        <v>1.1439169611549005E-13</v>
      </c>
      <c r="GB139" s="14">
        <f t="shared" si="157"/>
        <v>1.6918016515029816E-12</v>
      </c>
      <c r="GC139" s="22">
        <f t="shared" si="133"/>
        <v>3.1457867471021712E-12</v>
      </c>
      <c r="GD139" s="60">
        <f t="shared" si="134"/>
        <v>284.84953039488835</v>
      </c>
      <c r="GE139" s="60">
        <f ca="1">AVERAGE(OFFSET($GD$3,0,0,'Données projet'!$E$17+1,1))-AVERAGE(OFFSET($H$3,0,0,'Données projet'!$E$17+1,1))</f>
        <v>344.62096650402731</v>
      </c>
      <c r="GF139" s="60">
        <f t="shared" si="158"/>
        <v>277.30931495079346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4.5</v>
      </c>
      <c r="N140" s="14">
        <f>IF('Données projet'!$A$36&gt;35,N139+M140-V139,IF(A140&lt;'Données projet'!$A$36,$K$205^A140,IF(A140='Données projet'!$A$36,'Données projet'!$B$36,N139+M140-V139)))</f>
        <v>471.49999999999932</v>
      </c>
      <c r="O140" s="14">
        <f>N140*VLOOKUP('Données projet'!$B$9,Paramètres!$A$1:$I$89,3,0)*VLOOKUP('Données projet'!$B$9,Paramètres!$A$1:$I$89,5,0)</f>
        <v>404.54699999999946</v>
      </c>
      <c r="P140" s="14">
        <f t="shared" si="141"/>
        <v>92.697892380008042</v>
      </c>
      <c r="Q140" s="22">
        <f t="shared" si="108"/>
        <v>866.03485422851293</v>
      </c>
      <c r="R140" s="60">
        <f t="shared" si="109"/>
        <v>1151.0315596374382</v>
      </c>
      <c r="S140" s="60">
        <f ca="1">AVERAGE(OFFSET($R$3,0,0,'Données projet'!$E$9+1,1))-AVERAGE(OFFSET($H$3,0,0,'Données projet'!$E$9+1,1))</f>
        <v>632.26350546340541</v>
      </c>
      <c r="T140" s="60">
        <f t="shared" si="142"/>
        <v>340.45335016367915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2.7134774427395314E-13</v>
      </c>
      <c r="AK140" s="14">
        <f t="shared" si="143"/>
        <v>3.6292411711343559E-12</v>
      </c>
      <c r="AL140" s="22">
        <f t="shared" si="112"/>
        <v>6.7935256943361388E-12</v>
      </c>
      <c r="AM140" s="60">
        <f t="shared" si="113"/>
        <v>284.9967054089322</v>
      </c>
      <c r="AN140" s="60">
        <f ca="1">AVERAGE(OFFSET($AM$3,0,0,'Données projet'!$E$10+1,1))-AVERAGE(OFFSET($H$3,0,0,'Données projet'!$E$10+1,1))</f>
        <v>336.25341821407534</v>
      </c>
      <c r="AO140" s="60">
        <f t="shared" si="144"/>
        <v>360.3246221345039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2.7134774427395314E-13</v>
      </c>
      <c r="BF140" s="14">
        <f t="shared" si="145"/>
        <v>3.6292411711343559E-12</v>
      </c>
      <c r="BG140" s="22">
        <f t="shared" si="115"/>
        <v>6.7935256943361388E-12</v>
      </c>
      <c r="BH140" s="60">
        <f t="shared" si="116"/>
        <v>284.9967054089322</v>
      </c>
      <c r="BI140" s="60">
        <f ca="1">AVERAGE(OFFSET($BH$3,0,0,'Données projet'!$E$11+1,1))-AVERAGE(OFFSET($H$3,0,0,'Données projet'!$E$11+1,1))</f>
        <v>336.25341821407534</v>
      </c>
      <c r="BJ140" s="60">
        <f t="shared" si="146"/>
        <v>360.3246221345039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260.49191999999937</v>
      </c>
      <c r="CA140" s="14">
        <f t="shared" si="147"/>
        <v>62.827223883029681</v>
      </c>
      <c r="CB140" s="22">
        <f t="shared" si="118"/>
        <v>563.11417559627546</v>
      </c>
      <c r="CC140" s="60">
        <f t="shared" si="119"/>
        <v>848.11088100520078</v>
      </c>
      <c r="CD140" s="60">
        <f ca="1">AVERAGE(OFFSET($CC$3,0,0,'Données projet'!$E$12+1,1))-AVERAGE(OFFSET($H$3,0,0,'Données projet'!$E$12+1,1))</f>
        <v>469.67944008675863</v>
      </c>
      <c r="CE140" s="60">
        <f t="shared" si="148"/>
        <v>266.11908070867173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8.8675733422860506E-14</v>
      </c>
      <c r="CV140" s="14">
        <f t="shared" si="149"/>
        <v>1.3509285393066301E-12</v>
      </c>
      <c r="CW140" s="22">
        <f t="shared" si="121"/>
        <v>2.5073107750038623E-12</v>
      </c>
      <c r="CX140" s="60">
        <f t="shared" si="122"/>
        <v>284.99670540892788</v>
      </c>
      <c r="CY140" s="60">
        <f ca="1">AVERAGE(OFFSET($CX$3,0,0,'Données projet'!$E$13+1,1))-AVERAGE(OFFSET($H$3,0,0,'Données projet'!$E$13+1,1))</f>
        <v>312.59632808777332</v>
      </c>
      <c r="CZ140" s="60">
        <f t="shared" si="150"/>
        <v>302.59481222418219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1.0818439477588981E-13</v>
      </c>
      <c r="DQ140" s="14">
        <f t="shared" si="151"/>
        <v>1.6104228458716316E-12</v>
      </c>
      <c r="DR140" s="22">
        <f t="shared" si="124"/>
        <v>2.9932409441277661E-12</v>
      </c>
      <c r="DS140" s="60">
        <f t="shared" si="125"/>
        <v>284.99670540892839</v>
      </c>
      <c r="DT140" s="60">
        <f ca="1">AVERAGE(OFFSET($DS$3,0,0,'Données projet'!$E$14+1,1))-AVERAGE(OFFSET($H$3,0,0,'Données projet'!$E$14+1,1))</f>
        <v>398.29746143975166</v>
      </c>
      <c r="DU140" s="60">
        <f t="shared" si="152"/>
        <v>300.63705521148802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2.7</v>
      </c>
      <c r="EJ140" s="13">
        <f>IF('Données projet'!$A$192&gt;35,EJ139+EI140-ER139,IF(A140&lt;'Données projet'!$A$192,$EG$205^A140,IF(A140='Données projet'!$A$192,'Données projet'!$B$192,EJ139+EI140-ER139)))</f>
        <v>287.8999999999993</v>
      </c>
      <c r="EK140" s="18">
        <f>EJ140*VLOOKUP('Données projet'!$B$15,Paramètres!$A$1:$I$89,3,0)*VLOOKUP('Données projet'!$B$15,Paramètres!$A$1:$I$89,5,0)</f>
        <v>278.45687999999933</v>
      </c>
      <c r="EL140" s="14">
        <f t="shared" si="153"/>
        <v>66.640798452620999</v>
      </c>
      <c r="EM140" s="22">
        <f t="shared" si="127"/>
        <v>601.04512330498039</v>
      </c>
      <c r="EN140" s="60">
        <f t="shared" si="128"/>
        <v>886.04182871390572</v>
      </c>
      <c r="EO140" s="60">
        <f ca="1">AVERAGE(OFFSET($EN$3,0,0,'Données projet'!$E$15+1,1))-AVERAGE(OFFSET($H$3,0,0,'Données projet'!$E$15+1,1))</f>
        <v>496.33873798282525</v>
      </c>
      <c r="EP140" s="60">
        <f t="shared" si="154"/>
        <v>280.25465074992246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3.4106051316484809E-13</v>
      </c>
      <c r="FF140" s="18">
        <f>FE140*VLOOKUP('Données projet'!$B$16,Paramètres!$A$1:$I$89,3,0)*VLOOKUP('Données projet'!$B$16,Paramètres!$A$1:$I$89,5,0)</f>
        <v>2.9795046430081134E-13</v>
      </c>
      <c r="FG140" s="14">
        <f t="shared" si="155"/>
        <v>3.9419014464513778E-12</v>
      </c>
      <c r="FH140" s="22">
        <f t="shared" si="130"/>
        <v>7.384408744560063E-12</v>
      </c>
      <c r="FI140" s="60">
        <f t="shared" si="131"/>
        <v>284.99670540893277</v>
      </c>
      <c r="FJ140" s="60">
        <f ca="1">AVERAGE(OFFSET($FI$3,0,0,'Données projet'!$E$16+1,1))-AVERAGE(OFFSET($H$3,0,0,'Données projet'!$E$16+1,1))</f>
        <v>363.28611056308665</v>
      </c>
      <c r="FK140" s="60">
        <f t="shared" si="156"/>
        <v>389.43647559455974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1.7053025658242404E-13</v>
      </c>
      <c r="GA140" s="18">
        <f>FZ140*VLOOKUP('Données projet'!$B$17,Paramètres!$A$1:$I$89,3,0)*VLOOKUP('Données projet'!$B$17,Paramètres!$A$1:$I$89,5,0)</f>
        <v>1.1439169611549005E-13</v>
      </c>
      <c r="GB140" s="14">
        <f t="shared" si="157"/>
        <v>1.6918016515029816E-12</v>
      </c>
      <c r="GC140" s="22">
        <f t="shared" si="133"/>
        <v>3.1457867471021712E-12</v>
      </c>
      <c r="GD140" s="60">
        <f t="shared" si="134"/>
        <v>284.99670540892851</v>
      </c>
      <c r="GE140" s="60">
        <f ca="1">AVERAGE(OFFSET($GD$3,0,0,'Données projet'!$E$17+1,1))-AVERAGE(OFFSET($H$3,0,0,'Données projet'!$E$17+1,1))</f>
        <v>344.62096650402731</v>
      </c>
      <c r="GF140" s="60">
        <f t="shared" si="158"/>
        <v>277.30931495079346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4.5</v>
      </c>
      <c r="N141" s="14">
        <f>IF('Données projet'!$A$36&gt;35,N140+M141-V140,IF(A141&lt;'Données projet'!$A$36,$K$205^A141,IF(A141='Données projet'!$A$36,'Données projet'!$B$36,N140+M141-V140)))</f>
        <v>475.99999999999932</v>
      </c>
      <c r="O141" s="14">
        <f>N141*VLOOKUP('Données projet'!$B$9,Paramètres!$A$1:$I$89,3,0)*VLOOKUP('Données projet'!$B$9,Paramètres!$A$1:$I$89,5,0)</f>
        <v>408.4079999999995</v>
      </c>
      <c r="P141" s="14">
        <f t="shared" si="141"/>
        <v>93.479188982926175</v>
      </c>
      <c r="Q141" s="22">
        <f t="shared" si="108"/>
        <v>874.12018747859565</v>
      </c>
      <c r="R141" s="60">
        <f t="shared" si="109"/>
        <v>1159.2615147441015</v>
      </c>
      <c r="S141" s="60">
        <f ca="1">AVERAGE(OFFSET($R$3,0,0,'Données projet'!$E$9+1,1))-AVERAGE(OFFSET($H$3,0,0,'Données projet'!$E$9+1,1))</f>
        <v>632.26350546340541</v>
      </c>
      <c r="T141" s="60">
        <f t="shared" si="142"/>
        <v>340.45335016367915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2.7134774427395314E-13</v>
      </c>
      <c r="AK141" s="14">
        <f t="shared" si="143"/>
        <v>3.6292411711343559E-12</v>
      </c>
      <c r="AL141" s="22">
        <f t="shared" si="112"/>
        <v>6.7935256943361388E-12</v>
      </c>
      <c r="AM141" s="60">
        <f t="shared" si="113"/>
        <v>285.14132726551276</v>
      </c>
      <c r="AN141" s="60">
        <f ca="1">AVERAGE(OFFSET($AM$3,0,0,'Données projet'!$E$10+1,1))-AVERAGE(OFFSET($H$3,0,0,'Données projet'!$E$10+1,1))</f>
        <v>336.25341821407534</v>
      </c>
      <c r="AO141" s="60">
        <f t="shared" si="144"/>
        <v>360.3246221345039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2.7134774427395314E-13</v>
      </c>
      <c r="BF141" s="14">
        <f t="shared" si="145"/>
        <v>3.6292411711343559E-12</v>
      </c>
      <c r="BG141" s="22">
        <f t="shared" si="115"/>
        <v>6.7935256943361388E-12</v>
      </c>
      <c r="BH141" s="60">
        <f t="shared" si="116"/>
        <v>285.14132726551276</v>
      </c>
      <c r="BI141" s="60">
        <f ca="1">AVERAGE(OFFSET($BH$3,0,0,'Données projet'!$E$11+1,1))-AVERAGE(OFFSET($H$3,0,0,'Données projet'!$E$11+1,1))</f>
        <v>336.25341821407534</v>
      </c>
      <c r="BJ141" s="60">
        <f t="shared" si="146"/>
        <v>360.3246221345039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262.93487999999934</v>
      </c>
      <c r="CA141" s="14">
        <f t="shared" si="147"/>
        <v>63.347566493432652</v>
      </c>
      <c r="CB141" s="22">
        <f t="shared" si="118"/>
        <v>568.27526097606062</v>
      </c>
      <c r="CC141" s="60">
        <f t="shared" si="119"/>
        <v>853.41658824156661</v>
      </c>
      <c r="CD141" s="60">
        <f ca="1">AVERAGE(OFFSET($CC$3,0,0,'Données projet'!$E$12+1,1))-AVERAGE(OFFSET($H$3,0,0,'Données projet'!$E$12+1,1))</f>
        <v>469.67944008675863</v>
      </c>
      <c r="CE141" s="60">
        <f t="shared" si="148"/>
        <v>266.11908070867173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8.8675733422860506E-14</v>
      </c>
      <c r="CV141" s="14">
        <f t="shared" si="149"/>
        <v>1.3509285393066301E-12</v>
      </c>
      <c r="CW141" s="22">
        <f t="shared" si="121"/>
        <v>2.5073107750038623E-12</v>
      </c>
      <c r="CX141" s="60">
        <f t="shared" si="122"/>
        <v>285.14132726550844</v>
      </c>
      <c r="CY141" s="60">
        <f ca="1">AVERAGE(OFFSET($CX$3,0,0,'Données projet'!$E$13+1,1))-AVERAGE(OFFSET($H$3,0,0,'Données projet'!$E$13+1,1))</f>
        <v>312.59632808777332</v>
      </c>
      <c r="CZ141" s="60">
        <f t="shared" si="150"/>
        <v>302.59481222418219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1.0818439477588981E-13</v>
      </c>
      <c r="DQ141" s="14">
        <f t="shared" si="151"/>
        <v>1.6104228458716316E-12</v>
      </c>
      <c r="DR141" s="22">
        <f t="shared" si="124"/>
        <v>2.9932409441277661E-12</v>
      </c>
      <c r="DS141" s="60">
        <f t="shared" si="125"/>
        <v>285.14132726550895</v>
      </c>
      <c r="DT141" s="60">
        <f ca="1">AVERAGE(OFFSET($DS$3,0,0,'Données projet'!$E$14+1,1))-AVERAGE(OFFSET($H$3,0,0,'Données projet'!$E$14+1,1))</f>
        <v>398.29746143975166</v>
      </c>
      <c r="DU141" s="60">
        <f t="shared" si="152"/>
        <v>300.63705521148802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2.7</v>
      </c>
      <c r="EJ141" s="13">
        <f>IF('Données projet'!$A$192&gt;35,EJ140+EI141-ER140,IF(A141&lt;'Données projet'!$A$192,$EG$205^A141,IF(A141='Données projet'!$A$192,'Données projet'!$B$192,EJ140+EI141-ER140)))</f>
        <v>290.59999999999928</v>
      </c>
      <c r="EK141" s="18">
        <f>EJ141*VLOOKUP('Données projet'!$B$15,Paramètres!$A$1:$I$89,3,0)*VLOOKUP('Données projet'!$B$15,Paramètres!$A$1:$I$89,5,0)</f>
        <v>281.06831999999929</v>
      </c>
      <c r="EL141" s="14">
        <f t="shared" si="153"/>
        <v>67.192725545416536</v>
      </c>
      <c r="EM141" s="22">
        <f t="shared" si="127"/>
        <v>606.55465432493247</v>
      </c>
      <c r="EN141" s="60">
        <f t="shared" si="128"/>
        <v>891.69598159043835</v>
      </c>
      <c r="EO141" s="60">
        <f ca="1">AVERAGE(OFFSET($EN$3,0,0,'Données projet'!$E$15+1,1))-AVERAGE(OFFSET($H$3,0,0,'Données projet'!$E$15+1,1))</f>
        <v>496.33873798282525</v>
      </c>
      <c r="EP141" s="60">
        <f t="shared" si="154"/>
        <v>280.25465074992246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3.4106051316484809E-13</v>
      </c>
      <c r="FF141" s="18">
        <f>FE141*VLOOKUP('Données projet'!$B$16,Paramètres!$A$1:$I$89,3,0)*VLOOKUP('Données projet'!$B$16,Paramètres!$A$1:$I$89,5,0)</f>
        <v>2.9795046430081134E-13</v>
      </c>
      <c r="FG141" s="14">
        <f t="shared" si="155"/>
        <v>3.9419014464513778E-12</v>
      </c>
      <c r="FH141" s="22">
        <f t="shared" si="130"/>
        <v>7.384408744560063E-12</v>
      </c>
      <c r="FI141" s="60">
        <f t="shared" si="131"/>
        <v>285.14132726551333</v>
      </c>
      <c r="FJ141" s="60">
        <f ca="1">AVERAGE(OFFSET($FI$3,0,0,'Données projet'!$E$16+1,1))-AVERAGE(OFFSET($H$3,0,0,'Données projet'!$E$16+1,1))</f>
        <v>363.28611056308665</v>
      </c>
      <c r="FK141" s="60">
        <f t="shared" si="156"/>
        <v>389.43647559455974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1.7053025658242404E-13</v>
      </c>
      <c r="GA141" s="18">
        <f>FZ141*VLOOKUP('Données projet'!$B$17,Paramètres!$A$1:$I$89,3,0)*VLOOKUP('Données projet'!$B$17,Paramètres!$A$1:$I$89,5,0)</f>
        <v>1.1439169611549005E-13</v>
      </c>
      <c r="GB141" s="14">
        <f t="shared" si="157"/>
        <v>1.6918016515029816E-12</v>
      </c>
      <c r="GC141" s="22">
        <f t="shared" si="133"/>
        <v>3.1457867471021712E-12</v>
      </c>
      <c r="GD141" s="60">
        <f t="shared" si="134"/>
        <v>285.14132726550906</v>
      </c>
      <c r="GE141" s="60">
        <f ca="1">AVERAGE(OFFSET($GD$3,0,0,'Données projet'!$E$17+1,1))-AVERAGE(OFFSET($H$3,0,0,'Données projet'!$E$17+1,1))</f>
        <v>344.62096650402731</v>
      </c>
      <c r="GF141" s="60">
        <f t="shared" si="158"/>
        <v>277.30931495079346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4.5</v>
      </c>
      <c r="N142" s="14">
        <f>IF('Données projet'!$A$36&gt;35,N141+M142-V141,IF(A142&lt;'Données projet'!$A$36,$K$205^A142,IF(A142='Données projet'!$A$36,'Données projet'!$B$36,N141+M142-V141)))</f>
        <v>480.49999999999932</v>
      </c>
      <c r="O142" s="14">
        <f>N142*VLOOKUP('Données projet'!$B$9,Paramètres!$A$1:$I$89,3,0)*VLOOKUP('Données projet'!$B$9,Paramètres!$A$1:$I$89,5,0)</f>
        <v>412.26899999999944</v>
      </c>
      <c r="P142" s="14">
        <f t="shared" si="141"/>
        <v>94.259626290639673</v>
      </c>
      <c r="Q142" s="22">
        <f t="shared" si="108"/>
        <v>882.20402412286319</v>
      </c>
      <c r="R142" s="60">
        <f t="shared" si="109"/>
        <v>1167.487464379064</v>
      </c>
      <c r="S142" s="60">
        <f ca="1">AVERAGE(OFFSET($R$3,0,0,'Données projet'!$E$9+1,1))-AVERAGE(OFFSET($H$3,0,0,'Données projet'!$E$9+1,1))</f>
        <v>632.26350546340541</v>
      </c>
      <c r="T142" s="60">
        <f t="shared" si="142"/>
        <v>340.45335016367915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2.7134774427395314E-13</v>
      </c>
      <c r="AK142" s="14">
        <f t="shared" si="143"/>
        <v>3.6292411711343559E-12</v>
      </c>
      <c r="AL142" s="22">
        <f t="shared" si="112"/>
        <v>6.7935256943361388E-12</v>
      </c>
      <c r="AM142" s="60">
        <f t="shared" si="113"/>
        <v>285.28344025620771</v>
      </c>
      <c r="AN142" s="60">
        <f ca="1">AVERAGE(OFFSET($AM$3,0,0,'Données projet'!$E$10+1,1))-AVERAGE(OFFSET($H$3,0,0,'Données projet'!$E$10+1,1))</f>
        <v>336.25341821407534</v>
      </c>
      <c r="AO142" s="60">
        <f t="shared" si="144"/>
        <v>360.3246221345039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2.7134774427395314E-13</v>
      </c>
      <c r="BF142" s="14">
        <f t="shared" si="145"/>
        <v>3.6292411711343559E-12</v>
      </c>
      <c r="BG142" s="22">
        <f t="shared" si="115"/>
        <v>6.7935256943361388E-12</v>
      </c>
      <c r="BH142" s="60">
        <f t="shared" si="116"/>
        <v>285.28344025620771</v>
      </c>
      <c r="BI142" s="60">
        <f ca="1">AVERAGE(OFFSET($BH$3,0,0,'Données projet'!$E$11+1,1))-AVERAGE(OFFSET($H$3,0,0,'Données projet'!$E$11+1,1))</f>
        <v>336.25341821407534</v>
      </c>
      <c r="BJ142" s="60">
        <f t="shared" si="146"/>
        <v>360.3246221345039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265.37783999999937</v>
      </c>
      <c r="CA142" s="14">
        <f t="shared" si="147"/>
        <v>63.867346655917089</v>
      </c>
      <c r="CB142" s="22">
        <f t="shared" si="118"/>
        <v>573.43536675905443</v>
      </c>
      <c r="CC142" s="60">
        <f t="shared" si="119"/>
        <v>858.71880701525538</v>
      </c>
      <c r="CD142" s="60">
        <f ca="1">AVERAGE(OFFSET($CC$3,0,0,'Données projet'!$E$12+1,1))-AVERAGE(OFFSET($H$3,0,0,'Données projet'!$E$12+1,1))</f>
        <v>469.67944008675863</v>
      </c>
      <c r="CE142" s="60">
        <f t="shared" si="148"/>
        <v>266.11908070867173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8.8675733422860506E-14</v>
      </c>
      <c r="CV142" s="14">
        <f t="shared" si="149"/>
        <v>1.3509285393066301E-12</v>
      </c>
      <c r="CW142" s="22">
        <f t="shared" si="121"/>
        <v>2.5073107750038623E-12</v>
      </c>
      <c r="CX142" s="60">
        <f t="shared" si="122"/>
        <v>285.28344025620339</v>
      </c>
      <c r="CY142" s="60">
        <f ca="1">AVERAGE(OFFSET($CX$3,0,0,'Données projet'!$E$13+1,1))-AVERAGE(OFFSET($H$3,0,0,'Données projet'!$E$13+1,1))</f>
        <v>312.59632808777332</v>
      </c>
      <c r="CZ142" s="60">
        <f t="shared" si="150"/>
        <v>302.59481222418219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1.0818439477588981E-13</v>
      </c>
      <c r="DQ142" s="14">
        <f t="shared" si="151"/>
        <v>1.6104228458716316E-12</v>
      </c>
      <c r="DR142" s="22">
        <f t="shared" si="124"/>
        <v>2.9932409441277661E-12</v>
      </c>
      <c r="DS142" s="60">
        <f t="shared" si="125"/>
        <v>285.2834402562039</v>
      </c>
      <c r="DT142" s="60">
        <f ca="1">AVERAGE(OFFSET($DS$3,0,0,'Données projet'!$E$14+1,1))-AVERAGE(OFFSET($H$3,0,0,'Données projet'!$E$14+1,1))</f>
        <v>398.29746143975166</v>
      </c>
      <c r="DU142" s="60">
        <f t="shared" si="152"/>
        <v>300.63705521148802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2.7</v>
      </c>
      <c r="EJ142" s="13">
        <f>IF('Données projet'!$A$192&gt;35,EJ141+EI142-ER141,IF(A142&lt;'Données projet'!$A$192,$EG$205^A142,IF(A142='Données projet'!$A$192,'Données projet'!$B$192,EJ141+EI142-ER141)))</f>
        <v>293.29999999999927</v>
      </c>
      <c r="EK142" s="18">
        <f>EJ142*VLOOKUP('Données projet'!$B$15,Paramètres!$A$1:$I$89,3,0)*VLOOKUP('Données projet'!$B$15,Paramètres!$A$1:$I$89,5,0)</f>
        <v>283.67975999999931</v>
      </c>
      <c r="EL142" s="14">
        <f t="shared" si="153"/>
        <v>67.74405605004435</v>
      </c>
      <c r="EM142" s="22">
        <f t="shared" si="127"/>
        <v>612.06314628715938</v>
      </c>
      <c r="EN142" s="60">
        <f t="shared" si="128"/>
        <v>897.34658654336022</v>
      </c>
      <c r="EO142" s="60">
        <f ca="1">AVERAGE(OFFSET($EN$3,0,0,'Données projet'!$E$15+1,1))-AVERAGE(OFFSET($H$3,0,0,'Données projet'!$E$15+1,1))</f>
        <v>496.33873798282525</v>
      </c>
      <c r="EP142" s="60">
        <f t="shared" si="154"/>
        <v>280.25465074992246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3.4106051316484809E-13</v>
      </c>
      <c r="FF142" s="18">
        <f>FE142*VLOOKUP('Données projet'!$B$16,Paramètres!$A$1:$I$89,3,0)*VLOOKUP('Données projet'!$B$16,Paramètres!$A$1:$I$89,5,0)</f>
        <v>2.9795046430081134E-13</v>
      </c>
      <c r="FG142" s="14">
        <f t="shared" si="155"/>
        <v>3.9419014464513778E-12</v>
      </c>
      <c r="FH142" s="22">
        <f t="shared" si="130"/>
        <v>7.384408744560063E-12</v>
      </c>
      <c r="FI142" s="60">
        <f t="shared" si="131"/>
        <v>285.28344025620828</v>
      </c>
      <c r="FJ142" s="60">
        <f ca="1">AVERAGE(OFFSET($FI$3,0,0,'Données projet'!$E$16+1,1))-AVERAGE(OFFSET($H$3,0,0,'Données projet'!$E$16+1,1))</f>
        <v>363.28611056308665</v>
      </c>
      <c r="FK142" s="60">
        <f t="shared" si="156"/>
        <v>389.43647559455974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1.7053025658242404E-13</v>
      </c>
      <c r="GA142" s="18">
        <f>FZ142*VLOOKUP('Données projet'!$B$17,Paramètres!$A$1:$I$89,3,0)*VLOOKUP('Données projet'!$B$17,Paramètres!$A$1:$I$89,5,0)</f>
        <v>1.1439169611549005E-13</v>
      </c>
      <c r="GB142" s="14">
        <f t="shared" si="157"/>
        <v>1.6918016515029816E-12</v>
      </c>
      <c r="GC142" s="22">
        <f t="shared" si="133"/>
        <v>3.1457867471021712E-12</v>
      </c>
      <c r="GD142" s="60">
        <f t="shared" si="134"/>
        <v>285.28344025620402</v>
      </c>
      <c r="GE142" s="60">
        <f ca="1">AVERAGE(OFFSET($GD$3,0,0,'Données projet'!$E$17+1,1))-AVERAGE(OFFSET($H$3,0,0,'Données projet'!$E$17+1,1))</f>
        <v>344.62096650402731</v>
      </c>
      <c r="GF142" s="60">
        <f t="shared" si="158"/>
        <v>277.30931495079346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485</v>
      </c>
      <c r="L143" s="13">
        <f>VLOOKUP(A143,'Données projet'!$A$35:$I$55,9,0)</f>
        <v>4.5</v>
      </c>
      <c r="M143" s="13">
        <f t="array" ref="M143">INDEX(L:L,MIN(IF(ISNUMBER(L143:L339),ROW(L143:L339),"")))</f>
        <v>4.5</v>
      </c>
      <c r="N143" s="14">
        <f>IF('Données projet'!$A$36&gt;35,N142+M143-V142,IF(A143&lt;'Données projet'!$A$36,$K$205^A143,IF(A143='Données projet'!$A$36,'Données projet'!$B$36,N142+M143-V142)))</f>
        <v>484.99999999999932</v>
      </c>
      <c r="O143" s="14">
        <f>N143*VLOOKUP('Données projet'!$B$9,Paramètres!$A$1:$I$89,3,0)*VLOOKUP('Données projet'!$B$9,Paramètres!$A$1:$I$89,5,0)</f>
        <v>416.12999999999948</v>
      </c>
      <c r="P143" s="14">
        <f t="shared" si="141"/>
        <v>95.039213282757103</v>
      </c>
      <c r="Q143" s="22">
        <f t="shared" si="108"/>
        <v>890.286379800801</v>
      </c>
      <c r="R143" s="60">
        <f t="shared" si="109"/>
        <v>1175.7094677050254</v>
      </c>
      <c r="S143" s="60">
        <f ca="1">AVERAGE(OFFSET($R$3,0,0,'Données projet'!$E$9+1,1))-AVERAGE(OFFSET($H$3,0,0,'Données projet'!$E$9+1,1))</f>
        <v>632.26350546340541</v>
      </c>
      <c r="T143" s="60">
        <f t="shared" si="142"/>
        <v>340.45335016367915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39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2.7134774427395314E-13</v>
      </c>
      <c r="AK143" s="14">
        <f t="shared" si="143"/>
        <v>3.6292411711343559E-12</v>
      </c>
      <c r="AL143" s="22">
        <f t="shared" si="112"/>
        <v>6.7935256943361388E-12</v>
      </c>
      <c r="AM143" s="60">
        <f t="shared" si="113"/>
        <v>285.42308790423118</v>
      </c>
      <c r="AN143" s="60">
        <f ca="1">AVERAGE(OFFSET($AM$3,0,0,'Données projet'!$E$10+1,1))-AVERAGE(OFFSET($H$3,0,0,'Données projet'!$E$10+1,1))</f>
        <v>336.25341821407534</v>
      </c>
      <c r="AO143" s="60">
        <f t="shared" si="144"/>
        <v>360.3246221345039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2.7134774427395314E-13</v>
      </c>
      <c r="BF143" s="14">
        <f t="shared" si="145"/>
        <v>3.6292411711343559E-12</v>
      </c>
      <c r="BG143" s="22">
        <f t="shared" si="115"/>
        <v>6.7935256943361388E-12</v>
      </c>
      <c r="BH143" s="60">
        <f t="shared" si="116"/>
        <v>285.42308790423118</v>
      </c>
      <c r="BI143" s="60">
        <f ca="1">AVERAGE(OFFSET($BH$3,0,0,'Données projet'!$E$11+1,1))-AVERAGE(OFFSET($H$3,0,0,'Données projet'!$E$11+1,1))</f>
        <v>336.25341821407534</v>
      </c>
      <c r="BJ143" s="60">
        <f t="shared" si="146"/>
        <v>360.3246221345039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267.82079999999934</v>
      </c>
      <c r="CA143" s="14">
        <f t="shared" si="147"/>
        <v>64.386570147897245</v>
      </c>
      <c r="CB143" s="22">
        <f t="shared" si="118"/>
        <v>578.59450300758647</v>
      </c>
      <c r="CC143" s="60">
        <f t="shared" si="119"/>
        <v>864.01759091181088</v>
      </c>
      <c r="CD143" s="60">
        <f ca="1">AVERAGE(OFFSET($CC$3,0,0,'Données projet'!$E$12+1,1))-AVERAGE(OFFSET($H$3,0,0,'Données projet'!$E$12+1,1))</f>
        <v>469.67944008675863</v>
      </c>
      <c r="CE143" s="60">
        <f t="shared" si="148"/>
        <v>266.11908070867173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8.8675733422860506E-14</v>
      </c>
      <c r="CV143" s="14">
        <f t="shared" si="149"/>
        <v>1.3509285393066301E-12</v>
      </c>
      <c r="CW143" s="22">
        <f t="shared" si="121"/>
        <v>2.5073107750038623E-12</v>
      </c>
      <c r="CX143" s="60">
        <f t="shared" si="122"/>
        <v>285.42308790422686</v>
      </c>
      <c r="CY143" s="60">
        <f ca="1">AVERAGE(OFFSET($CX$3,0,0,'Données projet'!$E$13+1,1))-AVERAGE(OFFSET($H$3,0,0,'Données projet'!$E$13+1,1))</f>
        <v>312.59632808777332</v>
      </c>
      <c r="CZ143" s="60">
        <f t="shared" si="150"/>
        <v>302.59481222418219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1.0818439477588981E-13</v>
      </c>
      <c r="DQ143" s="14">
        <f t="shared" si="151"/>
        <v>1.6104228458716316E-12</v>
      </c>
      <c r="DR143" s="22">
        <f t="shared" si="124"/>
        <v>2.9932409441277661E-12</v>
      </c>
      <c r="DS143" s="60">
        <f t="shared" si="125"/>
        <v>285.42308790422737</v>
      </c>
      <c r="DT143" s="60">
        <f ca="1">AVERAGE(OFFSET($DS$3,0,0,'Données projet'!$E$14+1,1))-AVERAGE(OFFSET($H$3,0,0,'Données projet'!$E$14+1,1))</f>
        <v>398.29746143975166</v>
      </c>
      <c r="DU143" s="60">
        <f t="shared" si="152"/>
        <v>300.63705521148802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296</v>
      </c>
      <c r="EH143" s="13">
        <f>VLOOKUP(A143,'Données projet'!$A$191:$I$211,9,0)</f>
        <v>2.7</v>
      </c>
      <c r="EI143" s="13">
        <f t="array" ref="EI143">INDEX(EH:EH,MIN(IF(ISNUMBER(EH143:EH339),ROW(EH143:EH339),"")))</f>
        <v>2.7</v>
      </c>
      <c r="EJ143" s="13">
        <f>IF('Données projet'!$A$192&gt;35,EJ142+EI143-ER142,IF(A143&lt;'Données projet'!$A$192,$EG$205^A143,IF(A143='Données projet'!$A$192,'Données projet'!$B$192,EJ142+EI143-ER142)))</f>
        <v>295.99999999999926</v>
      </c>
      <c r="EK143" s="18">
        <f>EJ143*VLOOKUP('Données projet'!$B$15,Paramètres!$A$1:$I$89,3,0)*VLOOKUP('Données projet'!$B$15,Paramètres!$A$1:$I$89,5,0)</f>
        <v>286.29119999999926</v>
      </c>
      <c r="EL143" s="14">
        <f t="shared" si="153"/>
        <v>68.294796094604223</v>
      </c>
      <c r="EM143" s="22">
        <f t="shared" si="127"/>
        <v>617.57060986476779</v>
      </c>
      <c r="EN143" s="60">
        <f t="shared" si="128"/>
        <v>902.99369776899221</v>
      </c>
      <c r="EO143" s="60">
        <f ca="1">AVERAGE(OFFSET($EN$3,0,0,'Données projet'!$E$15+1,1))-AVERAGE(OFFSET($H$3,0,0,'Données projet'!$E$15+1,1))</f>
        <v>496.33873798282525</v>
      </c>
      <c r="EP143" s="60">
        <f t="shared" si="154"/>
        <v>280.25465074992246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27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3.4106051316484809E-13</v>
      </c>
      <c r="FF143" s="18">
        <f>FE143*VLOOKUP('Données projet'!$B$16,Paramètres!$A$1:$I$89,3,0)*VLOOKUP('Données projet'!$B$16,Paramètres!$A$1:$I$89,5,0)</f>
        <v>2.9795046430081134E-13</v>
      </c>
      <c r="FG143" s="14">
        <f t="shared" si="155"/>
        <v>3.9419014464513778E-12</v>
      </c>
      <c r="FH143" s="22">
        <f t="shared" si="130"/>
        <v>7.384408744560063E-12</v>
      </c>
      <c r="FI143" s="60">
        <f t="shared" si="131"/>
        <v>285.42308790423175</v>
      </c>
      <c r="FJ143" s="60">
        <f ca="1">AVERAGE(OFFSET($FI$3,0,0,'Données projet'!$E$16+1,1))-AVERAGE(OFFSET($H$3,0,0,'Données projet'!$E$16+1,1))</f>
        <v>363.28611056308665</v>
      </c>
      <c r="FK143" s="60">
        <f t="shared" si="156"/>
        <v>389.43647559455974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1.7053025658242404E-13</v>
      </c>
      <c r="GA143" s="18">
        <f>FZ143*VLOOKUP('Données projet'!$B$17,Paramètres!$A$1:$I$89,3,0)*VLOOKUP('Données projet'!$B$17,Paramètres!$A$1:$I$89,5,0)</f>
        <v>1.1439169611549005E-13</v>
      </c>
      <c r="GB143" s="14">
        <f t="shared" si="157"/>
        <v>1.6918016515029816E-12</v>
      </c>
      <c r="GC143" s="22">
        <f t="shared" si="133"/>
        <v>3.1457867471021712E-12</v>
      </c>
      <c r="GD143" s="60">
        <f t="shared" si="134"/>
        <v>285.42308790422749</v>
      </c>
      <c r="GE143" s="60">
        <f ca="1">AVERAGE(OFFSET($GD$3,0,0,'Données projet'!$E$17+1,1))-AVERAGE(OFFSET($H$3,0,0,'Données projet'!$E$17+1,1))</f>
        <v>344.62096650402731</v>
      </c>
      <c r="GF143" s="60">
        <f t="shared" si="158"/>
        <v>277.30931495079346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4</v>
      </c>
      <c r="N144" s="14">
        <f>IF('Données projet'!$A$36&gt;35,N143+M144-V143,IF(A144&lt;'Données projet'!$A$36,$K$205^A144,IF(A144='Données projet'!$A$36,'Données projet'!$B$36,N143+M144-V143)))</f>
        <v>449.99999999999932</v>
      </c>
      <c r="O144" s="14">
        <f>N144*VLOOKUP('Données projet'!$B$9,Paramètres!$A$1:$I$89,3,0)*VLOOKUP('Données projet'!$B$9,Paramètres!$A$1:$I$89,5,0)</f>
        <v>386.09999999999945</v>
      </c>
      <c r="P144" s="14">
        <f t="shared" si="141"/>
        <v>88.95287916397983</v>
      </c>
      <c r="Q144" s="22">
        <f t="shared" si="108"/>
        <v>827.38376454393062</v>
      </c>
      <c r="R144" s="60">
        <f t="shared" si="109"/>
        <v>1112.9440775216906</v>
      </c>
      <c r="S144" s="60">
        <f ca="1">AVERAGE(OFFSET($R$3,0,0,'Données projet'!$E$9+1,1))-AVERAGE(OFFSET($H$3,0,0,'Données projet'!$E$9+1,1))</f>
        <v>632.26350546340541</v>
      </c>
      <c r="T144" s="60">
        <f t="shared" si="142"/>
        <v>340.45335016367915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2.7134774427395314E-13</v>
      </c>
      <c r="AK144" s="14">
        <f t="shared" si="143"/>
        <v>3.6292411711343559E-12</v>
      </c>
      <c r="AL144" s="22">
        <f t="shared" si="112"/>
        <v>6.7935256943361388E-12</v>
      </c>
      <c r="AM144" s="60">
        <f t="shared" si="113"/>
        <v>285.56031297776684</v>
      </c>
      <c r="AN144" s="60">
        <f ca="1">AVERAGE(OFFSET($AM$3,0,0,'Données projet'!$E$10+1,1))-AVERAGE(OFFSET($H$3,0,0,'Données projet'!$E$10+1,1))</f>
        <v>336.25341821407534</v>
      </c>
      <c r="AO144" s="60">
        <f t="shared" si="144"/>
        <v>360.3246221345039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2.7134774427395314E-13</v>
      </c>
      <c r="BF144" s="14">
        <f t="shared" si="145"/>
        <v>3.6292411711343559E-12</v>
      </c>
      <c r="BG144" s="22">
        <f t="shared" si="115"/>
        <v>6.7935256943361388E-12</v>
      </c>
      <c r="BH144" s="60">
        <f t="shared" si="116"/>
        <v>285.56031297776684</v>
      </c>
      <c r="BI144" s="60">
        <f ca="1">AVERAGE(OFFSET($BH$3,0,0,'Données projet'!$E$11+1,1))-AVERAGE(OFFSET($H$3,0,0,'Données projet'!$E$11+1,1))</f>
        <v>336.25341821407534</v>
      </c>
      <c r="BJ144" s="60">
        <f t="shared" si="146"/>
        <v>360.3246221345039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245.5627199999993</v>
      </c>
      <c r="CA144" s="14">
        <f t="shared" si="147"/>
        <v>59.634776048276741</v>
      </c>
      <c r="CB144" s="22">
        <f t="shared" si="118"/>
        <v>531.55230561741405</v>
      </c>
      <c r="CC144" s="60">
        <f t="shared" si="119"/>
        <v>817.11261859517413</v>
      </c>
      <c r="CD144" s="60">
        <f ca="1">AVERAGE(OFFSET($CC$3,0,0,'Données projet'!$E$12+1,1))-AVERAGE(OFFSET($H$3,0,0,'Données projet'!$E$12+1,1))</f>
        <v>469.67944008675863</v>
      </c>
      <c r="CE144" s="60">
        <f t="shared" si="148"/>
        <v>266.11908070867173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8.8675733422860506E-14</v>
      </c>
      <c r="CV144" s="14">
        <f t="shared" si="149"/>
        <v>1.3509285393066301E-12</v>
      </c>
      <c r="CW144" s="22">
        <f t="shared" si="121"/>
        <v>2.5073107750038623E-12</v>
      </c>
      <c r="CX144" s="60">
        <f t="shared" si="122"/>
        <v>285.56031297776252</v>
      </c>
      <c r="CY144" s="60">
        <f ca="1">AVERAGE(OFFSET($CX$3,0,0,'Données projet'!$E$13+1,1))-AVERAGE(OFFSET($H$3,0,0,'Données projet'!$E$13+1,1))</f>
        <v>312.59632808777332</v>
      </c>
      <c r="CZ144" s="60">
        <f t="shared" si="150"/>
        <v>302.59481222418219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1.0818439477588981E-13</v>
      </c>
      <c r="DQ144" s="14">
        <f t="shared" si="151"/>
        <v>1.6104228458716316E-12</v>
      </c>
      <c r="DR144" s="22">
        <f t="shared" si="124"/>
        <v>2.9932409441277661E-12</v>
      </c>
      <c r="DS144" s="60">
        <f t="shared" si="125"/>
        <v>285.56031297776303</v>
      </c>
      <c r="DT144" s="60">
        <f ca="1">AVERAGE(OFFSET($DS$3,0,0,'Données projet'!$E$14+1,1))-AVERAGE(OFFSET($H$3,0,0,'Données projet'!$E$14+1,1))</f>
        <v>398.29746143975166</v>
      </c>
      <c r="DU144" s="60">
        <f t="shared" si="152"/>
        <v>300.63705521148802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2.4</v>
      </c>
      <c r="EJ144" s="13">
        <f>IF('Données projet'!$A$192&gt;35,EJ143+EI144-ER143,IF(A144&lt;'Données projet'!$A$192,$EG$205^A144,IF(A144='Données projet'!$A$192,'Données projet'!$B$192,EJ143+EI144-ER143)))</f>
        <v>271.39999999999924</v>
      </c>
      <c r="EK144" s="18">
        <f>EJ144*VLOOKUP('Données projet'!$B$15,Paramètres!$A$1:$I$89,3,0)*VLOOKUP('Données projet'!$B$15,Paramètres!$A$1:$I$89,5,0)</f>
        <v>262.49807999999928</v>
      </c>
      <c r="EL144" s="14">
        <f t="shared" si="153"/>
        <v>63.254570961137979</v>
      </c>
      <c r="EM144" s="22">
        <f t="shared" si="127"/>
        <v>567.35253375731406</v>
      </c>
      <c r="EN144" s="60">
        <f t="shared" si="128"/>
        <v>852.91284673507403</v>
      </c>
      <c r="EO144" s="60">
        <f ca="1">AVERAGE(OFFSET($EN$3,0,0,'Données projet'!$E$15+1,1))-AVERAGE(OFFSET($H$3,0,0,'Données projet'!$E$15+1,1))</f>
        <v>496.33873798282525</v>
      </c>
      <c r="EP144" s="60">
        <f t="shared" si="154"/>
        <v>280.25465074992246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3.4106051316484809E-13</v>
      </c>
      <c r="FF144" s="18">
        <f>FE144*VLOOKUP('Données projet'!$B$16,Paramètres!$A$1:$I$89,3,0)*VLOOKUP('Données projet'!$B$16,Paramètres!$A$1:$I$89,5,0)</f>
        <v>2.9795046430081134E-13</v>
      </c>
      <c r="FG144" s="14">
        <f t="shared" si="155"/>
        <v>3.9419014464513778E-12</v>
      </c>
      <c r="FH144" s="22">
        <f t="shared" si="130"/>
        <v>7.384408744560063E-12</v>
      </c>
      <c r="FI144" s="60">
        <f t="shared" si="131"/>
        <v>285.56031297776741</v>
      </c>
      <c r="FJ144" s="60">
        <f ca="1">AVERAGE(OFFSET($FI$3,0,0,'Données projet'!$E$16+1,1))-AVERAGE(OFFSET($H$3,0,0,'Données projet'!$E$16+1,1))</f>
        <v>363.28611056308665</v>
      </c>
      <c r="FK144" s="60">
        <f t="shared" si="156"/>
        <v>389.43647559455974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1.7053025658242404E-13</v>
      </c>
      <c r="GA144" s="18">
        <f>FZ144*VLOOKUP('Données projet'!$B$17,Paramètres!$A$1:$I$89,3,0)*VLOOKUP('Données projet'!$B$17,Paramètres!$A$1:$I$89,5,0)</f>
        <v>1.1439169611549005E-13</v>
      </c>
      <c r="GB144" s="14">
        <f t="shared" si="157"/>
        <v>1.6918016515029816E-12</v>
      </c>
      <c r="GC144" s="22">
        <f t="shared" si="133"/>
        <v>3.1457867471021712E-12</v>
      </c>
      <c r="GD144" s="60">
        <f t="shared" si="134"/>
        <v>285.56031297776315</v>
      </c>
      <c r="GE144" s="60">
        <f ca="1">AVERAGE(OFFSET($GD$3,0,0,'Données projet'!$E$17+1,1))-AVERAGE(OFFSET($H$3,0,0,'Données projet'!$E$17+1,1))</f>
        <v>344.62096650402731</v>
      </c>
      <c r="GF144" s="60">
        <f t="shared" si="158"/>
        <v>277.30931495079346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4</v>
      </c>
      <c r="N145" s="14">
        <f>IF('Données projet'!$A$36&gt;35,N144+M145-V144,IF(A145&lt;'Données projet'!$A$36,$K$205^A145,IF(A145='Données projet'!$A$36,'Données projet'!$B$36,N144+M145-V144)))</f>
        <v>453.99999999999932</v>
      </c>
      <c r="O145" s="14">
        <f>N145*VLOOKUP('Données projet'!$B$9,Paramètres!$A$1:$I$89,3,0)*VLOOKUP('Données projet'!$B$9,Paramètres!$A$1:$I$89,5,0)</f>
        <v>389.53199999999947</v>
      </c>
      <c r="P145" s="14">
        <f t="shared" si="141"/>
        <v>89.651174596359283</v>
      </c>
      <c r="Q145" s="22">
        <f t="shared" si="108"/>
        <v>834.57736242199144</v>
      </c>
      <c r="R145" s="60">
        <f t="shared" si="109"/>
        <v>1120.2725199250506</v>
      </c>
      <c r="S145" s="60">
        <f ca="1">AVERAGE(OFFSET($R$3,0,0,'Données projet'!$E$9+1,1))-AVERAGE(OFFSET($H$3,0,0,'Données projet'!$E$9+1,1))</f>
        <v>632.26350546340541</v>
      </c>
      <c r="T145" s="60">
        <f t="shared" si="142"/>
        <v>340.45335016367915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2.7134774427395314E-13</v>
      </c>
      <c r="AK145" s="14">
        <f t="shared" si="143"/>
        <v>3.6292411711343559E-12</v>
      </c>
      <c r="AL145" s="22">
        <f t="shared" si="112"/>
        <v>6.7935256943361388E-12</v>
      </c>
      <c r="AM145" s="60">
        <f t="shared" si="113"/>
        <v>285.6951575030659</v>
      </c>
      <c r="AN145" s="60">
        <f ca="1">AVERAGE(OFFSET($AM$3,0,0,'Données projet'!$E$10+1,1))-AVERAGE(OFFSET($H$3,0,0,'Données projet'!$E$10+1,1))</f>
        <v>336.25341821407534</v>
      </c>
      <c r="AO145" s="60">
        <f t="shared" si="144"/>
        <v>360.3246221345039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2.7134774427395314E-13</v>
      </c>
      <c r="BF145" s="14">
        <f t="shared" si="145"/>
        <v>3.6292411711343559E-12</v>
      </c>
      <c r="BG145" s="22">
        <f t="shared" si="115"/>
        <v>6.7935256943361388E-12</v>
      </c>
      <c r="BH145" s="60">
        <f t="shared" si="116"/>
        <v>285.6951575030659</v>
      </c>
      <c r="BI145" s="60">
        <f ca="1">AVERAGE(OFFSET($BH$3,0,0,'Données projet'!$E$11+1,1))-AVERAGE(OFFSET($H$3,0,0,'Données projet'!$E$11+1,1))</f>
        <v>336.25341821407534</v>
      </c>
      <c r="BJ145" s="60">
        <f t="shared" si="146"/>
        <v>360.3246221345039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247.73423999999929</v>
      </c>
      <c r="CA145" s="14">
        <f t="shared" si="147"/>
        <v>60.100505665694953</v>
      </c>
      <c r="CB145" s="22">
        <f t="shared" si="118"/>
        <v>536.14551536775082</v>
      </c>
      <c r="CC145" s="60">
        <f t="shared" si="119"/>
        <v>821.84067287080984</v>
      </c>
      <c r="CD145" s="60">
        <f ca="1">AVERAGE(OFFSET($CC$3,0,0,'Données projet'!$E$12+1,1))-AVERAGE(OFFSET($H$3,0,0,'Données projet'!$E$12+1,1))</f>
        <v>469.67944008675863</v>
      </c>
      <c r="CE145" s="60">
        <f t="shared" si="148"/>
        <v>266.11908070867173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8.8675733422860506E-14</v>
      </c>
      <c r="CV145" s="14">
        <f t="shared" si="149"/>
        <v>1.3509285393066301E-12</v>
      </c>
      <c r="CW145" s="22">
        <f t="shared" si="121"/>
        <v>2.5073107750038623E-12</v>
      </c>
      <c r="CX145" s="60">
        <f t="shared" si="122"/>
        <v>285.69515750306158</v>
      </c>
      <c r="CY145" s="60">
        <f ca="1">AVERAGE(OFFSET($CX$3,0,0,'Données projet'!$E$13+1,1))-AVERAGE(OFFSET($H$3,0,0,'Données projet'!$E$13+1,1))</f>
        <v>312.59632808777332</v>
      </c>
      <c r="CZ145" s="60">
        <f t="shared" si="150"/>
        <v>302.59481222418219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1.0818439477588981E-13</v>
      </c>
      <c r="DQ145" s="14">
        <f t="shared" si="151"/>
        <v>1.6104228458716316E-12</v>
      </c>
      <c r="DR145" s="22">
        <f t="shared" si="124"/>
        <v>2.9932409441277661E-12</v>
      </c>
      <c r="DS145" s="60">
        <f t="shared" si="125"/>
        <v>285.69515750306209</v>
      </c>
      <c r="DT145" s="60">
        <f ca="1">AVERAGE(OFFSET($DS$3,0,0,'Données projet'!$E$14+1,1))-AVERAGE(OFFSET($H$3,0,0,'Données projet'!$E$14+1,1))</f>
        <v>398.29746143975166</v>
      </c>
      <c r="DU145" s="60">
        <f t="shared" si="152"/>
        <v>300.63705521148802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2.4</v>
      </c>
      <c r="EJ145" s="13">
        <f>IF('Données projet'!$A$192&gt;35,EJ144+EI145-ER144,IF(A145&lt;'Données projet'!$A$192,$EG$205^A145,IF(A145='Données projet'!$A$192,'Données projet'!$B$192,EJ144+EI145-ER144)))</f>
        <v>273.79999999999922</v>
      </c>
      <c r="EK145" s="18">
        <f>EJ145*VLOOKUP('Données projet'!$B$15,Paramètres!$A$1:$I$89,3,0)*VLOOKUP('Données projet'!$B$15,Paramètres!$A$1:$I$89,5,0)</f>
        <v>264.81935999999928</v>
      </c>
      <c r="EL145" s="14">
        <f t="shared" si="153"/>
        <v>63.748570085236892</v>
      </c>
      <c r="EM145" s="22">
        <f t="shared" si="127"/>
        <v>572.25581156511964</v>
      </c>
      <c r="EN145" s="60">
        <f t="shared" si="128"/>
        <v>857.95096906817867</v>
      </c>
      <c r="EO145" s="60">
        <f ca="1">AVERAGE(OFFSET($EN$3,0,0,'Données projet'!$E$15+1,1))-AVERAGE(OFFSET($H$3,0,0,'Données projet'!$E$15+1,1))</f>
        <v>496.33873798282525</v>
      </c>
      <c r="EP145" s="60">
        <f t="shared" si="154"/>
        <v>280.25465074992246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3.4106051316484809E-13</v>
      </c>
      <c r="FF145" s="18">
        <f>FE145*VLOOKUP('Données projet'!$B$16,Paramètres!$A$1:$I$89,3,0)*VLOOKUP('Données projet'!$B$16,Paramètres!$A$1:$I$89,5,0)</f>
        <v>2.9795046430081134E-13</v>
      </c>
      <c r="FG145" s="14">
        <f t="shared" si="155"/>
        <v>3.9419014464513778E-12</v>
      </c>
      <c r="FH145" s="22">
        <f t="shared" si="130"/>
        <v>7.384408744560063E-12</v>
      </c>
      <c r="FI145" s="60">
        <f t="shared" si="131"/>
        <v>285.69515750306647</v>
      </c>
      <c r="FJ145" s="60">
        <f ca="1">AVERAGE(OFFSET($FI$3,0,0,'Données projet'!$E$16+1,1))-AVERAGE(OFFSET($H$3,0,0,'Données projet'!$E$16+1,1))</f>
        <v>363.28611056308665</v>
      </c>
      <c r="FK145" s="60">
        <f t="shared" si="156"/>
        <v>389.43647559455974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1.7053025658242404E-13</v>
      </c>
      <c r="GA145" s="18">
        <f>FZ145*VLOOKUP('Données projet'!$B$17,Paramètres!$A$1:$I$89,3,0)*VLOOKUP('Données projet'!$B$17,Paramètres!$A$1:$I$89,5,0)</f>
        <v>1.1439169611549005E-13</v>
      </c>
      <c r="GB145" s="14">
        <f t="shared" si="157"/>
        <v>1.6918016515029816E-12</v>
      </c>
      <c r="GC145" s="22">
        <f t="shared" si="133"/>
        <v>3.1457867471021712E-12</v>
      </c>
      <c r="GD145" s="60">
        <f t="shared" si="134"/>
        <v>285.69515750306221</v>
      </c>
      <c r="GE145" s="60">
        <f ca="1">AVERAGE(OFFSET($GD$3,0,0,'Données projet'!$E$17+1,1))-AVERAGE(OFFSET($H$3,0,0,'Données projet'!$E$17+1,1))</f>
        <v>344.62096650402731</v>
      </c>
      <c r="GF145" s="60">
        <f t="shared" si="158"/>
        <v>277.30931495079346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4</v>
      </c>
      <c r="N146" s="14">
        <f>IF('Données projet'!$A$36&gt;35,N145+M146-V145,IF(A146&lt;'Données projet'!$A$36,$K$205^A146,IF(A146='Données projet'!$A$36,'Données projet'!$B$36,N145+M146-V145)))</f>
        <v>457.99999999999932</v>
      </c>
      <c r="O146" s="14">
        <f>N146*VLOOKUP('Données projet'!$B$9,Paramètres!$A$1:$I$89,3,0)*VLOOKUP('Données projet'!$B$9,Paramètres!$A$1:$I$89,5,0)</f>
        <v>392.96399999999943</v>
      </c>
      <c r="P146" s="14">
        <f t="shared" si="141"/>
        <v>90.34875424869395</v>
      </c>
      <c r="Q146" s="22">
        <f t="shared" si="108"/>
        <v>841.76971364980761</v>
      </c>
      <c r="R146" s="60">
        <f t="shared" si="109"/>
        <v>1127.5973764271191</v>
      </c>
      <c r="S146" s="60">
        <f ca="1">AVERAGE(OFFSET($R$3,0,0,'Données projet'!$E$9+1,1))-AVERAGE(OFFSET($H$3,0,0,'Données projet'!$E$9+1,1))</f>
        <v>632.26350546340541</v>
      </c>
      <c r="T146" s="60">
        <f t="shared" si="142"/>
        <v>340.45335016367915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2.7134774427395314E-13</v>
      </c>
      <c r="AK146" s="14">
        <f t="shared" si="143"/>
        <v>3.6292411711343559E-12</v>
      </c>
      <c r="AL146" s="22">
        <f t="shared" si="112"/>
        <v>6.7935256943361388E-12</v>
      </c>
      <c r="AM146" s="60">
        <f t="shared" si="113"/>
        <v>285.82766277731827</v>
      </c>
      <c r="AN146" s="60">
        <f ca="1">AVERAGE(OFFSET($AM$3,0,0,'Données projet'!$E$10+1,1))-AVERAGE(OFFSET($H$3,0,0,'Données projet'!$E$10+1,1))</f>
        <v>336.25341821407534</v>
      </c>
      <c r="AO146" s="60">
        <f t="shared" si="144"/>
        <v>360.3246221345039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2.7134774427395314E-13</v>
      </c>
      <c r="BF146" s="14">
        <f t="shared" si="145"/>
        <v>3.6292411711343559E-12</v>
      </c>
      <c r="BG146" s="22">
        <f t="shared" si="115"/>
        <v>6.7935256943361388E-12</v>
      </c>
      <c r="BH146" s="60">
        <f t="shared" si="116"/>
        <v>285.82766277731827</v>
      </c>
      <c r="BI146" s="60">
        <f ca="1">AVERAGE(OFFSET($BH$3,0,0,'Données projet'!$E$11+1,1))-AVERAGE(OFFSET($H$3,0,0,'Données projet'!$E$11+1,1))</f>
        <v>336.25341821407534</v>
      </c>
      <c r="BJ146" s="60">
        <f t="shared" si="146"/>
        <v>360.3246221345039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249.90575999999925</v>
      </c>
      <c r="CA146" s="14">
        <f t="shared" si="147"/>
        <v>60.565760331923727</v>
      </c>
      <c r="CB146" s="22">
        <f t="shared" si="118"/>
        <v>540.73789791143247</v>
      </c>
      <c r="CC146" s="60">
        <f t="shared" si="119"/>
        <v>826.56556068874397</v>
      </c>
      <c r="CD146" s="60">
        <f ca="1">AVERAGE(OFFSET($CC$3,0,0,'Données projet'!$E$12+1,1))-AVERAGE(OFFSET($H$3,0,0,'Données projet'!$E$12+1,1))</f>
        <v>469.67944008675863</v>
      </c>
      <c r="CE146" s="60">
        <f t="shared" si="148"/>
        <v>266.11908070867173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8.8675733422860506E-14</v>
      </c>
      <c r="CV146" s="14">
        <f t="shared" si="149"/>
        <v>1.3509285393066301E-12</v>
      </c>
      <c r="CW146" s="22">
        <f t="shared" si="121"/>
        <v>2.5073107750038623E-12</v>
      </c>
      <c r="CX146" s="60">
        <f t="shared" si="122"/>
        <v>285.82766277731395</v>
      </c>
      <c r="CY146" s="60">
        <f ca="1">AVERAGE(OFFSET($CX$3,0,0,'Données projet'!$E$13+1,1))-AVERAGE(OFFSET($H$3,0,0,'Données projet'!$E$13+1,1))</f>
        <v>312.59632808777332</v>
      </c>
      <c r="CZ146" s="60">
        <f t="shared" si="150"/>
        <v>302.59481222418219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1.0818439477588981E-13</v>
      </c>
      <c r="DQ146" s="14">
        <f t="shared" si="151"/>
        <v>1.6104228458716316E-12</v>
      </c>
      <c r="DR146" s="22">
        <f t="shared" si="124"/>
        <v>2.9932409441277661E-12</v>
      </c>
      <c r="DS146" s="60">
        <f t="shared" si="125"/>
        <v>285.82766277731446</v>
      </c>
      <c r="DT146" s="60">
        <f ca="1">AVERAGE(OFFSET($DS$3,0,0,'Données projet'!$E$14+1,1))-AVERAGE(OFFSET($H$3,0,0,'Données projet'!$E$14+1,1))</f>
        <v>398.29746143975166</v>
      </c>
      <c r="DU146" s="60">
        <f t="shared" si="152"/>
        <v>300.63705521148802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2.4</v>
      </c>
      <c r="EJ146" s="13">
        <f>IF('Données projet'!$A$192&gt;35,EJ145+EI146-ER145,IF(A146&lt;'Données projet'!$A$192,$EG$205^A146,IF(A146='Données projet'!$A$192,'Données projet'!$B$192,EJ145+EI146-ER145)))</f>
        <v>276.19999999999919</v>
      </c>
      <c r="EK146" s="18">
        <f>EJ146*VLOOKUP('Données projet'!$B$15,Paramètres!$A$1:$I$89,3,0)*VLOOKUP('Données projet'!$B$15,Paramètres!$A$1:$I$89,5,0)</f>
        <v>267.14063999999922</v>
      </c>
      <c r="EL146" s="14">
        <f t="shared" si="153"/>
        <v>64.242065428895785</v>
      </c>
      <c r="EM146" s="22">
        <f t="shared" si="127"/>
        <v>577.15821195532533</v>
      </c>
      <c r="EN146" s="60">
        <f t="shared" si="128"/>
        <v>862.98587473263683</v>
      </c>
      <c r="EO146" s="60">
        <f ca="1">AVERAGE(OFFSET($EN$3,0,0,'Données projet'!$E$15+1,1))-AVERAGE(OFFSET($H$3,0,0,'Données projet'!$E$15+1,1))</f>
        <v>496.33873798282525</v>
      </c>
      <c r="EP146" s="60">
        <f t="shared" si="154"/>
        <v>280.25465074992246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3.4106051316484809E-13</v>
      </c>
      <c r="FF146" s="18">
        <f>FE146*VLOOKUP('Données projet'!$B$16,Paramètres!$A$1:$I$89,3,0)*VLOOKUP('Données projet'!$B$16,Paramètres!$A$1:$I$89,5,0)</f>
        <v>2.9795046430081134E-13</v>
      </c>
      <c r="FG146" s="14">
        <f t="shared" si="155"/>
        <v>3.9419014464513778E-12</v>
      </c>
      <c r="FH146" s="22">
        <f t="shared" si="130"/>
        <v>7.384408744560063E-12</v>
      </c>
      <c r="FI146" s="60">
        <f t="shared" si="131"/>
        <v>285.82766277731884</v>
      </c>
      <c r="FJ146" s="60">
        <f ca="1">AVERAGE(OFFSET($FI$3,0,0,'Données projet'!$E$16+1,1))-AVERAGE(OFFSET($H$3,0,0,'Données projet'!$E$16+1,1))</f>
        <v>363.28611056308665</v>
      </c>
      <c r="FK146" s="60">
        <f t="shared" si="156"/>
        <v>389.43647559455974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1.7053025658242404E-13</v>
      </c>
      <c r="GA146" s="18">
        <f>FZ146*VLOOKUP('Données projet'!$B$17,Paramètres!$A$1:$I$89,3,0)*VLOOKUP('Données projet'!$B$17,Paramètres!$A$1:$I$89,5,0)</f>
        <v>1.1439169611549005E-13</v>
      </c>
      <c r="GB146" s="14">
        <f t="shared" si="157"/>
        <v>1.6918016515029816E-12</v>
      </c>
      <c r="GC146" s="22">
        <f t="shared" si="133"/>
        <v>3.1457867471021712E-12</v>
      </c>
      <c r="GD146" s="60">
        <f t="shared" si="134"/>
        <v>285.82766277731457</v>
      </c>
      <c r="GE146" s="60">
        <f ca="1">AVERAGE(OFFSET($GD$3,0,0,'Données projet'!$E$17+1,1))-AVERAGE(OFFSET($H$3,0,0,'Données projet'!$E$17+1,1))</f>
        <v>344.62096650402731</v>
      </c>
      <c r="GF146" s="60">
        <f t="shared" si="158"/>
        <v>277.30931495079346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4</v>
      </c>
      <c r="N147" s="14">
        <f>IF('Données projet'!$A$36&gt;35,N146+M147-V146,IF(A147&lt;'Données projet'!$A$36,$K$205^A147,IF(A147='Données projet'!$A$36,'Données projet'!$B$36,N146+M147-V146)))</f>
        <v>461.99999999999932</v>
      </c>
      <c r="O147" s="14">
        <f>N147*VLOOKUP('Données projet'!$B$9,Paramètres!$A$1:$I$89,3,0)*VLOOKUP('Données projet'!$B$9,Paramètres!$A$1:$I$89,5,0)</f>
        <v>396.39599999999945</v>
      </c>
      <c r="P147" s="14">
        <f t="shared" si="141"/>
        <v>91.045625096627433</v>
      </c>
      <c r="Q147" s="22">
        <f t="shared" si="108"/>
        <v>848.96083037662504</v>
      </c>
      <c r="R147" s="60">
        <f t="shared" si="109"/>
        <v>1134.9186997579179</v>
      </c>
      <c r="S147" s="60">
        <f ca="1">AVERAGE(OFFSET($R$3,0,0,'Données projet'!$E$9+1,1))-AVERAGE(OFFSET($H$3,0,0,'Données projet'!$E$9+1,1))</f>
        <v>632.26350546340541</v>
      </c>
      <c r="T147" s="60">
        <f t="shared" si="142"/>
        <v>340.45335016367915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2.7134774427395314E-13</v>
      </c>
      <c r="AK147" s="14">
        <f t="shared" si="143"/>
        <v>3.6292411711343559E-12</v>
      </c>
      <c r="AL147" s="22">
        <f t="shared" si="112"/>
        <v>6.7935256943361388E-12</v>
      </c>
      <c r="AM147" s="60">
        <f t="shared" si="113"/>
        <v>285.9578693812997</v>
      </c>
      <c r="AN147" s="60">
        <f ca="1">AVERAGE(OFFSET($AM$3,0,0,'Données projet'!$E$10+1,1))-AVERAGE(OFFSET($H$3,0,0,'Données projet'!$E$10+1,1))</f>
        <v>336.25341821407534</v>
      </c>
      <c r="AO147" s="60">
        <f t="shared" si="144"/>
        <v>360.3246221345039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2.7134774427395314E-13</v>
      </c>
      <c r="BF147" s="14">
        <f t="shared" si="145"/>
        <v>3.6292411711343559E-12</v>
      </c>
      <c r="BG147" s="22">
        <f t="shared" si="115"/>
        <v>6.7935256943361388E-12</v>
      </c>
      <c r="BH147" s="60">
        <f t="shared" si="116"/>
        <v>285.9578693812997</v>
      </c>
      <c r="BI147" s="60">
        <f ca="1">AVERAGE(OFFSET($BH$3,0,0,'Données projet'!$E$11+1,1))-AVERAGE(OFFSET($H$3,0,0,'Données projet'!$E$11+1,1))</f>
        <v>336.25341821407534</v>
      </c>
      <c r="BJ147" s="60">
        <f t="shared" si="146"/>
        <v>360.3246221345039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252.07727999999923</v>
      </c>
      <c r="CA147" s="14">
        <f t="shared" si="147"/>
        <v>61.030544652154823</v>
      </c>
      <c r="CB147" s="22">
        <f t="shared" si="118"/>
        <v>545.32946126916829</v>
      </c>
      <c r="CC147" s="60">
        <f t="shared" si="119"/>
        <v>831.28733065046117</v>
      </c>
      <c r="CD147" s="60">
        <f ca="1">AVERAGE(OFFSET($CC$3,0,0,'Données projet'!$E$12+1,1))-AVERAGE(OFFSET($H$3,0,0,'Données projet'!$E$12+1,1))</f>
        <v>469.67944008675863</v>
      </c>
      <c r="CE147" s="60">
        <f t="shared" si="148"/>
        <v>266.11908070867173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8.8675733422860506E-14</v>
      </c>
      <c r="CV147" s="14">
        <f t="shared" si="149"/>
        <v>1.3509285393066301E-12</v>
      </c>
      <c r="CW147" s="22">
        <f t="shared" si="121"/>
        <v>2.5073107750038623E-12</v>
      </c>
      <c r="CX147" s="60">
        <f t="shared" si="122"/>
        <v>285.95786938129538</v>
      </c>
      <c r="CY147" s="60">
        <f ca="1">AVERAGE(OFFSET($CX$3,0,0,'Données projet'!$E$13+1,1))-AVERAGE(OFFSET($H$3,0,0,'Données projet'!$E$13+1,1))</f>
        <v>312.59632808777332</v>
      </c>
      <c r="CZ147" s="60">
        <f t="shared" si="150"/>
        <v>302.59481222418219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1.0818439477588981E-13</v>
      </c>
      <c r="DQ147" s="14">
        <f t="shared" si="151"/>
        <v>1.6104228458716316E-12</v>
      </c>
      <c r="DR147" s="22">
        <f t="shared" si="124"/>
        <v>2.9932409441277661E-12</v>
      </c>
      <c r="DS147" s="60">
        <f t="shared" si="125"/>
        <v>285.95786938129589</v>
      </c>
      <c r="DT147" s="60">
        <f ca="1">AVERAGE(OFFSET($DS$3,0,0,'Données projet'!$E$14+1,1))-AVERAGE(OFFSET($H$3,0,0,'Données projet'!$E$14+1,1))</f>
        <v>398.29746143975166</v>
      </c>
      <c r="DU147" s="60">
        <f t="shared" si="152"/>
        <v>300.63705521148802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2.4</v>
      </c>
      <c r="EJ147" s="13">
        <f>IF('Données projet'!$A$192&gt;35,EJ146+EI147-ER146,IF(A147&lt;'Données projet'!$A$192,$EG$205^A147,IF(A147='Données projet'!$A$192,'Données projet'!$B$192,EJ146+EI147-ER146)))</f>
        <v>278.59999999999917</v>
      </c>
      <c r="EK147" s="18">
        <f>EJ147*VLOOKUP('Données projet'!$B$15,Paramètres!$A$1:$I$89,3,0)*VLOOKUP('Données projet'!$B$15,Paramètres!$A$1:$I$89,5,0)</f>
        <v>269.46191999999922</v>
      </c>
      <c r="EL147" s="14">
        <f t="shared" si="153"/>
        <v>64.735061876838927</v>
      </c>
      <c r="EM147" s="22">
        <f t="shared" si="127"/>
        <v>582.05974343549315</v>
      </c>
      <c r="EN147" s="60">
        <f t="shared" si="128"/>
        <v>868.01761281678603</v>
      </c>
      <c r="EO147" s="60">
        <f ca="1">AVERAGE(OFFSET($EN$3,0,0,'Données projet'!$E$15+1,1))-AVERAGE(OFFSET($H$3,0,0,'Données projet'!$E$15+1,1))</f>
        <v>496.33873798282525</v>
      </c>
      <c r="EP147" s="60">
        <f t="shared" si="154"/>
        <v>280.25465074992246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3.4106051316484809E-13</v>
      </c>
      <c r="FF147" s="18">
        <f>FE147*VLOOKUP('Données projet'!$B$16,Paramètres!$A$1:$I$89,3,0)*VLOOKUP('Données projet'!$B$16,Paramètres!$A$1:$I$89,5,0)</f>
        <v>2.9795046430081134E-13</v>
      </c>
      <c r="FG147" s="14">
        <f t="shared" si="155"/>
        <v>3.9419014464513778E-12</v>
      </c>
      <c r="FH147" s="22">
        <f t="shared" si="130"/>
        <v>7.384408744560063E-12</v>
      </c>
      <c r="FI147" s="60">
        <f t="shared" si="131"/>
        <v>285.95786938130027</v>
      </c>
      <c r="FJ147" s="60">
        <f ca="1">AVERAGE(OFFSET($FI$3,0,0,'Données projet'!$E$16+1,1))-AVERAGE(OFFSET($H$3,0,0,'Données projet'!$E$16+1,1))</f>
        <v>363.28611056308665</v>
      </c>
      <c r="FK147" s="60">
        <f t="shared" si="156"/>
        <v>389.43647559455974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1.7053025658242404E-13</v>
      </c>
      <c r="GA147" s="18">
        <f>FZ147*VLOOKUP('Données projet'!$B$17,Paramètres!$A$1:$I$89,3,0)*VLOOKUP('Données projet'!$B$17,Paramètres!$A$1:$I$89,5,0)</f>
        <v>1.1439169611549005E-13</v>
      </c>
      <c r="GB147" s="14">
        <f t="shared" si="157"/>
        <v>1.6918016515029816E-12</v>
      </c>
      <c r="GC147" s="22">
        <f t="shared" si="133"/>
        <v>3.1457867471021712E-12</v>
      </c>
      <c r="GD147" s="60">
        <f t="shared" si="134"/>
        <v>285.95786938129601</v>
      </c>
      <c r="GE147" s="60">
        <f ca="1">AVERAGE(OFFSET($GD$3,0,0,'Données projet'!$E$17+1,1))-AVERAGE(OFFSET($H$3,0,0,'Données projet'!$E$17+1,1))</f>
        <v>344.62096650402731</v>
      </c>
      <c r="GF147" s="60">
        <f t="shared" si="158"/>
        <v>277.30931495079346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4</v>
      </c>
      <c r="N148" s="14">
        <f>IF('Données projet'!$A$36&gt;35,N147+M148-V147,IF(A148&lt;'Données projet'!$A$36,$K$205^A148,IF(A148='Données projet'!$A$36,'Données projet'!$B$36,N147+M148-V147)))</f>
        <v>465.99999999999932</v>
      </c>
      <c r="O148" s="14">
        <f>N148*VLOOKUP('Données projet'!$B$9,Paramètres!$A$1:$I$89,3,0)*VLOOKUP('Données projet'!$B$9,Paramètres!$A$1:$I$89,5,0)</f>
        <v>399.82799999999952</v>
      </c>
      <c r="P148" s="14">
        <f t="shared" si="141"/>
        <v>91.741793988042701</v>
      </c>
      <c r="Q148" s="22">
        <f t="shared" si="108"/>
        <v>856.15072452917332</v>
      </c>
      <c r="R148" s="60">
        <f t="shared" si="109"/>
        <v>1142.2365417209669</v>
      </c>
      <c r="S148" s="60">
        <f ca="1">AVERAGE(OFFSET($R$3,0,0,'Données projet'!$E$9+1,1))-AVERAGE(OFFSET($H$3,0,0,'Données projet'!$E$9+1,1))</f>
        <v>632.26350546340541</v>
      </c>
      <c r="T148" s="60">
        <f t="shared" si="142"/>
        <v>340.45335016367915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2.7134774427395314E-13</v>
      </c>
      <c r="AK148" s="14">
        <f t="shared" si="143"/>
        <v>3.6292411711343559E-12</v>
      </c>
      <c r="AL148" s="22">
        <f t="shared" si="112"/>
        <v>6.7935256943361388E-12</v>
      </c>
      <c r="AM148" s="60">
        <f t="shared" si="113"/>
        <v>286.0858171918004</v>
      </c>
      <c r="AN148" s="60">
        <f ca="1">AVERAGE(OFFSET($AM$3,0,0,'Données projet'!$E$10+1,1))-AVERAGE(OFFSET($H$3,0,0,'Données projet'!$E$10+1,1))</f>
        <v>336.25341821407534</v>
      </c>
      <c r="AO148" s="60">
        <f t="shared" si="144"/>
        <v>360.3246221345039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2.7134774427395314E-13</v>
      </c>
      <c r="BF148" s="14">
        <f t="shared" si="145"/>
        <v>3.6292411711343559E-12</v>
      </c>
      <c r="BG148" s="22">
        <f t="shared" si="115"/>
        <v>6.7935256943361388E-12</v>
      </c>
      <c r="BH148" s="60">
        <f t="shared" si="116"/>
        <v>286.0858171918004</v>
      </c>
      <c r="BI148" s="60">
        <f ca="1">AVERAGE(OFFSET($BH$3,0,0,'Données projet'!$E$11+1,1))-AVERAGE(OFFSET($H$3,0,0,'Données projet'!$E$11+1,1))</f>
        <v>336.25341821407534</v>
      </c>
      <c r="BJ148" s="60">
        <f t="shared" si="146"/>
        <v>360.3246221345039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254.24879999999925</v>
      </c>
      <c r="CA148" s="14">
        <f t="shared" si="147"/>
        <v>61.494863147658698</v>
      </c>
      <c r="CB148" s="22">
        <f t="shared" si="118"/>
        <v>549.92021331550427</v>
      </c>
      <c r="CC148" s="60">
        <f t="shared" si="119"/>
        <v>836.00603050729785</v>
      </c>
      <c r="CD148" s="60">
        <f ca="1">AVERAGE(OFFSET($CC$3,0,0,'Données projet'!$E$12+1,1))-AVERAGE(OFFSET($H$3,0,0,'Données projet'!$E$12+1,1))</f>
        <v>469.67944008675863</v>
      </c>
      <c r="CE148" s="60">
        <f t="shared" si="148"/>
        <v>266.11908070867173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8.8675733422860506E-14</v>
      </c>
      <c r="CV148" s="14">
        <f t="shared" si="149"/>
        <v>1.3509285393066301E-12</v>
      </c>
      <c r="CW148" s="22">
        <f t="shared" si="121"/>
        <v>2.5073107750038623E-12</v>
      </c>
      <c r="CX148" s="60">
        <f t="shared" si="122"/>
        <v>286.08581719179608</v>
      </c>
      <c r="CY148" s="60">
        <f ca="1">AVERAGE(OFFSET($CX$3,0,0,'Données projet'!$E$13+1,1))-AVERAGE(OFFSET($H$3,0,0,'Données projet'!$E$13+1,1))</f>
        <v>312.59632808777332</v>
      </c>
      <c r="CZ148" s="60">
        <f t="shared" si="150"/>
        <v>302.59481222418219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1.0818439477588981E-13</v>
      </c>
      <c r="DQ148" s="14">
        <f t="shared" si="151"/>
        <v>1.6104228458716316E-12</v>
      </c>
      <c r="DR148" s="22">
        <f t="shared" si="124"/>
        <v>2.9932409441277661E-12</v>
      </c>
      <c r="DS148" s="60">
        <f t="shared" si="125"/>
        <v>286.08581719179659</v>
      </c>
      <c r="DT148" s="60">
        <f ca="1">AVERAGE(OFFSET($DS$3,0,0,'Données projet'!$E$14+1,1))-AVERAGE(OFFSET($H$3,0,0,'Données projet'!$E$14+1,1))</f>
        <v>398.29746143975166</v>
      </c>
      <c r="DU148" s="60">
        <f t="shared" si="152"/>
        <v>300.63705521148802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2.4</v>
      </c>
      <c r="EJ148" s="13">
        <f>IF('Données projet'!$A$192&gt;35,EJ147+EI148-ER147,IF(A148&lt;'Données projet'!$A$192,$EG$205^A148,IF(A148='Données projet'!$A$192,'Données projet'!$B$192,EJ147+EI148-ER147)))</f>
        <v>280.99999999999915</v>
      </c>
      <c r="EK148" s="18">
        <f>EJ148*VLOOKUP('Données projet'!$B$15,Paramètres!$A$1:$I$89,3,0)*VLOOKUP('Données projet'!$B$15,Paramètres!$A$1:$I$89,5,0)</f>
        <v>271.78319999999917</v>
      </c>
      <c r="EL148" s="14">
        <f t="shared" si="153"/>
        <v>65.227564224775008</v>
      </c>
      <c r="EM148" s="22">
        <f t="shared" si="127"/>
        <v>586.96041435814834</v>
      </c>
      <c r="EN148" s="60">
        <f t="shared" si="128"/>
        <v>873.04623154994192</v>
      </c>
      <c r="EO148" s="60">
        <f ca="1">AVERAGE(OFFSET($EN$3,0,0,'Données projet'!$E$15+1,1))-AVERAGE(OFFSET($H$3,0,0,'Données projet'!$E$15+1,1))</f>
        <v>496.33873798282525</v>
      </c>
      <c r="EP148" s="60">
        <f t="shared" si="154"/>
        <v>280.25465074992246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3.4106051316484809E-13</v>
      </c>
      <c r="FF148" s="18">
        <f>FE148*VLOOKUP('Données projet'!$B$16,Paramètres!$A$1:$I$89,3,0)*VLOOKUP('Données projet'!$B$16,Paramètres!$A$1:$I$89,5,0)</f>
        <v>2.9795046430081134E-13</v>
      </c>
      <c r="FG148" s="14">
        <f t="shared" si="155"/>
        <v>3.9419014464513778E-12</v>
      </c>
      <c r="FH148" s="22">
        <f t="shared" si="130"/>
        <v>7.384408744560063E-12</v>
      </c>
      <c r="FI148" s="60">
        <f t="shared" si="131"/>
        <v>286.08581719180097</v>
      </c>
      <c r="FJ148" s="60">
        <f ca="1">AVERAGE(OFFSET($FI$3,0,0,'Données projet'!$E$16+1,1))-AVERAGE(OFFSET($H$3,0,0,'Données projet'!$E$16+1,1))</f>
        <v>363.28611056308665</v>
      </c>
      <c r="FK148" s="60">
        <f t="shared" si="156"/>
        <v>389.43647559455974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1.7053025658242404E-13</v>
      </c>
      <c r="GA148" s="18">
        <f>FZ148*VLOOKUP('Données projet'!$B$17,Paramètres!$A$1:$I$89,3,0)*VLOOKUP('Données projet'!$B$17,Paramètres!$A$1:$I$89,5,0)</f>
        <v>1.1439169611549005E-13</v>
      </c>
      <c r="GB148" s="14">
        <f t="shared" si="157"/>
        <v>1.6918016515029816E-12</v>
      </c>
      <c r="GC148" s="22">
        <f t="shared" si="133"/>
        <v>3.1457867471021712E-12</v>
      </c>
      <c r="GD148" s="60">
        <f t="shared" si="134"/>
        <v>286.08581719179671</v>
      </c>
      <c r="GE148" s="60">
        <f ca="1">AVERAGE(OFFSET($GD$3,0,0,'Données projet'!$E$17+1,1))-AVERAGE(OFFSET($H$3,0,0,'Données projet'!$E$17+1,1))</f>
        <v>344.62096650402731</v>
      </c>
      <c r="GF148" s="60">
        <f t="shared" si="158"/>
        <v>277.30931495079346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4</v>
      </c>
      <c r="N149" s="14">
        <f>IF('Données projet'!$A$36&gt;35,N148+M149-V148,IF(A149&lt;'Données projet'!$A$36,$K$205^A149,IF(A149='Données projet'!$A$36,'Données projet'!$B$36,N148+M149-V148)))</f>
        <v>469.99999999999932</v>
      </c>
      <c r="O149" s="14">
        <f>N149*VLOOKUP('Données projet'!$B$9,Paramètres!$A$1:$I$89,3,0)*VLOOKUP('Données projet'!$B$9,Paramètres!$A$1:$I$89,5,0)</f>
        <v>403.25999999999948</v>
      </c>
      <c r="P149" s="14">
        <f t="shared" si="141"/>
        <v>92.437267646477807</v>
      </c>
      <c r="Q149" s="22">
        <f t="shared" si="108"/>
        <v>863.33940781761464</v>
      </c>
      <c r="R149" s="60">
        <f t="shared" si="109"/>
        <v>1149.5509532114452</v>
      </c>
      <c r="S149" s="60">
        <f ca="1">AVERAGE(OFFSET($R$3,0,0,'Données projet'!$E$9+1,1))-AVERAGE(OFFSET($H$3,0,0,'Données projet'!$E$9+1,1))</f>
        <v>632.26350546340541</v>
      </c>
      <c r="T149" s="60">
        <f t="shared" si="142"/>
        <v>340.45335016367915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2.7134774427395314E-13</v>
      </c>
      <c r="AK149" s="14">
        <f t="shared" si="143"/>
        <v>3.6292411711343559E-12</v>
      </c>
      <c r="AL149" s="22">
        <f t="shared" si="112"/>
        <v>6.7935256943361388E-12</v>
      </c>
      <c r="AM149" s="60">
        <f t="shared" si="113"/>
        <v>286.21154539383747</v>
      </c>
      <c r="AN149" s="60">
        <f ca="1">AVERAGE(OFFSET($AM$3,0,0,'Données projet'!$E$10+1,1))-AVERAGE(OFFSET($H$3,0,0,'Données projet'!$E$10+1,1))</f>
        <v>336.25341821407534</v>
      </c>
      <c r="AO149" s="60">
        <f t="shared" si="144"/>
        <v>360.3246221345039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2.7134774427395314E-13</v>
      </c>
      <c r="BF149" s="14">
        <f t="shared" si="145"/>
        <v>3.6292411711343559E-12</v>
      </c>
      <c r="BG149" s="22">
        <f t="shared" si="115"/>
        <v>6.7935256943361388E-12</v>
      </c>
      <c r="BH149" s="60">
        <f t="shared" si="116"/>
        <v>286.21154539383747</v>
      </c>
      <c r="BI149" s="60">
        <f ca="1">AVERAGE(OFFSET($BH$3,0,0,'Données projet'!$E$11+1,1))-AVERAGE(OFFSET($H$3,0,0,'Données projet'!$E$11+1,1))</f>
        <v>336.25341821407534</v>
      </c>
      <c r="BJ149" s="60">
        <f t="shared" si="146"/>
        <v>360.3246221345039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256.42031999999921</v>
      </c>
      <c r="CA149" s="14">
        <f t="shared" si="147"/>
        <v>61.958720258016747</v>
      </c>
      <c r="CB149" s="22">
        <f t="shared" si="118"/>
        <v>554.51016178271107</v>
      </c>
      <c r="CC149" s="60">
        <f t="shared" si="119"/>
        <v>840.72170717654171</v>
      </c>
      <c r="CD149" s="60">
        <f ca="1">AVERAGE(OFFSET($CC$3,0,0,'Données projet'!$E$12+1,1))-AVERAGE(OFFSET($H$3,0,0,'Données projet'!$E$12+1,1))</f>
        <v>469.67944008675863</v>
      </c>
      <c r="CE149" s="60">
        <f t="shared" si="148"/>
        <v>266.11908070867173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8.8675733422860506E-14</v>
      </c>
      <c r="CV149" s="14">
        <f t="shared" si="149"/>
        <v>1.3509285393066301E-12</v>
      </c>
      <c r="CW149" s="22">
        <f t="shared" si="121"/>
        <v>2.5073107750038623E-12</v>
      </c>
      <c r="CX149" s="60">
        <f t="shared" si="122"/>
        <v>286.21154539383315</v>
      </c>
      <c r="CY149" s="60">
        <f ca="1">AVERAGE(OFFSET($CX$3,0,0,'Données projet'!$E$13+1,1))-AVERAGE(OFFSET($H$3,0,0,'Données projet'!$E$13+1,1))</f>
        <v>312.59632808777332</v>
      </c>
      <c r="CZ149" s="60">
        <f t="shared" si="150"/>
        <v>302.59481222418219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1.0818439477588981E-13</v>
      </c>
      <c r="DQ149" s="14">
        <f t="shared" si="151"/>
        <v>1.6104228458716316E-12</v>
      </c>
      <c r="DR149" s="22">
        <f t="shared" si="124"/>
        <v>2.9932409441277661E-12</v>
      </c>
      <c r="DS149" s="60">
        <f t="shared" si="125"/>
        <v>286.21154539383366</v>
      </c>
      <c r="DT149" s="60">
        <f ca="1">AVERAGE(OFFSET($DS$3,0,0,'Données projet'!$E$14+1,1))-AVERAGE(OFFSET($H$3,0,0,'Données projet'!$E$14+1,1))</f>
        <v>398.29746143975166</v>
      </c>
      <c r="DU149" s="60">
        <f t="shared" si="152"/>
        <v>300.63705521148802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2.4</v>
      </c>
      <c r="EJ149" s="13">
        <f>IF('Données projet'!$A$192&gt;35,EJ148+EI149-ER148,IF(A149&lt;'Données projet'!$A$192,$EG$205^A149,IF(A149='Données projet'!$A$192,'Données projet'!$B$192,EJ148+EI149-ER148)))</f>
        <v>283.39999999999912</v>
      </c>
      <c r="EK149" s="18">
        <f>EJ149*VLOOKUP('Données projet'!$B$15,Paramètres!$A$1:$I$89,3,0)*VLOOKUP('Données projet'!$B$15,Paramètres!$A$1:$I$89,5,0)</f>
        <v>274.10447999999917</v>
      </c>
      <c r="EL149" s="14">
        <f t="shared" si="153"/>
        <v>65.719577181765331</v>
      </c>
      <c r="EM149" s="22">
        <f t="shared" si="127"/>
        <v>591.86023292490643</v>
      </c>
      <c r="EN149" s="60">
        <f t="shared" si="128"/>
        <v>878.07177831873707</v>
      </c>
      <c r="EO149" s="60">
        <f ca="1">AVERAGE(OFFSET($EN$3,0,0,'Données projet'!$E$15+1,1))-AVERAGE(OFFSET($H$3,0,0,'Données projet'!$E$15+1,1))</f>
        <v>496.33873798282525</v>
      </c>
      <c r="EP149" s="60">
        <f t="shared" si="154"/>
        <v>280.25465074992246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3.4106051316484809E-13</v>
      </c>
      <c r="FF149" s="18">
        <f>FE149*VLOOKUP('Données projet'!$B$16,Paramètres!$A$1:$I$89,3,0)*VLOOKUP('Données projet'!$B$16,Paramètres!$A$1:$I$89,5,0)</f>
        <v>2.9795046430081134E-13</v>
      </c>
      <c r="FG149" s="14">
        <f t="shared" si="155"/>
        <v>3.9419014464513778E-12</v>
      </c>
      <c r="FH149" s="22">
        <f t="shared" si="130"/>
        <v>7.384408744560063E-12</v>
      </c>
      <c r="FI149" s="60">
        <f t="shared" si="131"/>
        <v>286.21154539383804</v>
      </c>
      <c r="FJ149" s="60">
        <f ca="1">AVERAGE(OFFSET($FI$3,0,0,'Données projet'!$E$16+1,1))-AVERAGE(OFFSET($H$3,0,0,'Données projet'!$E$16+1,1))</f>
        <v>363.28611056308665</v>
      </c>
      <c r="FK149" s="60">
        <f t="shared" si="156"/>
        <v>389.43647559455974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1.7053025658242404E-13</v>
      </c>
      <c r="GA149" s="18">
        <f>FZ149*VLOOKUP('Données projet'!$B$17,Paramètres!$A$1:$I$89,3,0)*VLOOKUP('Données projet'!$B$17,Paramètres!$A$1:$I$89,5,0)</f>
        <v>1.1439169611549005E-13</v>
      </c>
      <c r="GB149" s="14">
        <f t="shared" si="157"/>
        <v>1.6918016515029816E-12</v>
      </c>
      <c r="GC149" s="22">
        <f t="shared" si="133"/>
        <v>3.1457867471021712E-12</v>
      </c>
      <c r="GD149" s="60">
        <f t="shared" si="134"/>
        <v>286.21154539383377</v>
      </c>
      <c r="GE149" s="60">
        <f ca="1">AVERAGE(OFFSET($GD$3,0,0,'Données projet'!$E$17+1,1))-AVERAGE(OFFSET($H$3,0,0,'Données projet'!$E$17+1,1))</f>
        <v>344.62096650402731</v>
      </c>
      <c r="GF149" s="60">
        <f t="shared" si="158"/>
        <v>277.30931495079346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4</v>
      </c>
      <c r="N150" s="14">
        <f>IF('Données projet'!$A$36&gt;35,N149+M150-V149,IF(A150&lt;'Données projet'!$A$36,$K$205^A150,IF(A150='Données projet'!$A$36,'Données projet'!$B$36,N149+M150-V149)))</f>
        <v>473.99999999999932</v>
      </c>
      <c r="O150" s="14">
        <f>N150*VLOOKUP('Données projet'!$B$9,Paramètres!$A$1:$I$89,3,0)*VLOOKUP('Données projet'!$B$9,Paramètres!$A$1:$I$89,5,0)</f>
        <v>406.69199999999944</v>
      </c>
      <c r="P150" s="14">
        <f t="shared" si="141"/>
        <v>93.132052674423022</v>
      </c>
      <c r="Q150" s="22">
        <f t="shared" si="108"/>
        <v>870.52689174128579</v>
      </c>
      <c r="R150" s="60">
        <f t="shared" si="109"/>
        <v>1156.8619842339342</v>
      </c>
      <c r="S150" s="60">
        <f ca="1">AVERAGE(OFFSET($R$3,0,0,'Données projet'!$E$9+1,1))-AVERAGE(OFFSET($H$3,0,0,'Données projet'!$E$9+1,1))</f>
        <v>632.26350546340541</v>
      </c>
      <c r="T150" s="60">
        <f t="shared" si="142"/>
        <v>340.45335016367915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2.7134774427395314E-13</v>
      </c>
      <c r="AK150" s="14">
        <f t="shared" si="143"/>
        <v>3.6292411711343559E-12</v>
      </c>
      <c r="AL150" s="22">
        <f t="shared" si="112"/>
        <v>6.7935256943361388E-12</v>
      </c>
      <c r="AM150" s="60">
        <f t="shared" si="113"/>
        <v>286.33509249265524</v>
      </c>
      <c r="AN150" s="60">
        <f ca="1">AVERAGE(OFFSET($AM$3,0,0,'Données projet'!$E$10+1,1))-AVERAGE(OFFSET($H$3,0,0,'Données projet'!$E$10+1,1))</f>
        <v>336.25341821407534</v>
      </c>
      <c r="AO150" s="60">
        <f t="shared" si="144"/>
        <v>360.3246221345039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2.7134774427395314E-13</v>
      </c>
      <c r="BF150" s="14">
        <f t="shared" si="145"/>
        <v>3.6292411711343559E-12</v>
      </c>
      <c r="BG150" s="22">
        <f t="shared" si="115"/>
        <v>6.7935256943361388E-12</v>
      </c>
      <c r="BH150" s="60">
        <f t="shared" si="116"/>
        <v>286.33509249265524</v>
      </c>
      <c r="BI150" s="60">
        <f ca="1">AVERAGE(OFFSET($BH$3,0,0,'Données projet'!$E$11+1,1))-AVERAGE(OFFSET($H$3,0,0,'Données projet'!$E$11+1,1))</f>
        <v>336.25341821407534</v>
      </c>
      <c r="BJ150" s="60">
        <f t="shared" si="146"/>
        <v>360.3246221345039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258.59183999999919</v>
      </c>
      <c r="CA150" s="14">
        <f t="shared" si="147"/>
        <v>62.422120343276475</v>
      </c>
      <c r="CB150" s="22">
        <f t="shared" si="118"/>
        <v>559.09931426453841</v>
      </c>
      <c r="CC150" s="60">
        <f t="shared" si="119"/>
        <v>845.43440675718682</v>
      </c>
      <c r="CD150" s="60">
        <f ca="1">AVERAGE(OFFSET($CC$3,0,0,'Données projet'!$E$12+1,1))-AVERAGE(OFFSET($H$3,0,0,'Données projet'!$E$12+1,1))</f>
        <v>469.67944008675863</v>
      </c>
      <c r="CE150" s="60">
        <f t="shared" si="148"/>
        <v>266.11908070867173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8.8675733422860506E-14</v>
      </c>
      <c r="CV150" s="14">
        <f t="shared" si="149"/>
        <v>1.3509285393066301E-12</v>
      </c>
      <c r="CW150" s="22">
        <f t="shared" si="121"/>
        <v>2.5073107750038623E-12</v>
      </c>
      <c r="CX150" s="60">
        <f t="shared" si="122"/>
        <v>286.33509249265092</v>
      </c>
      <c r="CY150" s="60">
        <f ca="1">AVERAGE(OFFSET($CX$3,0,0,'Données projet'!$E$13+1,1))-AVERAGE(OFFSET($H$3,0,0,'Données projet'!$E$13+1,1))</f>
        <v>312.59632808777332</v>
      </c>
      <c r="CZ150" s="60">
        <f t="shared" si="150"/>
        <v>302.59481222418219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1.0818439477588981E-13</v>
      </c>
      <c r="DQ150" s="14">
        <f t="shared" si="151"/>
        <v>1.6104228458716316E-12</v>
      </c>
      <c r="DR150" s="22">
        <f t="shared" si="124"/>
        <v>2.9932409441277661E-12</v>
      </c>
      <c r="DS150" s="60">
        <f t="shared" si="125"/>
        <v>286.33509249265143</v>
      </c>
      <c r="DT150" s="60">
        <f ca="1">AVERAGE(OFFSET($DS$3,0,0,'Données projet'!$E$14+1,1))-AVERAGE(OFFSET($H$3,0,0,'Données projet'!$E$14+1,1))</f>
        <v>398.29746143975166</v>
      </c>
      <c r="DU150" s="60">
        <f t="shared" si="152"/>
        <v>300.63705521148802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2.4</v>
      </c>
      <c r="EJ150" s="13">
        <f>IF('Données projet'!$A$192&gt;35,EJ149+EI150-ER149,IF(A150&lt;'Données projet'!$A$192,$EG$205^A150,IF(A150='Données projet'!$A$192,'Données projet'!$B$192,EJ149+EI150-ER149)))</f>
        <v>285.7999999999991</v>
      </c>
      <c r="EK150" s="18">
        <f>EJ150*VLOOKUP('Données projet'!$B$15,Paramètres!$A$1:$I$89,3,0)*VLOOKUP('Données projet'!$B$15,Paramètres!$A$1:$I$89,5,0)</f>
        <v>276.42575999999912</v>
      </c>
      <c r="EL150" s="14">
        <f t="shared" si="153"/>
        <v>66.211105372509707</v>
      </c>
      <c r="EM150" s="22">
        <f t="shared" si="127"/>
        <v>596.75920719045291</v>
      </c>
      <c r="EN150" s="60">
        <f t="shared" si="128"/>
        <v>883.09429968310133</v>
      </c>
      <c r="EO150" s="60">
        <f ca="1">AVERAGE(OFFSET($EN$3,0,0,'Données projet'!$E$15+1,1))-AVERAGE(OFFSET($H$3,0,0,'Données projet'!$E$15+1,1))</f>
        <v>496.33873798282525</v>
      </c>
      <c r="EP150" s="60">
        <f t="shared" si="154"/>
        <v>280.25465074992246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3.4106051316484809E-13</v>
      </c>
      <c r="FF150" s="18">
        <f>FE150*VLOOKUP('Données projet'!$B$16,Paramètres!$A$1:$I$89,3,0)*VLOOKUP('Données projet'!$B$16,Paramètres!$A$1:$I$89,5,0)</f>
        <v>2.9795046430081134E-13</v>
      </c>
      <c r="FG150" s="14">
        <f t="shared" si="155"/>
        <v>3.9419014464513778E-12</v>
      </c>
      <c r="FH150" s="22">
        <f t="shared" si="130"/>
        <v>7.384408744560063E-12</v>
      </c>
      <c r="FI150" s="60">
        <f t="shared" si="131"/>
        <v>286.3350924926558</v>
      </c>
      <c r="FJ150" s="60">
        <f ca="1">AVERAGE(OFFSET($FI$3,0,0,'Données projet'!$E$16+1,1))-AVERAGE(OFFSET($H$3,0,0,'Données projet'!$E$16+1,1))</f>
        <v>363.28611056308665</v>
      </c>
      <c r="FK150" s="60">
        <f t="shared" si="156"/>
        <v>389.43647559455974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1.7053025658242404E-13</v>
      </c>
      <c r="GA150" s="18">
        <f>FZ150*VLOOKUP('Données projet'!$B$17,Paramètres!$A$1:$I$89,3,0)*VLOOKUP('Données projet'!$B$17,Paramètres!$A$1:$I$89,5,0)</f>
        <v>1.1439169611549005E-13</v>
      </c>
      <c r="GB150" s="14">
        <f t="shared" si="157"/>
        <v>1.6918016515029816E-12</v>
      </c>
      <c r="GC150" s="22">
        <f t="shared" si="133"/>
        <v>3.1457867471021712E-12</v>
      </c>
      <c r="GD150" s="60">
        <f t="shared" si="134"/>
        <v>286.33509249265154</v>
      </c>
      <c r="GE150" s="60">
        <f ca="1">AVERAGE(OFFSET($GD$3,0,0,'Données projet'!$E$17+1,1))-AVERAGE(OFFSET($H$3,0,0,'Données projet'!$E$17+1,1))</f>
        <v>344.62096650402731</v>
      </c>
      <c r="GF150" s="60">
        <f t="shared" si="158"/>
        <v>277.30931495079346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4</v>
      </c>
      <c r="N151" s="14">
        <f>IF('Données projet'!$A$36&gt;35,N150+M151-V150,IF(A151&lt;'Données projet'!$A$36,$K$205^A151,IF(A151='Données projet'!$A$36,'Données projet'!$B$36,N150+M151-V150)))</f>
        <v>477.99999999999932</v>
      </c>
      <c r="O151" s="14">
        <f>N151*VLOOKUP('Données projet'!$B$9,Paramètres!$A$1:$I$89,3,0)*VLOOKUP('Données projet'!$B$9,Paramètres!$A$1:$I$89,5,0)</f>
        <v>410.12399999999946</v>
      </c>
      <c r="P151" s="14">
        <f t="shared" si="141"/>
        <v>93.826155556501959</v>
      </c>
      <c r="Q151" s="22">
        <f t="shared" si="108"/>
        <v>877.71318759423991</v>
      </c>
      <c r="R151" s="60">
        <f t="shared" si="109"/>
        <v>1164.1696839197516</v>
      </c>
      <c r="S151" s="60">
        <f ca="1">AVERAGE(OFFSET($R$3,0,0,'Données projet'!$E$9+1,1))-AVERAGE(OFFSET($H$3,0,0,'Données projet'!$E$9+1,1))</f>
        <v>632.26350546340541</v>
      </c>
      <c r="T151" s="60">
        <f t="shared" si="142"/>
        <v>340.45335016367915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2.7134774427395314E-13</v>
      </c>
      <c r="AK151" s="14">
        <f t="shared" si="143"/>
        <v>3.6292411711343559E-12</v>
      </c>
      <c r="AL151" s="22">
        <f t="shared" si="112"/>
        <v>6.7935256943361388E-12</v>
      </c>
      <c r="AM151" s="60">
        <f t="shared" si="113"/>
        <v>286.45649632551851</v>
      </c>
      <c r="AN151" s="60">
        <f ca="1">AVERAGE(OFFSET($AM$3,0,0,'Données projet'!$E$10+1,1))-AVERAGE(OFFSET($H$3,0,0,'Données projet'!$E$10+1,1))</f>
        <v>336.25341821407534</v>
      </c>
      <c r="AO151" s="60">
        <f t="shared" si="144"/>
        <v>360.3246221345039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2.7134774427395314E-13</v>
      </c>
      <c r="BF151" s="14">
        <f t="shared" si="145"/>
        <v>3.6292411711343559E-12</v>
      </c>
      <c r="BG151" s="22">
        <f t="shared" si="115"/>
        <v>6.7935256943361388E-12</v>
      </c>
      <c r="BH151" s="60">
        <f t="shared" si="116"/>
        <v>286.45649632551851</v>
      </c>
      <c r="BI151" s="60">
        <f ca="1">AVERAGE(OFFSET($BH$3,0,0,'Données projet'!$E$11+1,1))-AVERAGE(OFFSET($H$3,0,0,'Données projet'!$E$11+1,1))</f>
        <v>336.25341821407534</v>
      </c>
      <c r="BJ151" s="60">
        <f t="shared" si="146"/>
        <v>360.3246221345039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260.76335999999918</v>
      </c>
      <c r="CA151" s="14">
        <f t="shared" si="147"/>
        <v>62.885067686031789</v>
      </c>
      <c r="CB151" s="22">
        <f t="shared" si="118"/>
        <v>563.68767821983727</v>
      </c>
      <c r="CC151" s="60">
        <f t="shared" si="119"/>
        <v>850.14417454534896</v>
      </c>
      <c r="CD151" s="60">
        <f ca="1">AVERAGE(OFFSET($CC$3,0,0,'Données projet'!$E$12+1,1))-AVERAGE(OFFSET($H$3,0,0,'Données projet'!$E$12+1,1))</f>
        <v>469.67944008675863</v>
      </c>
      <c r="CE151" s="60">
        <f t="shared" si="148"/>
        <v>266.11908070867173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8.8675733422860506E-14</v>
      </c>
      <c r="CV151" s="14">
        <f t="shared" si="149"/>
        <v>1.3509285393066301E-12</v>
      </c>
      <c r="CW151" s="22">
        <f t="shared" si="121"/>
        <v>2.5073107750038623E-12</v>
      </c>
      <c r="CX151" s="60">
        <f t="shared" si="122"/>
        <v>286.45649632551419</v>
      </c>
      <c r="CY151" s="60">
        <f ca="1">AVERAGE(OFFSET($CX$3,0,0,'Données projet'!$E$13+1,1))-AVERAGE(OFFSET($H$3,0,0,'Données projet'!$E$13+1,1))</f>
        <v>312.59632808777332</v>
      </c>
      <c r="CZ151" s="60">
        <f t="shared" si="150"/>
        <v>302.59481222418219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1.0818439477588981E-13</v>
      </c>
      <c r="DQ151" s="14">
        <f t="shared" si="151"/>
        <v>1.6104228458716316E-12</v>
      </c>
      <c r="DR151" s="22">
        <f t="shared" si="124"/>
        <v>2.9932409441277661E-12</v>
      </c>
      <c r="DS151" s="60">
        <f t="shared" si="125"/>
        <v>286.45649632551471</v>
      </c>
      <c r="DT151" s="60">
        <f ca="1">AVERAGE(OFFSET($DS$3,0,0,'Données projet'!$E$14+1,1))-AVERAGE(OFFSET($H$3,0,0,'Données projet'!$E$14+1,1))</f>
        <v>398.29746143975166</v>
      </c>
      <c r="DU151" s="60">
        <f t="shared" si="152"/>
        <v>300.63705521148802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2.4</v>
      </c>
      <c r="EJ151" s="13">
        <f>IF('Données projet'!$A$192&gt;35,EJ150+EI151-ER150,IF(A151&lt;'Données projet'!$A$192,$EG$205^A151,IF(A151='Données projet'!$A$192,'Données projet'!$B$192,EJ150+EI151-ER150)))</f>
        <v>288.19999999999908</v>
      </c>
      <c r="EK151" s="18">
        <f>EJ151*VLOOKUP('Données projet'!$B$15,Paramètres!$A$1:$I$89,3,0)*VLOOKUP('Données projet'!$B$15,Paramètres!$A$1:$I$89,5,0)</f>
        <v>278.74703999999912</v>
      </c>
      <c r="EL151" s="14">
        <f t="shared" si="153"/>
        <v>66.702153339553078</v>
      </c>
      <c r="EM151" s="22">
        <f t="shared" si="127"/>
        <v>601.65734506638671</v>
      </c>
      <c r="EN151" s="60">
        <f t="shared" si="128"/>
        <v>888.1138413918984</v>
      </c>
      <c r="EO151" s="60">
        <f ca="1">AVERAGE(OFFSET($EN$3,0,0,'Données projet'!$E$15+1,1))-AVERAGE(OFFSET($H$3,0,0,'Données projet'!$E$15+1,1))</f>
        <v>496.33873798282525</v>
      </c>
      <c r="EP151" s="60">
        <f t="shared" si="154"/>
        <v>280.25465074992246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3.4106051316484809E-13</v>
      </c>
      <c r="FF151" s="18">
        <f>FE151*VLOOKUP('Données projet'!$B$16,Paramètres!$A$1:$I$89,3,0)*VLOOKUP('Données projet'!$B$16,Paramètres!$A$1:$I$89,5,0)</f>
        <v>2.9795046430081134E-13</v>
      </c>
      <c r="FG151" s="14">
        <f t="shared" si="155"/>
        <v>3.9419014464513778E-12</v>
      </c>
      <c r="FH151" s="22">
        <f t="shared" si="130"/>
        <v>7.384408744560063E-12</v>
      </c>
      <c r="FI151" s="60">
        <f t="shared" si="131"/>
        <v>286.45649632551908</v>
      </c>
      <c r="FJ151" s="60">
        <f ca="1">AVERAGE(OFFSET($FI$3,0,0,'Données projet'!$E$16+1,1))-AVERAGE(OFFSET($H$3,0,0,'Données projet'!$E$16+1,1))</f>
        <v>363.28611056308665</v>
      </c>
      <c r="FK151" s="60">
        <f t="shared" si="156"/>
        <v>389.43647559455974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1.7053025658242404E-13</v>
      </c>
      <c r="GA151" s="18">
        <f>FZ151*VLOOKUP('Données projet'!$B$17,Paramètres!$A$1:$I$89,3,0)*VLOOKUP('Données projet'!$B$17,Paramètres!$A$1:$I$89,5,0)</f>
        <v>1.1439169611549005E-13</v>
      </c>
      <c r="GB151" s="14">
        <f t="shared" si="157"/>
        <v>1.6918016515029816E-12</v>
      </c>
      <c r="GC151" s="22">
        <f t="shared" si="133"/>
        <v>3.1457867471021712E-12</v>
      </c>
      <c r="GD151" s="60">
        <f t="shared" si="134"/>
        <v>286.45649632551482</v>
      </c>
      <c r="GE151" s="60">
        <f ca="1">AVERAGE(OFFSET($GD$3,0,0,'Données projet'!$E$17+1,1))-AVERAGE(OFFSET($H$3,0,0,'Données projet'!$E$17+1,1))</f>
        <v>344.62096650402731</v>
      </c>
      <c r="GF151" s="60">
        <f t="shared" si="158"/>
        <v>277.30931495079346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4</v>
      </c>
      <c r="N152" s="14">
        <f>IF('Données projet'!$A$36&gt;35,N151+M152-V151,IF(A152&lt;'Données projet'!$A$36,$K$205^A152,IF(A152='Données projet'!$A$36,'Données projet'!$B$36,N151+M152-V151)))</f>
        <v>481.99999999999932</v>
      </c>
      <c r="O152" s="14">
        <f>N152*VLOOKUP('Données projet'!$B$9,Paramètres!$A$1:$I$89,3,0)*VLOOKUP('Données projet'!$B$9,Paramètres!$A$1:$I$89,5,0)</f>
        <v>413.55599999999941</v>
      </c>
      <c r="P152" s="14">
        <f t="shared" si="141"/>
        <v>94.519582662544991</v>
      </c>
      <c r="Q152" s="22">
        <f t="shared" si="108"/>
        <v>884.89830647059819</v>
      </c>
      <c r="R152" s="60">
        <f t="shared" si="109"/>
        <v>1171.4741005438914</v>
      </c>
      <c r="S152" s="60">
        <f ca="1">AVERAGE(OFFSET($R$3,0,0,'Données projet'!$E$9+1,1))-AVERAGE(OFFSET($H$3,0,0,'Données projet'!$E$9+1,1))</f>
        <v>632.26350546340541</v>
      </c>
      <c r="T152" s="60">
        <f t="shared" si="142"/>
        <v>340.45335016367915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2.7134774427395314E-13</v>
      </c>
      <c r="AK152" s="14">
        <f t="shared" si="143"/>
        <v>3.6292411711343559E-12</v>
      </c>
      <c r="AL152" s="22">
        <f t="shared" si="112"/>
        <v>6.7935256943361388E-12</v>
      </c>
      <c r="AM152" s="60">
        <f t="shared" si="113"/>
        <v>286.5757940732999</v>
      </c>
      <c r="AN152" s="60">
        <f ca="1">AVERAGE(OFFSET($AM$3,0,0,'Données projet'!$E$10+1,1))-AVERAGE(OFFSET($H$3,0,0,'Données projet'!$E$10+1,1))</f>
        <v>336.25341821407534</v>
      </c>
      <c r="AO152" s="60">
        <f t="shared" si="144"/>
        <v>360.3246221345039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2.7134774427395314E-13</v>
      </c>
      <c r="BF152" s="14">
        <f t="shared" si="145"/>
        <v>3.6292411711343559E-12</v>
      </c>
      <c r="BG152" s="22">
        <f t="shared" si="115"/>
        <v>6.7935256943361388E-12</v>
      </c>
      <c r="BH152" s="60">
        <f t="shared" si="116"/>
        <v>286.5757940732999</v>
      </c>
      <c r="BI152" s="60">
        <f ca="1">AVERAGE(OFFSET($BH$3,0,0,'Données projet'!$E$11+1,1))-AVERAGE(OFFSET($H$3,0,0,'Données projet'!$E$11+1,1))</f>
        <v>336.25341821407534</v>
      </c>
      <c r="BJ152" s="60">
        <f t="shared" si="146"/>
        <v>360.3246221345039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262.93487999999911</v>
      </c>
      <c r="CA152" s="14">
        <f t="shared" si="147"/>
        <v>63.347566493432595</v>
      </c>
      <c r="CB152" s="22">
        <f t="shared" si="118"/>
        <v>568.27526097606028</v>
      </c>
      <c r="CC152" s="60">
        <f t="shared" si="119"/>
        <v>854.85105504935336</v>
      </c>
      <c r="CD152" s="60">
        <f ca="1">AVERAGE(OFFSET($CC$3,0,0,'Données projet'!$E$12+1,1))-AVERAGE(OFFSET($H$3,0,0,'Données projet'!$E$12+1,1))</f>
        <v>469.67944008675863</v>
      </c>
      <c r="CE152" s="60">
        <f t="shared" si="148"/>
        <v>266.11908070867173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8.8675733422860506E-14</v>
      </c>
      <c r="CV152" s="14">
        <f t="shared" si="149"/>
        <v>1.3509285393066301E-12</v>
      </c>
      <c r="CW152" s="22">
        <f t="shared" si="121"/>
        <v>2.5073107750038623E-12</v>
      </c>
      <c r="CX152" s="60">
        <f t="shared" si="122"/>
        <v>286.57579407329558</v>
      </c>
      <c r="CY152" s="60">
        <f ca="1">AVERAGE(OFFSET($CX$3,0,0,'Données projet'!$E$13+1,1))-AVERAGE(OFFSET($H$3,0,0,'Données projet'!$E$13+1,1))</f>
        <v>312.59632808777332</v>
      </c>
      <c r="CZ152" s="60">
        <f t="shared" si="150"/>
        <v>302.59481222418219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1.0818439477588981E-13</v>
      </c>
      <c r="DQ152" s="14">
        <f t="shared" si="151"/>
        <v>1.6104228458716316E-12</v>
      </c>
      <c r="DR152" s="22">
        <f t="shared" si="124"/>
        <v>2.9932409441277661E-12</v>
      </c>
      <c r="DS152" s="60">
        <f t="shared" si="125"/>
        <v>286.57579407329609</v>
      </c>
      <c r="DT152" s="60">
        <f ca="1">AVERAGE(OFFSET($DS$3,0,0,'Données projet'!$E$14+1,1))-AVERAGE(OFFSET($H$3,0,0,'Données projet'!$E$14+1,1))</f>
        <v>398.29746143975166</v>
      </c>
      <c r="DU152" s="60">
        <f t="shared" si="152"/>
        <v>300.63705521148802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2.4</v>
      </c>
      <c r="EJ152" s="13">
        <f>IF('Données projet'!$A$192&gt;35,EJ151+EI152-ER151,IF(A152&lt;'Données projet'!$A$192,$EG$205^A152,IF(A152='Données projet'!$A$192,'Données projet'!$B$192,EJ151+EI152-ER151)))</f>
        <v>290.59999999999906</v>
      </c>
      <c r="EK152" s="18">
        <f>EJ152*VLOOKUP('Données projet'!$B$15,Paramètres!$A$1:$I$89,3,0)*VLOOKUP('Données projet'!$B$15,Paramètres!$A$1:$I$89,5,0)</f>
        <v>281.06831999999906</v>
      </c>
      <c r="EL152" s="14">
        <f t="shared" si="153"/>
        <v>67.192725545416479</v>
      </c>
      <c r="EM152" s="22">
        <f t="shared" si="127"/>
        <v>606.55465432493213</v>
      </c>
      <c r="EN152" s="60">
        <f t="shared" si="128"/>
        <v>893.13044839822521</v>
      </c>
      <c r="EO152" s="60">
        <f ca="1">AVERAGE(OFFSET($EN$3,0,0,'Données projet'!$E$15+1,1))-AVERAGE(OFFSET($H$3,0,0,'Données projet'!$E$15+1,1))</f>
        <v>496.33873798282525</v>
      </c>
      <c r="EP152" s="60">
        <f t="shared" si="154"/>
        <v>280.25465074992246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3.4106051316484809E-13</v>
      </c>
      <c r="FF152" s="18">
        <f>FE152*VLOOKUP('Données projet'!$B$16,Paramètres!$A$1:$I$89,3,0)*VLOOKUP('Données projet'!$B$16,Paramètres!$A$1:$I$89,5,0)</f>
        <v>2.9795046430081134E-13</v>
      </c>
      <c r="FG152" s="14">
        <f t="shared" si="155"/>
        <v>3.9419014464513778E-12</v>
      </c>
      <c r="FH152" s="22">
        <f t="shared" si="130"/>
        <v>7.384408744560063E-12</v>
      </c>
      <c r="FI152" s="60">
        <f t="shared" si="131"/>
        <v>286.57579407330047</v>
      </c>
      <c r="FJ152" s="60">
        <f ca="1">AVERAGE(OFFSET($FI$3,0,0,'Données projet'!$E$16+1,1))-AVERAGE(OFFSET($H$3,0,0,'Données projet'!$E$16+1,1))</f>
        <v>363.28611056308665</v>
      </c>
      <c r="FK152" s="60">
        <f t="shared" si="156"/>
        <v>389.43647559455974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1.7053025658242404E-13</v>
      </c>
      <c r="GA152" s="18">
        <f>FZ152*VLOOKUP('Données projet'!$B$17,Paramètres!$A$1:$I$89,3,0)*VLOOKUP('Données projet'!$B$17,Paramètres!$A$1:$I$89,5,0)</f>
        <v>1.1439169611549005E-13</v>
      </c>
      <c r="GB152" s="14">
        <f t="shared" si="157"/>
        <v>1.6918016515029816E-12</v>
      </c>
      <c r="GC152" s="22">
        <f t="shared" si="133"/>
        <v>3.1457867471021712E-12</v>
      </c>
      <c r="GD152" s="60">
        <f t="shared" si="134"/>
        <v>286.57579407329621</v>
      </c>
      <c r="GE152" s="60">
        <f ca="1">AVERAGE(OFFSET($GD$3,0,0,'Données projet'!$E$17+1,1))-AVERAGE(OFFSET($H$3,0,0,'Données projet'!$E$17+1,1))</f>
        <v>344.62096650402731</v>
      </c>
      <c r="GF152" s="60">
        <f t="shared" si="158"/>
        <v>277.30931495079346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486</v>
      </c>
      <c r="L153" s="13">
        <f>VLOOKUP(A153,'Données projet'!$A$35:$I$55,9,0)</f>
        <v>4</v>
      </c>
      <c r="M153" s="13">
        <f t="array" ref="M153">INDEX(L:L,MIN(IF(ISNUMBER(L153:L349),ROW(L153:L349),"")))</f>
        <v>4</v>
      </c>
      <c r="N153" s="14">
        <f>IF('Données projet'!$A$36&gt;35,N152+M153-V152,IF(A153&lt;'Données projet'!$A$36,$K$205^A153,IF(A153='Données projet'!$A$36,'Données projet'!$B$36,N152+M153-V152)))</f>
        <v>485.99999999999932</v>
      </c>
      <c r="O153" s="14">
        <f>N153*VLOOKUP('Données projet'!$B$9,Paramètres!$A$1:$I$89,3,0)*VLOOKUP('Données projet'!$B$9,Paramètres!$A$1:$I$89,5,0)</f>
        <v>416.98799999999949</v>
      </c>
      <c r="P153" s="14">
        <f t="shared" si="141"/>
        <v>95.212340250555897</v>
      </c>
      <c r="Q153" s="22">
        <f t="shared" si="108"/>
        <v>892.08225926971727</v>
      </c>
      <c r="R153" s="60">
        <f t="shared" si="109"/>
        <v>1178.7752815415777</v>
      </c>
      <c r="S153" s="60">
        <f ca="1">AVERAGE(OFFSET($R$3,0,0,'Données projet'!$E$9+1,1))-AVERAGE(OFFSET($H$3,0,0,'Données projet'!$E$9+1,1))</f>
        <v>632.26350546340541</v>
      </c>
      <c r="T153" s="60">
        <f t="shared" si="142"/>
        <v>340.45335016367915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486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2.7134774427395314E-13</v>
      </c>
      <c r="AK153" s="14">
        <f t="shared" si="143"/>
        <v>3.6292411711343559E-12</v>
      </c>
      <c r="AL153" s="22">
        <f t="shared" si="112"/>
        <v>6.7935256943361388E-12</v>
      </c>
      <c r="AM153" s="60">
        <f t="shared" si="113"/>
        <v>286.69302227186716</v>
      </c>
      <c r="AN153" s="60">
        <f ca="1">AVERAGE(OFFSET($AM$3,0,0,'Données projet'!$E$10+1,1))-AVERAGE(OFFSET($H$3,0,0,'Données projet'!$E$10+1,1))</f>
        <v>336.25341821407534</v>
      </c>
      <c r="AO153" s="60">
        <f t="shared" si="144"/>
        <v>360.3246221345039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2.7134774427395314E-13</v>
      </c>
      <c r="BF153" s="14">
        <f t="shared" si="145"/>
        <v>3.6292411711343559E-12</v>
      </c>
      <c r="BG153" s="22">
        <f t="shared" si="115"/>
        <v>6.7935256943361388E-12</v>
      </c>
      <c r="BH153" s="60">
        <f t="shared" si="116"/>
        <v>286.69302227186716</v>
      </c>
      <c r="BI153" s="60">
        <f ca="1">AVERAGE(OFFSET($BH$3,0,0,'Données projet'!$E$11+1,1))-AVERAGE(OFFSET($H$3,0,0,'Données projet'!$E$11+1,1))</f>
        <v>336.25341821407534</v>
      </c>
      <c r="BJ153" s="60">
        <f t="shared" si="146"/>
        <v>360.3246221345039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265.1063999999991</v>
      </c>
      <c r="CA153" s="14">
        <f t="shared" si="147"/>
        <v>63.809620899125136</v>
      </c>
      <c r="CB153" s="22">
        <f t="shared" si="118"/>
        <v>572.86206973264132</v>
      </c>
      <c r="CC153" s="60">
        <f t="shared" si="119"/>
        <v>859.5550920045016</v>
      </c>
      <c r="CD153" s="60">
        <f ca="1">AVERAGE(OFFSET($CC$3,0,0,'Données projet'!$E$12+1,1))-AVERAGE(OFFSET($H$3,0,0,'Données projet'!$E$12+1,1))</f>
        <v>469.67944008675863</v>
      </c>
      <c r="CE153" s="60">
        <f t="shared" si="148"/>
        <v>266.11908070867173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8.8675733422860506E-14</v>
      </c>
      <c r="CV153" s="14">
        <f t="shared" si="149"/>
        <v>1.3509285393066301E-12</v>
      </c>
      <c r="CW153" s="22">
        <f t="shared" si="121"/>
        <v>2.5073107750038623E-12</v>
      </c>
      <c r="CX153" s="60">
        <f t="shared" si="122"/>
        <v>286.69302227186284</v>
      </c>
      <c r="CY153" s="60">
        <f ca="1">AVERAGE(OFFSET($CX$3,0,0,'Données projet'!$E$13+1,1))-AVERAGE(OFFSET($H$3,0,0,'Données projet'!$E$13+1,1))</f>
        <v>312.59632808777332</v>
      </c>
      <c r="CZ153" s="60">
        <f t="shared" si="150"/>
        <v>302.59481222418219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1.0818439477588981E-13</v>
      </c>
      <c r="DQ153" s="14">
        <f t="shared" si="151"/>
        <v>1.6104228458716316E-12</v>
      </c>
      <c r="DR153" s="22">
        <f t="shared" si="124"/>
        <v>2.9932409441277661E-12</v>
      </c>
      <c r="DS153" s="60">
        <f t="shared" si="125"/>
        <v>286.69302227186336</v>
      </c>
      <c r="DT153" s="60">
        <f ca="1">AVERAGE(OFFSET($DS$3,0,0,'Données projet'!$E$14+1,1))-AVERAGE(OFFSET($H$3,0,0,'Données projet'!$E$14+1,1))</f>
        <v>398.29746143975166</v>
      </c>
      <c r="DU153" s="60">
        <f t="shared" si="152"/>
        <v>300.63705521148802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293</v>
      </c>
      <c r="EH153" s="13">
        <f>VLOOKUP(A153,'Données projet'!$A$191:$I$211,9,0)</f>
        <v>2.4</v>
      </c>
      <c r="EI153" s="13">
        <f t="array" ref="EI153">INDEX(EH:EH,MIN(IF(ISNUMBER(EH153:EH349),ROW(EH153:EH349),"")))</f>
        <v>2.4</v>
      </c>
      <c r="EJ153" s="13">
        <f>IF('Données projet'!$A$192&gt;35,EJ152+EI153-ER152,IF(A153&lt;'Données projet'!$A$192,$EG$205^A153,IF(A153='Données projet'!$A$192,'Données projet'!$B$192,EJ152+EI153-ER152)))</f>
        <v>292.99999999999903</v>
      </c>
      <c r="EK153" s="18">
        <f>EJ153*VLOOKUP('Données projet'!$B$15,Paramètres!$A$1:$I$89,3,0)*VLOOKUP('Données projet'!$B$15,Paramètres!$A$1:$I$89,5,0)</f>
        <v>283.38959999999906</v>
      </c>
      <c r="EL153" s="14">
        <f t="shared" si="153"/>
        <v>67.682826374656187</v>
      </c>
      <c r="EM153" s="22">
        <f t="shared" si="127"/>
        <v>611.45114260252456</v>
      </c>
      <c r="EN153" s="60">
        <f t="shared" si="128"/>
        <v>898.14416487438484</v>
      </c>
      <c r="EO153" s="60">
        <f ca="1">AVERAGE(OFFSET($EN$3,0,0,'Données projet'!$E$15+1,1))-AVERAGE(OFFSET($H$3,0,0,'Données projet'!$E$15+1,1))</f>
        <v>496.33873798282525</v>
      </c>
      <c r="EP153" s="60">
        <f t="shared" si="154"/>
        <v>280.25465074992246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293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3.4106051316484809E-13</v>
      </c>
      <c r="FF153" s="18">
        <f>FE153*VLOOKUP('Données projet'!$B$16,Paramètres!$A$1:$I$89,3,0)*VLOOKUP('Données projet'!$B$16,Paramètres!$A$1:$I$89,5,0)</f>
        <v>2.9795046430081134E-13</v>
      </c>
      <c r="FG153" s="14">
        <f t="shared" si="155"/>
        <v>3.9419014464513778E-12</v>
      </c>
      <c r="FH153" s="22">
        <f t="shared" si="130"/>
        <v>7.384408744560063E-12</v>
      </c>
      <c r="FI153" s="60">
        <f t="shared" si="131"/>
        <v>286.69302227186773</v>
      </c>
      <c r="FJ153" s="60">
        <f ca="1">AVERAGE(OFFSET($FI$3,0,0,'Données projet'!$E$16+1,1))-AVERAGE(OFFSET($H$3,0,0,'Données projet'!$E$16+1,1))</f>
        <v>363.28611056308665</v>
      </c>
      <c r="FK153" s="60">
        <f t="shared" si="156"/>
        <v>389.43647559455974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1.7053025658242404E-13</v>
      </c>
      <c r="GA153" s="18">
        <f>FZ153*VLOOKUP('Données projet'!$B$17,Paramètres!$A$1:$I$89,3,0)*VLOOKUP('Données projet'!$B$17,Paramètres!$A$1:$I$89,5,0)</f>
        <v>1.1439169611549005E-13</v>
      </c>
      <c r="GB153" s="14">
        <f t="shared" si="157"/>
        <v>1.6918016515029816E-12</v>
      </c>
      <c r="GC153" s="22">
        <f t="shared" si="133"/>
        <v>3.1457867471021712E-12</v>
      </c>
      <c r="GD153" s="60">
        <f t="shared" si="134"/>
        <v>286.69302227186347</v>
      </c>
      <c r="GE153" s="60">
        <f ca="1">AVERAGE(OFFSET($GD$3,0,0,'Données projet'!$E$17+1,1))-AVERAGE(OFFSET($H$3,0,0,'Données projet'!$E$17+1,1))</f>
        <v>344.62096650402731</v>
      </c>
      <c r="GF153" s="60">
        <f t="shared" si="158"/>
        <v>277.30931495079346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-6.8212102632969618E-13</v>
      </c>
      <c r="O154" s="14">
        <f>N154*VLOOKUP('Données projet'!$B$9,Paramètres!$A$1:$I$89,3,0)*VLOOKUP('Données projet'!$B$9,Paramètres!$A$1:$I$89,5,0)</f>
        <v>-5.8525984059087939E-13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632.26350546340541</v>
      </c>
      <c r="T154" s="60">
        <f t="shared" si="142"/>
        <v>340.45335016367915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2.7134774427395314E-13</v>
      </c>
      <c r="AK154" s="14">
        <f t="shared" ref="AK154:AK203" si="164">EXP(-1.0587+0.8836*LN(AJ154)+0.284)</f>
        <v>3.6292411711343559E-12</v>
      </c>
      <c r="AL154" s="22">
        <f t="shared" ref="AL154:AL203" si="165">(AJ154+AK154)*0.475*44/12</f>
        <v>6.7935256943361388E-12</v>
      </c>
      <c r="AM154" s="60">
        <f t="shared" si="113"/>
        <v>286.80821682327218</v>
      </c>
      <c r="AN154" s="60">
        <f ca="1">AVERAGE(OFFSET($AM$3,0,0,'Données projet'!$E$10+1,1))-AVERAGE(OFFSET($H$3,0,0,'Données projet'!$E$10+1,1))</f>
        <v>336.25341821407534</v>
      </c>
      <c r="AO154" s="60">
        <f t="shared" si="144"/>
        <v>360.3246221345039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2.7134774427395314E-13</v>
      </c>
      <c r="BF154" s="14">
        <f t="shared" ref="BF154:BF203" si="167">EXP(-1.0587+0.8836*LN(BE154)+0.284)</f>
        <v>3.6292411711343559E-12</v>
      </c>
      <c r="BG154" s="22">
        <f t="shared" ref="BG154:BG203" si="168">(BE154+BF154)*0.475*44/12</f>
        <v>6.7935256943361388E-12</v>
      </c>
      <c r="BH154" s="60">
        <f t="shared" si="116"/>
        <v>286.80821682327218</v>
      </c>
      <c r="BI154" s="60">
        <f ca="1">AVERAGE(OFFSET($BH$3,0,0,'Données projet'!$E$11+1,1))-AVERAGE(OFFSET($H$3,0,0,'Données projet'!$E$11+1,1))</f>
        <v>336.25341821407534</v>
      </c>
      <c r="BJ154" s="60">
        <f t="shared" si="146"/>
        <v>360.3246221345039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-8.7434273154940449E-13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469.67944008675863</v>
      </c>
      <c r="CE154" s="60">
        <f t="shared" si="148"/>
        <v>266.11908070867173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8.8675733422860506E-14</v>
      </c>
      <c r="CV154" s="14">
        <f t="shared" ref="CV154:CV203" si="173">EXP(-1.0587+0.8836*LN(CU154)+0.284)</f>
        <v>1.3509285393066301E-12</v>
      </c>
      <c r="CW154" s="22">
        <f t="shared" ref="CW154:CW203" si="174">(CU154+CV154)*0.475*44/12</f>
        <v>2.5073107750038623E-12</v>
      </c>
      <c r="CX154" s="60">
        <f t="shared" si="122"/>
        <v>286.80821682326786</v>
      </c>
      <c r="CY154" s="60">
        <f ca="1">AVERAGE(OFFSET($CX$3,0,0,'Données projet'!$E$13+1,1))-AVERAGE(OFFSET($H$3,0,0,'Données projet'!$E$13+1,1))</f>
        <v>312.59632808777332</v>
      </c>
      <c r="CZ154" s="60">
        <f t="shared" si="150"/>
        <v>302.59481222418219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1.0818439477588981E-13</v>
      </c>
      <c r="DQ154" s="14">
        <f t="shared" ref="DQ154:DQ203" si="176">EXP(-1.0587+0.8836*LN(DP154)+0.284)</f>
        <v>1.6104228458716316E-12</v>
      </c>
      <c r="DR154" s="22">
        <f t="shared" ref="DR154:DR203" si="177">(DP154+DQ154)*0.475*44/12</f>
        <v>2.9932409441277661E-12</v>
      </c>
      <c r="DS154" s="60">
        <f t="shared" si="125"/>
        <v>286.80821682326837</v>
      </c>
      <c r="DT154" s="60">
        <f ca="1">AVERAGE(OFFSET($DS$3,0,0,'Données projet'!$E$14+1,1))-AVERAGE(OFFSET($H$3,0,0,'Données projet'!$E$14+1,1))</f>
        <v>398.29746143975166</v>
      </c>
      <c r="DU154" s="60">
        <f t="shared" si="152"/>
        <v>300.63705521148802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-9.6633812063373625E-13</v>
      </c>
      <c r="EK154" s="18">
        <f>EJ154*VLOOKUP('Données projet'!$B$15,Paramètres!$A$1:$I$89,3,0)*VLOOKUP('Données projet'!$B$15,Paramètres!$A$1:$I$89,5,0)</f>
        <v>-9.3464223027694966E-13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496.33873798282525</v>
      </c>
      <c r="EP154" s="60">
        <f t="shared" si="154"/>
        <v>280.25465074992246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3.4106051316484809E-13</v>
      </c>
      <c r="FF154" s="18">
        <f>FE154*VLOOKUP('Données projet'!$B$16,Paramètres!$A$1:$I$89,3,0)*VLOOKUP('Données projet'!$B$16,Paramètres!$A$1:$I$89,5,0)</f>
        <v>2.9795046430081134E-13</v>
      </c>
      <c r="FG154" s="14">
        <f t="shared" ref="FG154:FG203" si="182">EXP(-1.0587+0.8836*LN(FF154)+0.284)</f>
        <v>3.9419014464513778E-12</v>
      </c>
      <c r="FH154" s="22">
        <f t="shared" ref="FH154:FH203" si="183">(FF154+FG154)*0.475*44/12</f>
        <v>7.384408744560063E-12</v>
      </c>
      <c r="FI154" s="60">
        <f t="shared" si="131"/>
        <v>286.80821682327274</v>
      </c>
      <c r="FJ154" s="60">
        <f ca="1">AVERAGE(OFFSET($FI$3,0,0,'Données projet'!$E$16+1,1))-AVERAGE(OFFSET($H$3,0,0,'Données projet'!$E$16+1,1))</f>
        <v>363.28611056308665</v>
      </c>
      <c r="FK154" s="60">
        <f t="shared" si="156"/>
        <v>389.43647559455974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1.7053025658242404E-13</v>
      </c>
      <c r="GA154" s="18">
        <f>FZ154*VLOOKUP('Données projet'!$B$17,Paramètres!$A$1:$I$89,3,0)*VLOOKUP('Données projet'!$B$17,Paramètres!$A$1:$I$89,5,0)</f>
        <v>1.1439169611549005E-13</v>
      </c>
      <c r="GB154" s="14">
        <f t="shared" ref="GB154:GB203" si="185">EXP(-1.0587+0.8836*LN(GA154)+0.284)</f>
        <v>1.6918016515029816E-12</v>
      </c>
      <c r="GC154" s="22">
        <f t="shared" ref="GC154:GC203" si="186">(GA154+GB154)*0.475*44/12</f>
        <v>3.1457867471021712E-12</v>
      </c>
      <c r="GD154" s="60">
        <f t="shared" si="134"/>
        <v>286.80821682326848</v>
      </c>
      <c r="GE154" s="60">
        <f ca="1">AVERAGE(OFFSET($GD$3,0,0,'Données projet'!$E$17+1,1))-AVERAGE(OFFSET($H$3,0,0,'Données projet'!$E$17+1,1))</f>
        <v>344.62096650402731</v>
      </c>
      <c r="GF154" s="60">
        <f t="shared" si="158"/>
        <v>277.30931495079346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-6.8212102632969618E-13</v>
      </c>
      <c r="O155" s="14">
        <f>N155*VLOOKUP('Données projet'!$B$9,Paramètres!$A$1:$I$89,3,0)*VLOOKUP('Données projet'!$B$9,Paramètres!$A$1:$I$89,5,0)</f>
        <v>-5.8525984059087939E-13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632.26350546340541</v>
      </c>
      <c r="T155" s="60">
        <f t="shared" si="142"/>
        <v>340.45335016367915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2.7134774427395314E-13</v>
      </c>
      <c r="AK155" s="14">
        <f t="shared" si="164"/>
        <v>3.6292411711343559E-12</v>
      </c>
      <c r="AL155" s="22">
        <f t="shared" si="165"/>
        <v>6.7935256943361388E-12</v>
      </c>
      <c r="AM155" s="60">
        <f t="shared" si="113"/>
        <v>286.92141300674672</v>
      </c>
      <c r="AN155" s="60">
        <f ca="1">AVERAGE(OFFSET($AM$3,0,0,'Données projet'!$E$10+1,1))-AVERAGE(OFFSET($H$3,0,0,'Données projet'!$E$10+1,1))</f>
        <v>336.25341821407534</v>
      </c>
      <c r="AO155" s="60">
        <f t="shared" si="144"/>
        <v>360.3246221345039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2.7134774427395314E-13</v>
      </c>
      <c r="BF155" s="14">
        <f t="shared" si="167"/>
        <v>3.6292411711343559E-12</v>
      </c>
      <c r="BG155" s="22">
        <f t="shared" si="168"/>
        <v>6.7935256943361388E-12</v>
      </c>
      <c r="BH155" s="60">
        <f t="shared" si="116"/>
        <v>286.92141300674672</v>
      </c>
      <c r="BI155" s="60">
        <f ca="1">AVERAGE(OFFSET($BH$3,0,0,'Données projet'!$E$11+1,1))-AVERAGE(OFFSET($H$3,0,0,'Données projet'!$E$11+1,1))</f>
        <v>336.25341821407534</v>
      </c>
      <c r="BJ155" s="60">
        <f t="shared" si="146"/>
        <v>360.3246221345039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-8.7434273154940449E-13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469.67944008675863</v>
      </c>
      <c r="CE155" s="60">
        <f t="shared" si="148"/>
        <v>266.11908070867173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8.8675733422860506E-14</v>
      </c>
      <c r="CV155" s="14">
        <f t="shared" si="173"/>
        <v>1.3509285393066301E-12</v>
      </c>
      <c r="CW155" s="22">
        <f t="shared" si="174"/>
        <v>2.5073107750038623E-12</v>
      </c>
      <c r="CX155" s="60">
        <f t="shared" si="122"/>
        <v>286.9214130067424</v>
      </c>
      <c r="CY155" s="60">
        <f ca="1">AVERAGE(OFFSET($CX$3,0,0,'Données projet'!$E$13+1,1))-AVERAGE(OFFSET($H$3,0,0,'Données projet'!$E$13+1,1))</f>
        <v>312.59632808777332</v>
      </c>
      <c r="CZ155" s="60">
        <f t="shared" si="150"/>
        <v>302.59481222418219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1.0818439477588981E-13</v>
      </c>
      <c r="DQ155" s="14">
        <f t="shared" si="176"/>
        <v>1.6104228458716316E-12</v>
      </c>
      <c r="DR155" s="22">
        <f t="shared" si="177"/>
        <v>2.9932409441277661E-12</v>
      </c>
      <c r="DS155" s="60">
        <f t="shared" si="125"/>
        <v>286.92141300674291</v>
      </c>
      <c r="DT155" s="60">
        <f ca="1">AVERAGE(OFFSET($DS$3,0,0,'Données projet'!$E$14+1,1))-AVERAGE(OFFSET($H$3,0,0,'Données projet'!$E$14+1,1))</f>
        <v>398.29746143975166</v>
      </c>
      <c r="DU155" s="60">
        <f t="shared" si="152"/>
        <v>300.63705521148802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-9.6633812063373625E-13</v>
      </c>
      <c r="EK155" s="18">
        <f>EJ155*VLOOKUP('Données projet'!$B$15,Paramètres!$A$1:$I$89,3,0)*VLOOKUP('Données projet'!$B$15,Paramètres!$A$1:$I$89,5,0)</f>
        <v>-9.3464223027694966E-13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496.33873798282525</v>
      </c>
      <c r="EP155" s="60">
        <f t="shared" si="154"/>
        <v>280.25465074992246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3.4106051316484809E-13</v>
      </c>
      <c r="FF155" s="18">
        <f>FE155*VLOOKUP('Données projet'!$B$16,Paramètres!$A$1:$I$89,3,0)*VLOOKUP('Données projet'!$B$16,Paramètres!$A$1:$I$89,5,0)</f>
        <v>2.9795046430081134E-13</v>
      </c>
      <c r="FG155" s="14">
        <f t="shared" si="182"/>
        <v>3.9419014464513778E-12</v>
      </c>
      <c r="FH155" s="22">
        <f t="shared" si="183"/>
        <v>7.384408744560063E-12</v>
      </c>
      <c r="FI155" s="60">
        <f t="shared" si="131"/>
        <v>286.92141300674729</v>
      </c>
      <c r="FJ155" s="60">
        <f ca="1">AVERAGE(OFFSET($FI$3,0,0,'Données projet'!$E$16+1,1))-AVERAGE(OFFSET($H$3,0,0,'Données projet'!$E$16+1,1))</f>
        <v>363.28611056308665</v>
      </c>
      <c r="FK155" s="60">
        <f t="shared" si="156"/>
        <v>389.43647559455974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1.7053025658242404E-13</v>
      </c>
      <c r="GA155" s="18">
        <f>FZ155*VLOOKUP('Données projet'!$B$17,Paramètres!$A$1:$I$89,3,0)*VLOOKUP('Données projet'!$B$17,Paramètres!$A$1:$I$89,5,0)</f>
        <v>1.1439169611549005E-13</v>
      </c>
      <c r="GB155" s="14">
        <f t="shared" si="185"/>
        <v>1.6918016515029816E-12</v>
      </c>
      <c r="GC155" s="22">
        <f t="shared" si="186"/>
        <v>3.1457867471021712E-12</v>
      </c>
      <c r="GD155" s="60">
        <f t="shared" si="134"/>
        <v>286.92141300674302</v>
      </c>
      <c r="GE155" s="60">
        <f ca="1">AVERAGE(OFFSET($GD$3,0,0,'Données projet'!$E$17+1,1))-AVERAGE(OFFSET($H$3,0,0,'Données projet'!$E$17+1,1))</f>
        <v>344.62096650402731</v>
      </c>
      <c r="GF155" s="60">
        <f t="shared" si="158"/>
        <v>277.30931495079346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-6.8212102632969618E-13</v>
      </c>
      <c r="O156" s="14">
        <f>N156*VLOOKUP('Données projet'!$B$9,Paramètres!$A$1:$I$89,3,0)*VLOOKUP('Données projet'!$B$9,Paramètres!$A$1:$I$89,5,0)</f>
        <v>-5.8525984059087939E-13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632.26350546340541</v>
      </c>
      <c r="T156" s="60">
        <f t="shared" si="142"/>
        <v>340.45335016367915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2.7134774427395314E-13</v>
      </c>
      <c r="AK156" s="14">
        <f t="shared" si="164"/>
        <v>3.6292411711343559E-12</v>
      </c>
      <c r="AL156" s="22">
        <f t="shared" si="165"/>
        <v>6.7935256943361388E-12</v>
      </c>
      <c r="AM156" s="60">
        <f t="shared" si="113"/>
        <v>287.03264548950682</v>
      </c>
      <c r="AN156" s="60">
        <f ca="1">AVERAGE(OFFSET($AM$3,0,0,'Données projet'!$E$10+1,1))-AVERAGE(OFFSET($H$3,0,0,'Données projet'!$E$10+1,1))</f>
        <v>336.25341821407534</v>
      </c>
      <c r="AO156" s="60">
        <f t="shared" si="144"/>
        <v>360.3246221345039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2.7134774427395314E-13</v>
      </c>
      <c r="BF156" s="14">
        <f t="shared" si="167"/>
        <v>3.6292411711343559E-12</v>
      </c>
      <c r="BG156" s="22">
        <f t="shared" si="168"/>
        <v>6.7935256943361388E-12</v>
      </c>
      <c r="BH156" s="60">
        <f t="shared" si="116"/>
        <v>287.03264548950682</v>
      </c>
      <c r="BI156" s="60">
        <f ca="1">AVERAGE(OFFSET($BH$3,0,0,'Données projet'!$E$11+1,1))-AVERAGE(OFFSET($H$3,0,0,'Données projet'!$E$11+1,1))</f>
        <v>336.25341821407534</v>
      </c>
      <c r="BJ156" s="60">
        <f t="shared" si="146"/>
        <v>360.3246221345039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-8.7434273154940449E-13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469.67944008675863</v>
      </c>
      <c r="CE156" s="60">
        <f t="shared" si="148"/>
        <v>266.11908070867173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8.8675733422860506E-14</v>
      </c>
      <c r="CV156" s="14">
        <f t="shared" si="173"/>
        <v>1.3509285393066301E-12</v>
      </c>
      <c r="CW156" s="22">
        <f t="shared" si="174"/>
        <v>2.5073107750038623E-12</v>
      </c>
      <c r="CX156" s="60">
        <f t="shared" si="122"/>
        <v>287.0326454895025</v>
      </c>
      <c r="CY156" s="60">
        <f ca="1">AVERAGE(OFFSET($CX$3,0,0,'Données projet'!$E$13+1,1))-AVERAGE(OFFSET($H$3,0,0,'Données projet'!$E$13+1,1))</f>
        <v>312.59632808777332</v>
      </c>
      <c r="CZ156" s="60">
        <f t="shared" si="150"/>
        <v>302.59481222418219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1.0818439477588981E-13</v>
      </c>
      <c r="DQ156" s="14">
        <f t="shared" si="176"/>
        <v>1.6104228458716316E-12</v>
      </c>
      <c r="DR156" s="22">
        <f t="shared" si="177"/>
        <v>2.9932409441277661E-12</v>
      </c>
      <c r="DS156" s="60">
        <f t="shared" si="125"/>
        <v>287.03264548950301</v>
      </c>
      <c r="DT156" s="60">
        <f ca="1">AVERAGE(OFFSET($DS$3,0,0,'Données projet'!$E$14+1,1))-AVERAGE(OFFSET($H$3,0,0,'Données projet'!$E$14+1,1))</f>
        <v>398.29746143975166</v>
      </c>
      <c r="DU156" s="60">
        <f t="shared" si="152"/>
        <v>300.63705521148802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-9.6633812063373625E-13</v>
      </c>
      <c r="EK156" s="18">
        <f>EJ156*VLOOKUP('Données projet'!$B$15,Paramètres!$A$1:$I$89,3,0)*VLOOKUP('Données projet'!$B$15,Paramètres!$A$1:$I$89,5,0)</f>
        <v>-9.3464223027694966E-13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496.33873798282525</v>
      </c>
      <c r="EP156" s="60">
        <f t="shared" si="154"/>
        <v>280.25465074992246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3.4106051316484809E-13</v>
      </c>
      <c r="FF156" s="18">
        <f>FE156*VLOOKUP('Données projet'!$B$16,Paramètres!$A$1:$I$89,3,0)*VLOOKUP('Données projet'!$B$16,Paramètres!$A$1:$I$89,5,0)</f>
        <v>2.9795046430081134E-13</v>
      </c>
      <c r="FG156" s="14">
        <f t="shared" si="182"/>
        <v>3.9419014464513778E-12</v>
      </c>
      <c r="FH156" s="22">
        <f t="shared" si="183"/>
        <v>7.384408744560063E-12</v>
      </c>
      <c r="FI156" s="60">
        <f t="shared" si="131"/>
        <v>287.03264548950739</v>
      </c>
      <c r="FJ156" s="60">
        <f ca="1">AVERAGE(OFFSET($FI$3,0,0,'Données projet'!$E$16+1,1))-AVERAGE(OFFSET($H$3,0,0,'Données projet'!$E$16+1,1))</f>
        <v>363.28611056308665</v>
      </c>
      <c r="FK156" s="60">
        <f t="shared" si="156"/>
        <v>389.43647559455974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1.7053025658242404E-13</v>
      </c>
      <c r="GA156" s="18">
        <f>FZ156*VLOOKUP('Données projet'!$B$17,Paramètres!$A$1:$I$89,3,0)*VLOOKUP('Données projet'!$B$17,Paramètres!$A$1:$I$89,5,0)</f>
        <v>1.1439169611549005E-13</v>
      </c>
      <c r="GB156" s="14">
        <f t="shared" si="185"/>
        <v>1.6918016515029816E-12</v>
      </c>
      <c r="GC156" s="22">
        <f t="shared" si="186"/>
        <v>3.1457867471021712E-12</v>
      </c>
      <c r="GD156" s="60">
        <f t="shared" si="134"/>
        <v>287.03264548950312</v>
      </c>
      <c r="GE156" s="60">
        <f ca="1">AVERAGE(OFFSET($GD$3,0,0,'Données projet'!$E$17+1,1))-AVERAGE(OFFSET($H$3,0,0,'Données projet'!$E$17+1,1))</f>
        <v>344.62096650402731</v>
      </c>
      <c r="GF156" s="60">
        <f t="shared" si="158"/>
        <v>277.30931495079346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-6.8212102632969618E-13</v>
      </c>
      <c r="O157" s="14">
        <f>N157*VLOOKUP('Données projet'!$B$9,Paramètres!$A$1:$I$89,3,0)*VLOOKUP('Données projet'!$B$9,Paramètres!$A$1:$I$89,5,0)</f>
        <v>-5.8525984059087939E-13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632.26350546340541</v>
      </c>
      <c r="T157" s="60">
        <f t="shared" si="142"/>
        <v>340.45335016367915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2.7134774427395314E-13</v>
      </c>
      <c r="AK157" s="14">
        <f t="shared" si="164"/>
        <v>3.6292411711343559E-12</v>
      </c>
      <c r="AL157" s="22">
        <f t="shared" si="165"/>
        <v>6.7935256943361388E-12</v>
      </c>
      <c r="AM157" s="60">
        <f t="shared" si="113"/>
        <v>287.14194833736957</v>
      </c>
      <c r="AN157" s="60">
        <f ca="1">AVERAGE(OFFSET($AM$3,0,0,'Données projet'!$E$10+1,1))-AVERAGE(OFFSET($H$3,0,0,'Données projet'!$E$10+1,1))</f>
        <v>336.25341821407534</v>
      </c>
      <c r="AO157" s="60">
        <f t="shared" si="144"/>
        <v>360.3246221345039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2.7134774427395314E-13</v>
      </c>
      <c r="BF157" s="14">
        <f t="shared" si="167"/>
        <v>3.6292411711343559E-12</v>
      </c>
      <c r="BG157" s="22">
        <f t="shared" si="168"/>
        <v>6.7935256943361388E-12</v>
      </c>
      <c r="BH157" s="60">
        <f t="shared" si="116"/>
        <v>287.14194833736957</v>
      </c>
      <c r="BI157" s="60">
        <f ca="1">AVERAGE(OFFSET($BH$3,0,0,'Données projet'!$E$11+1,1))-AVERAGE(OFFSET($H$3,0,0,'Données projet'!$E$11+1,1))</f>
        <v>336.25341821407534</v>
      </c>
      <c r="BJ157" s="60">
        <f t="shared" si="146"/>
        <v>360.3246221345039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-8.7434273154940449E-13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469.67944008675863</v>
      </c>
      <c r="CE157" s="60">
        <f t="shared" si="148"/>
        <v>266.11908070867173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8.8675733422860506E-14</v>
      </c>
      <c r="CV157" s="14">
        <f t="shared" si="173"/>
        <v>1.3509285393066301E-12</v>
      </c>
      <c r="CW157" s="22">
        <f t="shared" si="174"/>
        <v>2.5073107750038623E-12</v>
      </c>
      <c r="CX157" s="60">
        <f t="shared" si="122"/>
        <v>287.14194833736525</v>
      </c>
      <c r="CY157" s="60">
        <f ca="1">AVERAGE(OFFSET($CX$3,0,0,'Données projet'!$E$13+1,1))-AVERAGE(OFFSET($H$3,0,0,'Données projet'!$E$13+1,1))</f>
        <v>312.59632808777332</v>
      </c>
      <c r="CZ157" s="60">
        <f t="shared" si="150"/>
        <v>302.59481222418219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1.0818439477588981E-13</v>
      </c>
      <c r="DQ157" s="14">
        <f t="shared" si="176"/>
        <v>1.6104228458716316E-12</v>
      </c>
      <c r="DR157" s="22">
        <f t="shared" si="177"/>
        <v>2.9932409441277661E-12</v>
      </c>
      <c r="DS157" s="60">
        <f t="shared" si="125"/>
        <v>287.14194833736576</v>
      </c>
      <c r="DT157" s="60">
        <f ca="1">AVERAGE(OFFSET($DS$3,0,0,'Données projet'!$E$14+1,1))-AVERAGE(OFFSET($H$3,0,0,'Données projet'!$E$14+1,1))</f>
        <v>398.29746143975166</v>
      </c>
      <c r="DU157" s="60">
        <f t="shared" si="152"/>
        <v>300.63705521148802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-9.6633812063373625E-13</v>
      </c>
      <c r="EK157" s="18">
        <f>EJ157*VLOOKUP('Données projet'!$B$15,Paramètres!$A$1:$I$89,3,0)*VLOOKUP('Données projet'!$B$15,Paramètres!$A$1:$I$89,5,0)</f>
        <v>-9.3464223027694966E-13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496.33873798282525</v>
      </c>
      <c r="EP157" s="60">
        <f t="shared" si="154"/>
        <v>280.25465074992246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3.4106051316484809E-13</v>
      </c>
      <c r="FF157" s="18">
        <f>FE157*VLOOKUP('Données projet'!$B$16,Paramètres!$A$1:$I$89,3,0)*VLOOKUP('Données projet'!$B$16,Paramètres!$A$1:$I$89,5,0)</f>
        <v>2.9795046430081134E-13</v>
      </c>
      <c r="FG157" s="14">
        <f t="shared" si="182"/>
        <v>3.9419014464513778E-12</v>
      </c>
      <c r="FH157" s="22">
        <f t="shared" si="183"/>
        <v>7.384408744560063E-12</v>
      </c>
      <c r="FI157" s="60">
        <f t="shared" si="131"/>
        <v>287.14194833737014</v>
      </c>
      <c r="FJ157" s="60">
        <f ca="1">AVERAGE(OFFSET($FI$3,0,0,'Données projet'!$E$16+1,1))-AVERAGE(OFFSET($H$3,0,0,'Données projet'!$E$16+1,1))</f>
        <v>363.28611056308665</v>
      </c>
      <c r="FK157" s="60">
        <f t="shared" si="156"/>
        <v>389.43647559455974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1.7053025658242404E-13</v>
      </c>
      <c r="GA157" s="18">
        <f>FZ157*VLOOKUP('Données projet'!$B$17,Paramètres!$A$1:$I$89,3,0)*VLOOKUP('Données projet'!$B$17,Paramètres!$A$1:$I$89,5,0)</f>
        <v>1.1439169611549005E-13</v>
      </c>
      <c r="GB157" s="14">
        <f t="shared" si="185"/>
        <v>1.6918016515029816E-12</v>
      </c>
      <c r="GC157" s="22">
        <f t="shared" si="186"/>
        <v>3.1457867471021712E-12</v>
      </c>
      <c r="GD157" s="60">
        <f t="shared" si="134"/>
        <v>287.14194833736587</v>
      </c>
      <c r="GE157" s="60">
        <f ca="1">AVERAGE(OFFSET($GD$3,0,0,'Données projet'!$E$17+1,1))-AVERAGE(OFFSET($H$3,0,0,'Données projet'!$E$17+1,1))</f>
        <v>344.62096650402731</v>
      </c>
      <c r="GF157" s="60">
        <f t="shared" si="158"/>
        <v>277.30931495079346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-6.8212102632969618E-13</v>
      </c>
      <c r="O158" s="14">
        <f>N158*VLOOKUP('Données projet'!$B$9,Paramètres!$A$1:$I$89,3,0)*VLOOKUP('Données projet'!$B$9,Paramètres!$A$1:$I$89,5,0)</f>
        <v>-5.8525984059087939E-13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632.26350546340541</v>
      </c>
      <c r="T158" s="60">
        <f t="shared" si="142"/>
        <v>340.45335016367915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2.7134774427395314E-13</v>
      </c>
      <c r="AK158" s="14">
        <f t="shared" si="164"/>
        <v>3.6292411711343559E-12</v>
      </c>
      <c r="AL158" s="22">
        <f t="shared" si="165"/>
        <v>6.7935256943361388E-12</v>
      </c>
      <c r="AM158" s="60">
        <f t="shared" si="113"/>
        <v>287.2493550251865</v>
      </c>
      <c r="AN158" s="60">
        <f ca="1">AVERAGE(OFFSET($AM$3,0,0,'Données projet'!$E$10+1,1))-AVERAGE(OFFSET($H$3,0,0,'Données projet'!$E$10+1,1))</f>
        <v>336.25341821407534</v>
      </c>
      <c r="AO158" s="60">
        <f t="shared" si="144"/>
        <v>360.3246221345039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2.7134774427395314E-13</v>
      </c>
      <c r="BF158" s="14">
        <f t="shared" si="167"/>
        <v>3.6292411711343559E-12</v>
      </c>
      <c r="BG158" s="22">
        <f t="shared" si="168"/>
        <v>6.7935256943361388E-12</v>
      </c>
      <c r="BH158" s="60">
        <f t="shared" si="116"/>
        <v>287.2493550251865</v>
      </c>
      <c r="BI158" s="60">
        <f ca="1">AVERAGE(OFFSET($BH$3,0,0,'Données projet'!$E$11+1,1))-AVERAGE(OFFSET($H$3,0,0,'Données projet'!$E$11+1,1))</f>
        <v>336.25341821407534</v>
      </c>
      <c r="BJ158" s="60">
        <f t="shared" si="146"/>
        <v>360.3246221345039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-8.7434273154940449E-13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469.67944008675863</v>
      </c>
      <c r="CE158" s="60">
        <f t="shared" si="148"/>
        <v>266.11908070867173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8.8675733422860506E-14</v>
      </c>
      <c r="CV158" s="14">
        <f t="shared" si="173"/>
        <v>1.3509285393066301E-12</v>
      </c>
      <c r="CW158" s="22">
        <f t="shared" si="174"/>
        <v>2.5073107750038623E-12</v>
      </c>
      <c r="CX158" s="60">
        <f t="shared" si="122"/>
        <v>287.24935502518218</v>
      </c>
      <c r="CY158" s="60">
        <f ca="1">AVERAGE(OFFSET($CX$3,0,0,'Données projet'!$E$13+1,1))-AVERAGE(OFFSET($H$3,0,0,'Données projet'!$E$13+1,1))</f>
        <v>312.59632808777332</v>
      </c>
      <c r="CZ158" s="60">
        <f t="shared" si="150"/>
        <v>302.59481222418219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1.0818439477588981E-13</v>
      </c>
      <c r="DQ158" s="14">
        <f t="shared" si="176"/>
        <v>1.6104228458716316E-12</v>
      </c>
      <c r="DR158" s="22">
        <f t="shared" si="177"/>
        <v>2.9932409441277661E-12</v>
      </c>
      <c r="DS158" s="60">
        <f t="shared" si="125"/>
        <v>287.24935502518269</v>
      </c>
      <c r="DT158" s="60">
        <f ca="1">AVERAGE(OFFSET($DS$3,0,0,'Données projet'!$E$14+1,1))-AVERAGE(OFFSET($H$3,0,0,'Données projet'!$E$14+1,1))</f>
        <v>398.29746143975166</v>
      </c>
      <c r="DU158" s="60">
        <f t="shared" si="152"/>
        <v>300.63705521148802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-9.6633812063373625E-13</v>
      </c>
      <c r="EK158" s="18">
        <f>EJ158*VLOOKUP('Données projet'!$B$15,Paramètres!$A$1:$I$89,3,0)*VLOOKUP('Données projet'!$B$15,Paramètres!$A$1:$I$89,5,0)</f>
        <v>-9.3464223027694966E-13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496.33873798282525</v>
      </c>
      <c r="EP158" s="60">
        <f t="shared" si="154"/>
        <v>280.25465074992246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3.4106051316484809E-13</v>
      </c>
      <c r="FF158" s="18">
        <f>FE158*VLOOKUP('Données projet'!$B$16,Paramètres!$A$1:$I$89,3,0)*VLOOKUP('Données projet'!$B$16,Paramètres!$A$1:$I$89,5,0)</f>
        <v>2.9795046430081134E-13</v>
      </c>
      <c r="FG158" s="14">
        <f t="shared" si="182"/>
        <v>3.9419014464513778E-12</v>
      </c>
      <c r="FH158" s="22">
        <f t="shared" si="183"/>
        <v>7.384408744560063E-12</v>
      </c>
      <c r="FI158" s="60">
        <f t="shared" si="131"/>
        <v>287.24935502518707</v>
      </c>
      <c r="FJ158" s="60">
        <f ca="1">AVERAGE(OFFSET($FI$3,0,0,'Données projet'!$E$16+1,1))-AVERAGE(OFFSET($H$3,0,0,'Données projet'!$E$16+1,1))</f>
        <v>363.28611056308665</v>
      </c>
      <c r="FK158" s="60">
        <f t="shared" si="156"/>
        <v>389.43647559455974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1.7053025658242404E-13</v>
      </c>
      <c r="GA158" s="18">
        <f>FZ158*VLOOKUP('Données projet'!$B$17,Paramètres!$A$1:$I$89,3,0)*VLOOKUP('Données projet'!$B$17,Paramètres!$A$1:$I$89,5,0)</f>
        <v>1.1439169611549005E-13</v>
      </c>
      <c r="GB158" s="14">
        <f t="shared" si="185"/>
        <v>1.6918016515029816E-12</v>
      </c>
      <c r="GC158" s="22">
        <f t="shared" si="186"/>
        <v>3.1457867471021712E-12</v>
      </c>
      <c r="GD158" s="60">
        <f t="shared" si="134"/>
        <v>287.24935502518281</v>
      </c>
      <c r="GE158" s="60">
        <f ca="1">AVERAGE(OFFSET($GD$3,0,0,'Données projet'!$E$17+1,1))-AVERAGE(OFFSET($H$3,0,0,'Données projet'!$E$17+1,1))</f>
        <v>344.62096650402731</v>
      </c>
      <c r="GF158" s="60">
        <f t="shared" si="158"/>
        <v>277.30931495079346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-6.8212102632969618E-13</v>
      </c>
      <c r="O159" s="14">
        <f>N159*VLOOKUP('Données projet'!$B$9,Paramètres!$A$1:$I$89,3,0)*VLOOKUP('Données projet'!$B$9,Paramètres!$A$1:$I$89,5,0)</f>
        <v>-5.8525984059087939E-13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632.26350546340541</v>
      </c>
      <c r="T159" s="60">
        <f t="shared" si="142"/>
        <v>340.45335016367915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2.7134774427395314E-13</v>
      </c>
      <c r="AK159" s="14">
        <f t="shared" si="164"/>
        <v>3.6292411711343559E-12</v>
      </c>
      <c r="AL159" s="22">
        <f t="shared" si="165"/>
        <v>6.7935256943361388E-12</v>
      </c>
      <c r="AM159" s="60">
        <f t="shared" si="113"/>
        <v>287.35489844709514</v>
      </c>
      <c r="AN159" s="60">
        <f ca="1">AVERAGE(OFFSET($AM$3,0,0,'Données projet'!$E$10+1,1))-AVERAGE(OFFSET($H$3,0,0,'Données projet'!$E$10+1,1))</f>
        <v>336.25341821407534</v>
      </c>
      <c r="AO159" s="60">
        <f t="shared" si="144"/>
        <v>360.3246221345039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2.7134774427395314E-13</v>
      </c>
      <c r="BF159" s="14">
        <f t="shared" si="167"/>
        <v>3.6292411711343559E-12</v>
      </c>
      <c r="BG159" s="22">
        <f t="shared" si="168"/>
        <v>6.7935256943361388E-12</v>
      </c>
      <c r="BH159" s="60">
        <f t="shared" si="116"/>
        <v>287.35489844709514</v>
      </c>
      <c r="BI159" s="60">
        <f ca="1">AVERAGE(OFFSET($BH$3,0,0,'Données projet'!$E$11+1,1))-AVERAGE(OFFSET($H$3,0,0,'Données projet'!$E$11+1,1))</f>
        <v>336.25341821407534</v>
      </c>
      <c r="BJ159" s="60">
        <f t="shared" si="146"/>
        <v>360.3246221345039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-8.7434273154940449E-13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469.67944008675863</v>
      </c>
      <c r="CE159" s="60">
        <f t="shared" si="148"/>
        <v>266.11908070867173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8.8675733422860506E-14</v>
      </c>
      <c r="CV159" s="14">
        <f t="shared" si="173"/>
        <v>1.3509285393066301E-12</v>
      </c>
      <c r="CW159" s="22">
        <f t="shared" si="174"/>
        <v>2.5073107750038623E-12</v>
      </c>
      <c r="CX159" s="60">
        <f t="shared" si="122"/>
        <v>287.35489844709082</v>
      </c>
      <c r="CY159" s="60">
        <f ca="1">AVERAGE(OFFSET($CX$3,0,0,'Données projet'!$E$13+1,1))-AVERAGE(OFFSET($H$3,0,0,'Données projet'!$E$13+1,1))</f>
        <v>312.59632808777332</v>
      </c>
      <c r="CZ159" s="60">
        <f t="shared" si="150"/>
        <v>302.59481222418219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1.0818439477588981E-13</v>
      </c>
      <c r="DQ159" s="14">
        <f t="shared" si="176"/>
        <v>1.6104228458716316E-12</v>
      </c>
      <c r="DR159" s="22">
        <f t="shared" si="177"/>
        <v>2.9932409441277661E-12</v>
      </c>
      <c r="DS159" s="60">
        <f t="shared" si="125"/>
        <v>287.35489844709133</v>
      </c>
      <c r="DT159" s="60">
        <f ca="1">AVERAGE(OFFSET($DS$3,0,0,'Données projet'!$E$14+1,1))-AVERAGE(OFFSET($H$3,0,0,'Données projet'!$E$14+1,1))</f>
        <v>398.29746143975166</v>
      </c>
      <c r="DU159" s="60">
        <f t="shared" si="152"/>
        <v>300.63705521148802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-9.6633812063373625E-13</v>
      </c>
      <c r="EK159" s="18">
        <f>EJ159*VLOOKUP('Données projet'!$B$15,Paramètres!$A$1:$I$89,3,0)*VLOOKUP('Données projet'!$B$15,Paramètres!$A$1:$I$89,5,0)</f>
        <v>-9.3464223027694966E-13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496.33873798282525</v>
      </c>
      <c r="EP159" s="60">
        <f t="shared" si="154"/>
        <v>280.25465074992246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3.4106051316484809E-13</v>
      </c>
      <c r="FF159" s="18">
        <f>FE159*VLOOKUP('Données projet'!$B$16,Paramètres!$A$1:$I$89,3,0)*VLOOKUP('Données projet'!$B$16,Paramètres!$A$1:$I$89,5,0)</f>
        <v>2.9795046430081134E-13</v>
      </c>
      <c r="FG159" s="14">
        <f t="shared" si="182"/>
        <v>3.9419014464513778E-12</v>
      </c>
      <c r="FH159" s="22">
        <f t="shared" si="183"/>
        <v>7.384408744560063E-12</v>
      </c>
      <c r="FI159" s="60">
        <f t="shared" si="131"/>
        <v>287.35489844709571</v>
      </c>
      <c r="FJ159" s="60">
        <f ca="1">AVERAGE(OFFSET($FI$3,0,0,'Données projet'!$E$16+1,1))-AVERAGE(OFFSET($H$3,0,0,'Données projet'!$E$16+1,1))</f>
        <v>363.28611056308665</v>
      </c>
      <c r="FK159" s="60">
        <f t="shared" si="156"/>
        <v>389.43647559455974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1.7053025658242404E-13</v>
      </c>
      <c r="GA159" s="18">
        <f>FZ159*VLOOKUP('Données projet'!$B$17,Paramètres!$A$1:$I$89,3,0)*VLOOKUP('Données projet'!$B$17,Paramètres!$A$1:$I$89,5,0)</f>
        <v>1.1439169611549005E-13</v>
      </c>
      <c r="GB159" s="14">
        <f t="shared" si="185"/>
        <v>1.6918016515029816E-12</v>
      </c>
      <c r="GC159" s="22">
        <f t="shared" si="186"/>
        <v>3.1457867471021712E-12</v>
      </c>
      <c r="GD159" s="60">
        <f t="shared" si="134"/>
        <v>287.35489844709144</v>
      </c>
      <c r="GE159" s="60">
        <f ca="1">AVERAGE(OFFSET($GD$3,0,0,'Données projet'!$E$17+1,1))-AVERAGE(OFFSET($H$3,0,0,'Données projet'!$E$17+1,1))</f>
        <v>344.62096650402731</v>
      </c>
      <c r="GF159" s="60">
        <f t="shared" si="158"/>
        <v>277.30931495079346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-6.8212102632969618E-13</v>
      </c>
      <c r="O160" s="14">
        <f>N160*VLOOKUP('Données projet'!$B$9,Paramètres!$A$1:$I$89,3,0)*VLOOKUP('Données projet'!$B$9,Paramètres!$A$1:$I$89,5,0)</f>
        <v>-5.8525984059087939E-13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632.26350546340541</v>
      </c>
      <c r="T160" s="60">
        <f t="shared" si="142"/>
        <v>340.45335016367915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2.7134774427395314E-13</v>
      </c>
      <c r="AK160" s="14">
        <f t="shared" si="164"/>
        <v>3.6292411711343559E-12</v>
      </c>
      <c r="AL160" s="22">
        <f t="shared" si="165"/>
        <v>6.7935256943361388E-12</v>
      </c>
      <c r="AM160" s="60">
        <f t="shared" si="113"/>
        <v>287.45861092659339</v>
      </c>
      <c r="AN160" s="60">
        <f ca="1">AVERAGE(OFFSET($AM$3,0,0,'Données projet'!$E$10+1,1))-AVERAGE(OFFSET($H$3,0,0,'Données projet'!$E$10+1,1))</f>
        <v>336.25341821407534</v>
      </c>
      <c r="AO160" s="60">
        <f t="shared" si="144"/>
        <v>360.3246221345039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2.7134774427395314E-13</v>
      </c>
      <c r="BF160" s="14">
        <f t="shared" si="167"/>
        <v>3.6292411711343559E-12</v>
      </c>
      <c r="BG160" s="22">
        <f t="shared" si="168"/>
        <v>6.7935256943361388E-12</v>
      </c>
      <c r="BH160" s="60">
        <f t="shared" si="116"/>
        <v>287.45861092659339</v>
      </c>
      <c r="BI160" s="60">
        <f ca="1">AVERAGE(OFFSET($BH$3,0,0,'Données projet'!$E$11+1,1))-AVERAGE(OFFSET($H$3,0,0,'Données projet'!$E$11+1,1))</f>
        <v>336.25341821407534</v>
      </c>
      <c r="BJ160" s="60">
        <f t="shared" si="146"/>
        <v>360.3246221345039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-8.7434273154940449E-13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469.67944008675863</v>
      </c>
      <c r="CE160" s="60">
        <f t="shared" si="148"/>
        <v>266.11908070867173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8.8675733422860506E-14</v>
      </c>
      <c r="CV160" s="14">
        <f t="shared" si="173"/>
        <v>1.3509285393066301E-12</v>
      </c>
      <c r="CW160" s="22">
        <f t="shared" si="174"/>
        <v>2.5073107750038623E-12</v>
      </c>
      <c r="CX160" s="60">
        <f t="shared" si="122"/>
        <v>287.45861092658907</v>
      </c>
      <c r="CY160" s="60">
        <f ca="1">AVERAGE(OFFSET($CX$3,0,0,'Données projet'!$E$13+1,1))-AVERAGE(OFFSET($H$3,0,0,'Données projet'!$E$13+1,1))</f>
        <v>312.59632808777332</v>
      </c>
      <c r="CZ160" s="60">
        <f t="shared" si="150"/>
        <v>302.59481222418219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1.0818439477588981E-13</v>
      </c>
      <c r="DQ160" s="14">
        <f t="shared" si="176"/>
        <v>1.6104228458716316E-12</v>
      </c>
      <c r="DR160" s="22">
        <f t="shared" si="177"/>
        <v>2.9932409441277661E-12</v>
      </c>
      <c r="DS160" s="60">
        <f t="shared" si="125"/>
        <v>287.45861092658959</v>
      </c>
      <c r="DT160" s="60">
        <f ca="1">AVERAGE(OFFSET($DS$3,0,0,'Données projet'!$E$14+1,1))-AVERAGE(OFFSET($H$3,0,0,'Données projet'!$E$14+1,1))</f>
        <v>398.29746143975166</v>
      </c>
      <c r="DU160" s="60">
        <f t="shared" si="152"/>
        <v>300.63705521148802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-9.6633812063373625E-13</v>
      </c>
      <c r="EK160" s="18">
        <f>EJ160*VLOOKUP('Données projet'!$B$15,Paramètres!$A$1:$I$89,3,0)*VLOOKUP('Données projet'!$B$15,Paramètres!$A$1:$I$89,5,0)</f>
        <v>-9.3464223027694966E-13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496.33873798282525</v>
      </c>
      <c r="EP160" s="60">
        <f t="shared" si="154"/>
        <v>280.25465074992246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3.4106051316484809E-13</v>
      </c>
      <c r="FF160" s="18">
        <f>FE160*VLOOKUP('Données projet'!$B$16,Paramètres!$A$1:$I$89,3,0)*VLOOKUP('Données projet'!$B$16,Paramètres!$A$1:$I$89,5,0)</f>
        <v>2.9795046430081134E-13</v>
      </c>
      <c r="FG160" s="14">
        <f t="shared" si="182"/>
        <v>3.9419014464513778E-12</v>
      </c>
      <c r="FH160" s="22">
        <f t="shared" si="183"/>
        <v>7.384408744560063E-12</v>
      </c>
      <c r="FI160" s="60">
        <f t="shared" si="131"/>
        <v>287.45861092659396</v>
      </c>
      <c r="FJ160" s="60">
        <f ca="1">AVERAGE(OFFSET($FI$3,0,0,'Données projet'!$E$16+1,1))-AVERAGE(OFFSET($H$3,0,0,'Données projet'!$E$16+1,1))</f>
        <v>363.28611056308665</v>
      </c>
      <c r="FK160" s="60">
        <f t="shared" si="156"/>
        <v>389.43647559455974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1.7053025658242404E-13</v>
      </c>
      <c r="GA160" s="18">
        <f>FZ160*VLOOKUP('Données projet'!$B$17,Paramètres!$A$1:$I$89,3,0)*VLOOKUP('Données projet'!$B$17,Paramètres!$A$1:$I$89,5,0)</f>
        <v>1.1439169611549005E-13</v>
      </c>
      <c r="GB160" s="14">
        <f t="shared" si="185"/>
        <v>1.6918016515029816E-12</v>
      </c>
      <c r="GC160" s="22">
        <f t="shared" si="186"/>
        <v>3.1457867471021712E-12</v>
      </c>
      <c r="GD160" s="60">
        <f t="shared" si="134"/>
        <v>287.4586109265897</v>
      </c>
      <c r="GE160" s="60">
        <f ca="1">AVERAGE(OFFSET($GD$3,0,0,'Données projet'!$E$17+1,1))-AVERAGE(OFFSET($H$3,0,0,'Données projet'!$E$17+1,1))</f>
        <v>344.62096650402731</v>
      </c>
      <c r="GF160" s="60">
        <f t="shared" si="158"/>
        <v>277.30931495079346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-6.8212102632969618E-13</v>
      </c>
      <c r="O161" s="14">
        <f>N161*VLOOKUP('Données projet'!$B$9,Paramètres!$A$1:$I$89,3,0)*VLOOKUP('Données projet'!$B$9,Paramètres!$A$1:$I$89,5,0)</f>
        <v>-5.8525984059087939E-13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632.26350546340541</v>
      </c>
      <c r="T161" s="60">
        <f t="shared" si="142"/>
        <v>340.45335016367915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2.7134774427395314E-13</v>
      </c>
      <c r="AK161" s="14">
        <f t="shared" si="164"/>
        <v>3.6292411711343559E-12</v>
      </c>
      <c r="AL161" s="22">
        <f t="shared" si="165"/>
        <v>6.7935256943361388E-12</v>
      </c>
      <c r="AM161" s="60">
        <f t="shared" si="113"/>
        <v>287.56052422643882</v>
      </c>
      <c r="AN161" s="60">
        <f ca="1">AVERAGE(OFFSET($AM$3,0,0,'Données projet'!$E$10+1,1))-AVERAGE(OFFSET($H$3,0,0,'Données projet'!$E$10+1,1))</f>
        <v>336.25341821407534</v>
      </c>
      <c r="AO161" s="60">
        <f t="shared" si="144"/>
        <v>360.3246221345039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2.7134774427395314E-13</v>
      </c>
      <c r="BF161" s="14">
        <f t="shared" si="167"/>
        <v>3.6292411711343559E-12</v>
      </c>
      <c r="BG161" s="22">
        <f t="shared" si="168"/>
        <v>6.7935256943361388E-12</v>
      </c>
      <c r="BH161" s="60">
        <f t="shared" si="116"/>
        <v>287.56052422643882</v>
      </c>
      <c r="BI161" s="60">
        <f ca="1">AVERAGE(OFFSET($BH$3,0,0,'Données projet'!$E$11+1,1))-AVERAGE(OFFSET($H$3,0,0,'Données projet'!$E$11+1,1))</f>
        <v>336.25341821407534</v>
      </c>
      <c r="BJ161" s="60">
        <f t="shared" si="146"/>
        <v>360.3246221345039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-8.7434273154940449E-13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469.67944008675863</v>
      </c>
      <c r="CE161" s="60">
        <f t="shared" si="148"/>
        <v>266.11908070867173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8.8675733422860506E-14</v>
      </c>
      <c r="CV161" s="14">
        <f t="shared" si="173"/>
        <v>1.3509285393066301E-12</v>
      </c>
      <c r="CW161" s="22">
        <f t="shared" si="174"/>
        <v>2.5073107750038623E-12</v>
      </c>
      <c r="CX161" s="60">
        <f t="shared" si="122"/>
        <v>287.5605242264345</v>
      </c>
      <c r="CY161" s="60">
        <f ca="1">AVERAGE(OFFSET($CX$3,0,0,'Données projet'!$E$13+1,1))-AVERAGE(OFFSET($H$3,0,0,'Données projet'!$E$13+1,1))</f>
        <v>312.59632808777332</v>
      </c>
      <c r="CZ161" s="60">
        <f t="shared" si="150"/>
        <v>302.59481222418219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1.0818439477588981E-13</v>
      </c>
      <c r="DQ161" s="14">
        <f t="shared" si="176"/>
        <v>1.6104228458716316E-12</v>
      </c>
      <c r="DR161" s="22">
        <f t="shared" si="177"/>
        <v>2.9932409441277661E-12</v>
      </c>
      <c r="DS161" s="60">
        <f t="shared" si="125"/>
        <v>287.56052422643501</v>
      </c>
      <c r="DT161" s="60">
        <f ca="1">AVERAGE(OFFSET($DS$3,0,0,'Données projet'!$E$14+1,1))-AVERAGE(OFFSET($H$3,0,0,'Données projet'!$E$14+1,1))</f>
        <v>398.29746143975166</v>
      </c>
      <c r="DU161" s="60">
        <f t="shared" si="152"/>
        <v>300.63705521148802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-9.6633812063373625E-13</v>
      </c>
      <c r="EK161" s="18">
        <f>EJ161*VLOOKUP('Données projet'!$B$15,Paramètres!$A$1:$I$89,3,0)*VLOOKUP('Données projet'!$B$15,Paramètres!$A$1:$I$89,5,0)</f>
        <v>-9.3464223027694966E-13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496.33873798282525</v>
      </c>
      <c r="EP161" s="60">
        <f t="shared" si="154"/>
        <v>280.25465074992246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3.4106051316484809E-13</v>
      </c>
      <c r="FF161" s="18">
        <f>FE161*VLOOKUP('Données projet'!$B$16,Paramètres!$A$1:$I$89,3,0)*VLOOKUP('Données projet'!$B$16,Paramètres!$A$1:$I$89,5,0)</f>
        <v>2.9795046430081134E-13</v>
      </c>
      <c r="FG161" s="14">
        <f t="shared" si="182"/>
        <v>3.9419014464513778E-12</v>
      </c>
      <c r="FH161" s="22">
        <f t="shared" si="183"/>
        <v>7.384408744560063E-12</v>
      </c>
      <c r="FI161" s="60">
        <f t="shared" si="131"/>
        <v>287.56052422643938</v>
      </c>
      <c r="FJ161" s="60">
        <f ca="1">AVERAGE(OFFSET($FI$3,0,0,'Données projet'!$E$16+1,1))-AVERAGE(OFFSET($H$3,0,0,'Données projet'!$E$16+1,1))</f>
        <v>363.28611056308665</v>
      </c>
      <c r="FK161" s="60">
        <f t="shared" si="156"/>
        <v>389.43647559455974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1.7053025658242404E-13</v>
      </c>
      <c r="GA161" s="18">
        <f>FZ161*VLOOKUP('Données projet'!$B$17,Paramètres!$A$1:$I$89,3,0)*VLOOKUP('Données projet'!$B$17,Paramètres!$A$1:$I$89,5,0)</f>
        <v>1.1439169611549005E-13</v>
      </c>
      <c r="GB161" s="14">
        <f t="shared" si="185"/>
        <v>1.6918016515029816E-12</v>
      </c>
      <c r="GC161" s="22">
        <f t="shared" si="186"/>
        <v>3.1457867471021712E-12</v>
      </c>
      <c r="GD161" s="60">
        <f t="shared" si="134"/>
        <v>287.56052422643512</v>
      </c>
      <c r="GE161" s="60">
        <f ca="1">AVERAGE(OFFSET($GD$3,0,0,'Données projet'!$E$17+1,1))-AVERAGE(OFFSET($H$3,0,0,'Données projet'!$E$17+1,1))</f>
        <v>344.62096650402731</v>
      </c>
      <c r="GF161" s="60">
        <f t="shared" si="158"/>
        <v>277.30931495079346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-6.8212102632969618E-13</v>
      </c>
      <c r="O162" s="14">
        <f>N162*VLOOKUP('Données projet'!$B$9,Paramètres!$A$1:$I$89,3,0)*VLOOKUP('Données projet'!$B$9,Paramètres!$A$1:$I$89,5,0)</f>
        <v>-5.8525984059087939E-13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632.26350546340541</v>
      </c>
      <c r="T162" s="60">
        <f t="shared" si="142"/>
        <v>340.45335016367915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2.7134774427395314E-13</v>
      </c>
      <c r="AK162" s="14">
        <f t="shared" si="164"/>
        <v>3.6292411711343559E-12</v>
      </c>
      <c r="AL162" s="22">
        <f t="shared" si="165"/>
        <v>6.7935256943361388E-12</v>
      </c>
      <c r="AM162" s="60">
        <f t="shared" si="113"/>
        <v>287.66066955837579</v>
      </c>
      <c r="AN162" s="60">
        <f ca="1">AVERAGE(OFFSET($AM$3,0,0,'Données projet'!$E$10+1,1))-AVERAGE(OFFSET($H$3,0,0,'Données projet'!$E$10+1,1))</f>
        <v>336.25341821407534</v>
      </c>
      <c r="AO162" s="60">
        <f t="shared" si="144"/>
        <v>360.3246221345039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2.7134774427395314E-13</v>
      </c>
      <c r="BF162" s="14">
        <f t="shared" si="167"/>
        <v>3.6292411711343559E-12</v>
      </c>
      <c r="BG162" s="22">
        <f t="shared" si="168"/>
        <v>6.7935256943361388E-12</v>
      </c>
      <c r="BH162" s="60">
        <f t="shared" si="116"/>
        <v>287.66066955837579</v>
      </c>
      <c r="BI162" s="60">
        <f ca="1">AVERAGE(OFFSET($BH$3,0,0,'Données projet'!$E$11+1,1))-AVERAGE(OFFSET($H$3,0,0,'Données projet'!$E$11+1,1))</f>
        <v>336.25341821407534</v>
      </c>
      <c r="BJ162" s="60">
        <f t="shared" si="146"/>
        <v>360.3246221345039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-8.7434273154940449E-13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469.67944008675863</v>
      </c>
      <c r="CE162" s="60">
        <f t="shared" si="148"/>
        <v>266.11908070867173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8.8675733422860506E-14</v>
      </c>
      <c r="CV162" s="14">
        <f t="shared" si="173"/>
        <v>1.3509285393066301E-12</v>
      </c>
      <c r="CW162" s="22">
        <f t="shared" si="174"/>
        <v>2.5073107750038623E-12</v>
      </c>
      <c r="CX162" s="60">
        <f t="shared" si="122"/>
        <v>287.66066955837147</v>
      </c>
      <c r="CY162" s="60">
        <f ca="1">AVERAGE(OFFSET($CX$3,0,0,'Données projet'!$E$13+1,1))-AVERAGE(OFFSET($H$3,0,0,'Données projet'!$E$13+1,1))</f>
        <v>312.59632808777332</v>
      </c>
      <c r="CZ162" s="60">
        <f t="shared" si="150"/>
        <v>302.59481222418219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1.0818439477588981E-13</v>
      </c>
      <c r="DQ162" s="14">
        <f t="shared" si="176"/>
        <v>1.6104228458716316E-12</v>
      </c>
      <c r="DR162" s="22">
        <f t="shared" si="177"/>
        <v>2.9932409441277661E-12</v>
      </c>
      <c r="DS162" s="60">
        <f t="shared" si="125"/>
        <v>287.66066955837198</v>
      </c>
      <c r="DT162" s="60">
        <f ca="1">AVERAGE(OFFSET($DS$3,0,0,'Données projet'!$E$14+1,1))-AVERAGE(OFFSET($H$3,0,0,'Données projet'!$E$14+1,1))</f>
        <v>398.29746143975166</v>
      </c>
      <c r="DU162" s="60">
        <f t="shared" si="152"/>
        <v>300.63705521148802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-9.6633812063373625E-13</v>
      </c>
      <c r="EK162" s="18">
        <f>EJ162*VLOOKUP('Données projet'!$B$15,Paramètres!$A$1:$I$89,3,0)*VLOOKUP('Données projet'!$B$15,Paramètres!$A$1:$I$89,5,0)</f>
        <v>-9.3464223027694966E-13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496.33873798282525</v>
      </c>
      <c r="EP162" s="60">
        <f t="shared" si="154"/>
        <v>280.25465074992246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3.4106051316484809E-13</v>
      </c>
      <c r="FF162" s="18">
        <f>FE162*VLOOKUP('Données projet'!$B$16,Paramètres!$A$1:$I$89,3,0)*VLOOKUP('Données projet'!$B$16,Paramètres!$A$1:$I$89,5,0)</f>
        <v>2.9795046430081134E-13</v>
      </c>
      <c r="FG162" s="14">
        <f t="shared" si="182"/>
        <v>3.9419014464513778E-12</v>
      </c>
      <c r="FH162" s="22">
        <f t="shared" si="183"/>
        <v>7.384408744560063E-12</v>
      </c>
      <c r="FI162" s="60">
        <f t="shared" si="131"/>
        <v>287.66066955837636</v>
      </c>
      <c r="FJ162" s="60">
        <f ca="1">AVERAGE(OFFSET($FI$3,0,0,'Données projet'!$E$16+1,1))-AVERAGE(OFFSET($H$3,0,0,'Données projet'!$E$16+1,1))</f>
        <v>363.28611056308665</v>
      </c>
      <c r="FK162" s="60">
        <f t="shared" si="156"/>
        <v>389.43647559455974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1.7053025658242404E-13</v>
      </c>
      <c r="GA162" s="18">
        <f>FZ162*VLOOKUP('Données projet'!$B$17,Paramètres!$A$1:$I$89,3,0)*VLOOKUP('Données projet'!$B$17,Paramètres!$A$1:$I$89,5,0)</f>
        <v>1.1439169611549005E-13</v>
      </c>
      <c r="GB162" s="14">
        <f t="shared" si="185"/>
        <v>1.6918016515029816E-12</v>
      </c>
      <c r="GC162" s="22">
        <f t="shared" si="186"/>
        <v>3.1457867471021712E-12</v>
      </c>
      <c r="GD162" s="60">
        <f t="shared" si="134"/>
        <v>287.66066955837209</v>
      </c>
      <c r="GE162" s="60">
        <f ca="1">AVERAGE(OFFSET($GD$3,0,0,'Données projet'!$E$17+1,1))-AVERAGE(OFFSET($H$3,0,0,'Données projet'!$E$17+1,1))</f>
        <v>344.62096650402731</v>
      </c>
      <c r="GF162" s="60">
        <f t="shared" si="158"/>
        <v>277.30931495079346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-6.8212102632969618E-13</v>
      </c>
      <c r="O163" s="14">
        <f>N163*VLOOKUP('Données projet'!$B$9,Paramètres!$A$1:$I$89,3,0)*VLOOKUP('Données projet'!$B$9,Paramètres!$A$1:$I$89,5,0)</f>
        <v>-5.8525984059087939E-13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632.26350546340541</v>
      </c>
      <c r="T163" s="60">
        <f t="shared" si="142"/>
        <v>340.45335016367915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2.7134774427395314E-13</v>
      </c>
      <c r="AK163" s="14">
        <f t="shared" si="164"/>
        <v>3.6292411711343559E-12</v>
      </c>
      <c r="AL163" s="22">
        <f t="shared" si="165"/>
        <v>6.7935256943361388E-12</v>
      </c>
      <c r="AM163" s="60">
        <f t="shared" si="113"/>
        <v>287.75907759269518</v>
      </c>
      <c r="AN163" s="60">
        <f ca="1">AVERAGE(OFFSET($AM$3,0,0,'Données projet'!$E$10+1,1))-AVERAGE(OFFSET($H$3,0,0,'Données projet'!$E$10+1,1))</f>
        <v>336.25341821407534</v>
      </c>
      <c r="AO163" s="60">
        <f t="shared" si="144"/>
        <v>360.3246221345039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2.7134774427395314E-13</v>
      </c>
      <c r="BF163" s="14">
        <f t="shared" si="167"/>
        <v>3.6292411711343559E-12</v>
      </c>
      <c r="BG163" s="22">
        <f t="shared" si="168"/>
        <v>6.7935256943361388E-12</v>
      </c>
      <c r="BH163" s="60">
        <f t="shared" si="116"/>
        <v>287.75907759269518</v>
      </c>
      <c r="BI163" s="60">
        <f ca="1">AVERAGE(OFFSET($BH$3,0,0,'Données projet'!$E$11+1,1))-AVERAGE(OFFSET($H$3,0,0,'Données projet'!$E$11+1,1))</f>
        <v>336.25341821407534</v>
      </c>
      <c r="BJ163" s="60">
        <f t="shared" si="146"/>
        <v>360.3246221345039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-8.7434273154940449E-13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469.67944008675863</v>
      </c>
      <c r="CE163" s="60">
        <f t="shared" si="148"/>
        <v>266.11908070867173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8.8675733422860506E-14</v>
      </c>
      <c r="CV163" s="14">
        <f t="shared" si="173"/>
        <v>1.3509285393066301E-12</v>
      </c>
      <c r="CW163" s="22">
        <f t="shared" si="174"/>
        <v>2.5073107750038623E-12</v>
      </c>
      <c r="CX163" s="60">
        <f t="shared" si="122"/>
        <v>287.75907759269086</v>
      </c>
      <c r="CY163" s="60">
        <f ca="1">AVERAGE(OFFSET($CX$3,0,0,'Données projet'!$E$13+1,1))-AVERAGE(OFFSET($H$3,0,0,'Données projet'!$E$13+1,1))</f>
        <v>312.59632808777332</v>
      </c>
      <c r="CZ163" s="60">
        <f t="shared" si="150"/>
        <v>302.59481222418219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1.0818439477588981E-13</v>
      </c>
      <c r="DQ163" s="14">
        <f t="shared" si="176"/>
        <v>1.6104228458716316E-12</v>
      </c>
      <c r="DR163" s="22">
        <f t="shared" si="177"/>
        <v>2.9932409441277661E-12</v>
      </c>
      <c r="DS163" s="60">
        <f t="shared" si="125"/>
        <v>287.75907759269137</v>
      </c>
      <c r="DT163" s="60">
        <f ca="1">AVERAGE(OFFSET($DS$3,0,0,'Données projet'!$E$14+1,1))-AVERAGE(OFFSET($H$3,0,0,'Données projet'!$E$14+1,1))</f>
        <v>398.29746143975166</v>
      </c>
      <c r="DU163" s="60">
        <f t="shared" si="152"/>
        <v>300.63705521148802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-9.6633812063373625E-13</v>
      </c>
      <c r="EK163" s="18">
        <f>EJ163*VLOOKUP('Données projet'!$B$15,Paramètres!$A$1:$I$89,3,0)*VLOOKUP('Données projet'!$B$15,Paramètres!$A$1:$I$89,5,0)</f>
        <v>-9.3464223027694966E-13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496.33873798282525</v>
      </c>
      <c r="EP163" s="60">
        <f t="shared" si="154"/>
        <v>280.25465074992246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3.4106051316484809E-13</v>
      </c>
      <c r="FF163" s="18">
        <f>FE163*VLOOKUP('Données projet'!$B$16,Paramètres!$A$1:$I$89,3,0)*VLOOKUP('Données projet'!$B$16,Paramètres!$A$1:$I$89,5,0)</f>
        <v>2.9795046430081134E-13</v>
      </c>
      <c r="FG163" s="14">
        <f t="shared" si="182"/>
        <v>3.9419014464513778E-12</v>
      </c>
      <c r="FH163" s="22">
        <f t="shared" si="183"/>
        <v>7.384408744560063E-12</v>
      </c>
      <c r="FI163" s="60">
        <f t="shared" si="131"/>
        <v>287.75907759269575</v>
      </c>
      <c r="FJ163" s="60">
        <f ca="1">AVERAGE(OFFSET($FI$3,0,0,'Données projet'!$E$16+1,1))-AVERAGE(OFFSET($H$3,0,0,'Données projet'!$E$16+1,1))</f>
        <v>363.28611056308665</v>
      </c>
      <c r="FK163" s="60">
        <f t="shared" si="156"/>
        <v>389.43647559455974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1.7053025658242404E-13</v>
      </c>
      <c r="GA163" s="18">
        <f>FZ163*VLOOKUP('Données projet'!$B$17,Paramètres!$A$1:$I$89,3,0)*VLOOKUP('Données projet'!$B$17,Paramètres!$A$1:$I$89,5,0)</f>
        <v>1.1439169611549005E-13</v>
      </c>
      <c r="GB163" s="14">
        <f t="shared" si="185"/>
        <v>1.6918016515029816E-12</v>
      </c>
      <c r="GC163" s="22">
        <f t="shared" si="186"/>
        <v>3.1457867471021712E-12</v>
      </c>
      <c r="GD163" s="60">
        <f t="shared" si="134"/>
        <v>287.75907759269148</v>
      </c>
      <c r="GE163" s="60">
        <f ca="1">AVERAGE(OFFSET($GD$3,0,0,'Données projet'!$E$17+1,1))-AVERAGE(OFFSET($H$3,0,0,'Données projet'!$E$17+1,1))</f>
        <v>344.62096650402731</v>
      </c>
      <c r="GF163" s="60">
        <f t="shared" si="158"/>
        <v>277.30931495079346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-6.8212102632969618E-13</v>
      </c>
      <c r="O164" s="14">
        <f>N164*VLOOKUP('Données projet'!$B$9,Paramètres!$A$1:$I$89,3,0)*VLOOKUP('Données projet'!$B$9,Paramètres!$A$1:$I$89,5,0)</f>
        <v>-5.8525984059087939E-13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632.26350546340541</v>
      </c>
      <c r="T164" s="60">
        <f t="shared" si="142"/>
        <v>340.45335016367915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2.7134774427395314E-13</v>
      </c>
      <c r="AK164" s="14">
        <f t="shared" si="164"/>
        <v>3.6292411711343559E-12</v>
      </c>
      <c r="AL164" s="22">
        <f t="shared" si="165"/>
        <v>6.7935256943361388E-12</v>
      </c>
      <c r="AM164" s="60">
        <f t="shared" si="113"/>
        <v>287.85577846762652</v>
      </c>
      <c r="AN164" s="60">
        <f ca="1">AVERAGE(OFFSET($AM$3,0,0,'Données projet'!$E$10+1,1))-AVERAGE(OFFSET($H$3,0,0,'Données projet'!$E$10+1,1))</f>
        <v>336.25341821407534</v>
      </c>
      <c r="AO164" s="60">
        <f t="shared" si="144"/>
        <v>360.3246221345039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2.7134774427395314E-13</v>
      </c>
      <c r="BF164" s="14">
        <f t="shared" si="167"/>
        <v>3.6292411711343559E-12</v>
      </c>
      <c r="BG164" s="22">
        <f t="shared" si="168"/>
        <v>6.7935256943361388E-12</v>
      </c>
      <c r="BH164" s="60">
        <f t="shared" si="116"/>
        <v>287.85577846762652</v>
      </c>
      <c r="BI164" s="60">
        <f ca="1">AVERAGE(OFFSET($BH$3,0,0,'Données projet'!$E$11+1,1))-AVERAGE(OFFSET($H$3,0,0,'Données projet'!$E$11+1,1))</f>
        <v>336.25341821407534</v>
      </c>
      <c r="BJ164" s="60">
        <f t="shared" si="146"/>
        <v>360.3246221345039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-8.7434273154940449E-13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469.67944008675863</v>
      </c>
      <c r="CE164" s="60">
        <f t="shared" si="148"/>
        <v>266.11908070867173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8.8675733422860506E-14</v>
      </c>
      <c r="CV164" s="14">
        <f t="shared" si="173"/>
        <v>1.3509285393066301E-12</v>
      </c>
      <c r="CW164" s="22">
        <f t="shared" si="174"/>
        <v>2.5073107750038623E-12</v>
      </c>
      <c r="CX164" s="60">
        <f t="shared" si="122"/>
        <v>287.8557784676222</v>
      </c>
      <c r="CY164" s="60">
        <f ca="1">AVERAGE(OFFSET($CX$3,0,0,'Données projet'!$E$13+1,1))-AVERAGE(OFFSET($H$3,0,0,'Données projet'!$E$13+1,1))</f>
        <v>312.59632808777332</v>
      </c>
      <c r="CZ164" s="60">
        <f t="shared" si="150"/>
        <v>302.59481222418219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1.0818439477588981E-13</v>
      </c>
      <c r="DQ164" s="14">
        <f t="shared" si="176"/>
        <v>1.6104228458716316E-12</v>
      </c>
      <c r="DR164" s="22">
        <f t="shared" si="177"/>
        <v>2.9932409441277661E-12</v>
      </c>
      <c r="DS164" s="60">
        <f t="shared" si="125"/>
        <v>287.85577846762271</v>
      </c>
      <c r="DT164" s="60">
        <f ca="1">AVERAGE(OFFSET($DS$3,0,0,'Données projet'!$E$14+1,1))-AVERAGE(OFFSET($H$3,0,0,'Données projet'!$E$14+1,1))</f>
        <v>398.29746143975166</v>
      </c>
      <c r="DU164" s="60">
        <f t="shared" si="152"/>
        <v>300.63705521148802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-9.6633812063373625E-13</v>
      </c>
      <c r="EK164" s="18">
        <f>EJ164*VLOOKUP('Données projet'!$B$15,Paramètres!$A$1:$I$89,3,0)*VLOOKUP('Données projet'!$B$15,Paramètres!$A$1:$I$89,5,0)</f>
        <v>-9.3464223027694966E-13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496.33873798282525</v>
      </c>
      <c r="EP164" s="60">
        <f t="shared" si="154"/>
        <v>280.25465074992246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3.4106051316484809E-13</v>
      </c>
      <c r="FF164" s="18">
        <f>FE164*VLOOKUP('Données projet'!$B$16,Paramètres!$A$1:$I$89,3,0)*VLOOKUP('Données projet'!$B$16,Paramètres!$A$1:$I$89,5,0)</f>
        <v>2.9795046430081134E-13</v>
      </c>
      <c r="FG164" s="14">
        <f t="shared" si="182"/>
        <v>3.9419014464513778E-12</v>
      </c>
      <c r="FH164" s="22">
        <f t="shared" si="183"/>
        <v>7.384408744560063E-12</v>
      </c>
      <c r="FI164" s="60">
        <f t="shared" si="131"/>
        <v>287.85577846762709</v>
      </c>
      <c r="FJ164" s="60">
        <f ca="1">AVERAGE(OFFSET($FI$3,0,0,'Données projet'!$E$16+1,1))-AVERAGE(OFFSET($H$3,0,0,'Données projet'!$E$16+1,1))</f>
        <v>363.28611056308665</v>
      </c>
      <c r="FK164" s="60">
        <f t="shared" si="156"/>
        <v>389.43647559455974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1.7053025658242404E-13</v>
      </c>
      <c r="GA164" s="18">
        <f>FZ164*VLOOKUP('Données projet'!$B$17,Paramètres!$A$1:$I$89,3,0)*VLOOKUP('Données projet'!$B$17,Paramètres!$A$1:$I$89,5,0)</f>
        <v>1.1439169611549005E-13</v>
      </c>
      <c r="GB164" s="14">
        <f t="shared" si="185"/>
        <v>1.6918016515029816E-12</v>
      </c>
      <c r="GC164" s="22">
        <f t="shared" si="186"/>
        <v>3.1457867471021712E-12</v>
      </c>
      <c r="GD164" s="60">
        <f t="shared" si="134"/>
        <v>287.85577846762283</v>
      </c>
      <c r="GE164" s="60">
        <f ca="1">AVERAGE(OFFSET($GD$3,0,0,'Données projet'!$E$17+1,1))-AVERAGE(OFFSET($H$3,0,0,'Données projet'!$E$17+1,1))</f>
        <v>344.62096650402731</v>
      </c>
      <c r="GF164" s="60">
        <f t="shared" si="158"/>
        <v>277.30931495079346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-6.8212102632969618E-13</v>
      </c>
      <c r="O165" s="14">
        <f>N165*VLOOKUP('Données projet'!$B$9,Paramètres!$A$1:$I$89,3,0)*VLOOKUP('Données projet'!$B$9,Paramètres!$A$1:$I$89,5,0)</f>
        <v>-5.8525984059087939E-13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632.26350546340541</v>
      </c>
      <c r="T165" s="60">
        <f t="shared" si="142"/>
        <v>340.45335016367915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2.7134774427395314E-13</v>
      </c>
      <c r="AK165" s="14">
        <f t="shared" si="164"/>
        <v>3.6292411711343559E-12</v>
      </c>
      <c r="AL165" s="22">
        <f t="shared" si="165"/>
        <v>6.7935256943361388E-12</v>
      </c>
      <c r="AM165" s="60">
        <f t="shared" si="113"/>
        <v>287.95080179856853</v>
      </c>
      <c r="AN165" s="60">
        <f ca="1">AVERAGE(OFFSET($AM$3,0,0,'Données projet'!$E$10+1,1))-AVERAGE(OFFSET($H$3,0,0,'Données projet'!$E$10+1,1))</f>
        <v>336.25341821407534</v>
      </c>
      <c r="AO165" s="60">
        <f t="shared" si="144"/>
        <v>360.3246221345039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2.7134774427395314E-13</v>
      </c>
      <c r="BF165" s="14">
        <f t="shared" si="167"/>
        <v>3.6292411711343559E-12</v>
      </c>
      <c r="BG165" s="22">
        <f t="shared" si="168"/>
        <v>6.7935256943361388E-12</v>
      </c>
      <c r="BH165" s="60">
        <f t="shared" si="116"/>
        <v>287.95080179856853</v>
      </c>
      <c r="BI165" s="60">
        <f ca="1">AVERAGE(OFFSET($BH$3,0,0,'Données projet'!$E$11+1,1))-AVERAGE(OFFSET($H$3,0,0,'Données projet'!$E$11+1,1))</f>
        <v>336.25341821407534</v>
      </c>
      <c r="BJ165" s="60">
        <f t="shared" si="146"/>
        <v>360.3246221345039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-8.7434273154940449E-13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469.67944008675863</v>
      </c>
      <c r="CE165" s="60">
        <f t="shared" si="148"/>
        <v>266.11908070867173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8.8675733422860506E-14</v>
      </c>
      <c r="CV165" s="14">
        <f t="shared" si="173"/>
        <v>1.3509285393066301E-12</v>
      </c>
      <c r="CW165" s="22">
        <f t="shared" si="174"/>
        <v>2.5073107750038623E-12</v>
      </c>
      <c r="CX165" s="60">
        <f t="shared" si="122"/>
        <v>287.95080179856421</v>
      </c>
      <c r="CY165" s="60">
        <f ca="1">AVERAGE(OFFSET($CX$3,0,0,'Données projet'!$E$13+1,1))-AVERAGE(OFFSET($H$3,0,0,'Données projet'!$E$13+1,1))</f>
        <v>312.59632808777332</v>
      </c>
      <c r="CZ165" s="60">
        <f t="shared" si="150"/>
        <v>302.59481222418219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1.0818439477588981E-13</v>
      </c>
      <c r="DQ165" s="14">
        <f t="shared" si="176"/>
        <v>1.6104228458716316E-12</v>
      </c>
      <c r="DR165" s="22">
        <f t="shared" si="177"/>
        <v>2.9932409441277661E-12</v>
      </c>
      <c r="DS165" s="60">
        <f t="shared" si="125"/>
        <v>287.95080179856473</v>
      </c>
      <c r="DT165" s="60">
        <f ca="1">AVERAGE(OFFSET($DS$3,0,0,'Données projet'!$E$14+1,1))-AVERAGE(OFFSET($H$3,0,0,'Données projet'!$E$14+1,1))</f>
        <v>398.29746143975166</v>
      </c>
      <c r="DU165" s="60">
        <f t="shared" si="152"/>
        <v>300.63705521148802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-9.6633812063373625E-13</v>
      </c>
      <c r="EK165" s="18">
        <f>EJ165*VLOOKUP('Données projet'!$B$15,Paramètres!$A$1:$I$89,3,0)*VLOOKUP('Données projet'!$B$15,Paramètres!$A$1:$I$89,5,0)</f>
        <v>-9.3464223027694966E-13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496.33873798282525</v>
      </c>
      <c r="EP165" s="60">
        <f t="shared" si="154"/>
        <v>280.25465074992246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3.4106051316484809E-13</v>
      </c>
      <c r="FF165" s="18">
        <f>FE165*VLOOKUP('Données projet'!$B$16,Paramètres!$A$1:$I$89,3,0)*VLOOKUP('Données projet'!$B$16,Paramètres!$A$1:$I$89,5,0)</f>
        <v>2.9795046430081134E-13</v>
      </c>
      <c r="FG165" s="14">
        <f t="shared" si="182"/>
        <v>3.9419014464513778E-12</v>
      </c>
      <c r="FH165" s="22">
        <f t="shared" si="183"/>
        <v>7.384408744560063E-12</v>
      </c>
      <c r="FI165" s="60">
        <f t="shared" si="131"/>
        <v>287.9508017985691</v>
      </c>
      <c r="FJ165" s="60">
        <f ca="1">AVERAGE(OFFSET($FI$3,0,0,'Données projet'!$E$16+1,1))-AVERAGE(OFFSET($H$3,0,0,'Données projet'!$E$16+1,1))</f>
        <v>363.28611056308665</v>
      </c>
      <c r="FK165" s="60">
        <f t="shared" si="156"/>
        <v>389.43647559455974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1.7053025658242404E-13</v>
      </c>
      <c r="GA165" s="18">
        <f>FZ165*VLOOKUP('Données projet'!$B$17,Paramètres!$A$1:$I$89,3,0)*VLOOKUP('Données projet'!$B$17,Paramètres!$A$1:$I$89,5,0)</f>
        <v>1.1439169611549005E-13</v>
      </c>
      <c r="GB165" s="14">
        <f t="shared" si="185"/>
        <v>1.6918016515029816E-12</v>
      </c>
      <c r="GC165" s="22">
        <f t="shared" si="186"/>
        <v>3.1457867471021712E-12</v>
      </c>
      <c r="GD165" s="60">
        <f t="shared" si="134"/>
        <v>287.95080179856484</v>
      </c>
      <c r="GE165" s="60">
        <f ca="1">AVERAGE(OFFSET($GD$3,0,0,'Données projet'!$E$17+1,1))-AVERAGE(OFFSET($H$3,0,0,'Données projet'!$E$17+1,1))</f>
        <v>344.62096650402731</v>
      </c>
      <c r="GF165" s="60">
        <f t="shared" si="158"/>
        <v>277.30931495079346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-6.8212102632969618E-13</v>
      </c>
      <c r="O166" s="14">
        <f>N166*VLOOKUP('Données projet'!$B$9,Paramètres!$A$1:$I$89,3,0)*VLOOKUP('Données projet'!$B$9,Paramètres!$A$1:$I$89,5,0)</f>
        <v>-5.8525984059087939E-13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632.26350546340541</v>
      </c>
      <c r="T166" s="60">
        <f t="shared" si="142"/>
        <v>340.45335016367915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2.7134774427395314E-13</v>
      </c>
      <c r="AK166" s="14">
        <f t="shared" si="164"/>
        <v>3.6292411711343559E-12</v>
      </c>
      <c r="AL166" s="22">
        <f t="shared" si="165"/>
        <v>6.7935256943361388E-12</v>
      </c>
      <c r="AM166" s="60">
        <f t="shared" si="113"/>
        <v>288.04417668715905</v>
      </c>
      <c r="AN166" s="60">
        <f ca="1">AVERAGE(OFFSET($AM$3,0,0,'Données projet'!$E$10+1,1))-AVERAGE(OFFSET($H$3,0,0,'Données projet'!$E$10+1,1))</f>
        <v>336.25341821407534</v>
      </c>
      <c r="AO166" s="60">
        <f t="shared" si="144"/>
        <v>360.3246221345039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2.7134774427395314E-13</v>
      </c>
      <c r="BF166" s="14">
        <f t="shared" si="167"/>
        <v>3.6292411711343559E-12</v>
      </c>
      <c r="BG166" s="22">
        <f t="shared" si="168"/>
        <v>6.7935256943361388E-12</v>
      </c>
      <c r="BH166" s="60">
        <f t="shared" si="116"/>
        <v>288.04417668715905</v>
      </c>
      <c r="BI166" s="60">
        <f ca="1">AVERAGE(OFFSET($BH$3,0,0,'Données projet'!$E$11+1,1))-AVERAGE(OFFSET($H$3,0,0,'Données projet'!$E$11+1,1))</f>
        <v>336.25341821407534</v>
      </c>
      <c r="BJ166" s="60">
        <f t="shared" si="146"/>
        <v>360.3246221345039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-8.7434273154940449E-13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469.67944008675863</v>
      </c>
      <c r="CE166" s="60">
        <f t="shared" si="148"/>
        <v>266.11908070867173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8.8675733422860506E-14</v>
      </c>
      <c r="CV166" s="14">
        <f t="shared" si="173"/>
        <v>1.3509285393066301E-12</v>
      </c>
      <c r="CW166" s="22">
        <f t="shared" si="174"/>
        <v>2.5073107750038623E-12</v>
      </c>
      <c r="CX166" s="60">
        <f t="shared" si="122"/>
        <v>288.04417668715473</v>
      </c>
      <c r="CY166" s="60">
        <f ca="1">AVERAGE(OFFSET($CX$3,0,0,'Données projet'!$E$13+1,1))-AVERAGE(OFFSET($H$3,0,0,'Données projet'!$E$13+1,1))</f>
        <v>312.59632808777332</v>
      </c>
      <c r="CZ166" s="60">
        <f t="shared" si="150"/>
        <v>302.59481222418219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1.0818439477588981E-13</v>
      </c>
      <c r="DQ166" s="14">
        <f t="shared" si="176"/>
        <v>1.6104228458716316E-12</v>
      </c>
      <c r="DR166" s="22">
        <f t="shared" si="177"/>
        <v>2.9932409441277661E-12</v>
      </c>
      <c r="DS166" s="60">
        <f t="shared" si="125"/>
        <v>288.04417668715524</v>
      </c>
      <c r="DT166" s="60">
        <f ca="1">AVERAGE(OFFSET($DS$3,0,0,'Données projet'!$E$14+1,1))-AVERAGE(OFFSET($H$3,0,0,'Données projet'!$E$14+1,1))</f>
        <v>398.29746143975166</v>
      </c>
      <c r="DU166" s="60">
        <f t="shared" si="152"/>
        <v>300.63705521148802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-9.6633812063373625E-13</v>
      </c>
      <c r="EK166" s="18">
        <f>EJ166*VLOOKUP('Données projet'!$B$15,Paramètres!$A$1:$I$89,3,0)*VLOOKUP('Données projet'!$B$15,Paramètres!$A$1:$I$89,5,0)</f>
        <v>-9.3464223027694966E-13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496.33873798282525</v>
      </c>
      <c r="EP166" s="60">
        <f t="shared" si="154"/>
        <v>280.25465074992246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3.4106051316484809E-13</v>
      </c>
      <c r="FF166" s="18">
        <f>FE166*VLOOKUP('Données projet'!$B$16,Paramètres!$A$1:$I$89,3,0)*VLOOKUP('Données projet'!$B$16,Paramètres!$A$1:$I$89,5,0)</f>
        <v>2.9795046430081134E-13</v>
      </c>
      <c r="FG166" s="14">
        <f t="shared" si="182"/>
        <v>3.9419014464513778E-12</v>
      </c>
      <c r="FH166" s="22">
        <f t="shared" si="183"/>
        <v>7.384408744560063E-12</v>
      </c>
      <c r="FI166" s="60">
        <f t="shared" si="131"/>
        <v>288.04417668715962</v>
      </c>
      <c r="FJ166" s="60">
        <f ca="1">AVERAGE(OFFSET($FI$3,0,0,'Données projet'!$E$16+1,1))-AVERAGE(OFFSET($H$3,0,0,'Données projet'!$E$16+1,1))</f>
        <v>363.28611056308665</v>
      </c>
      <c r="FK166" s="60">
        <f t="shared" si="156"/>
        <v>389.43647559455974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1.7053025658242404E-13</v>
      </c>
      <c r="GA166" s="18">
        <f>FZ166*VLOOKUP('Données projet'!$B$17,Paramètres!$A$1:$I$89,3,0)*VLOOKUP('Données projet'!$B$17,Paramètres!$A$1:$I$89,5,0)</f>
        <v>1.1439169611549005E-13</v>
      </c>
      <c r="GB166" s="14">
        <f t="shared" si="185"/>
        <v>1.6918016515029816E-12</v>
      </c>
      <c r="GC166" s="22">
        <f t="shared" si="186"/>
        <v>3.1457867471021712E-12</v>
      </c>
      <c r="GD166" s="60">
        <f t="shared" si="134"/>
        <v>288.04417668715536</v>
      </c>
      <c r="GE166" s="60">
        <f ca="1">AVERAGE(OFFSET($GD$3,0,0,'Données projet'!$E$17+1,1))-AVERAGE(OFFSET($H$3,0,0,'Données projet'!$E$17+1,1))</f>
        <v>344.62096650402731</v>
      </c>
      <c r="GF166" s="60">
        <f t="shared" si="158"/>
        <v>277.30931495079346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-6.8212102632969618E-13</v>
      </c>
      <c r="O167" s="14">
        <f>N167*VLOOKUP('Données projet'!$B$9,Paramètres!$A$1:$I$89,3,0)*VLOOKUP('Données projet'!$B$9,Paramètres!$A$1:$I$89,5,0)</f>
        <v>-5.8525984059087939E-13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632.26350546340541</v>
      </c>
      <c r="T167" s="60">
        <f t="shared" si="142"/>
        <v>340.45335016367915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2.7134774427395314E-13</v>
      </c>
      <c r="AK167" s="14">
        <f t="shared" si="164"/>
        <v>3.6292411711343559E-12</v>
      </c>
      <c r="AL167" s="22">
        <f t="shared" si="165"/>
        <v>6.7935256943361388E-12</v>
      </c>
      <c r="AM167" s="60">
        <f t="shared" si="113"/>
        <v>288.13593173018751</v>
      </c>
      <c r="AN167" s="60">
        <f ca="1">AVERAGE(OFFSET($AM$3,0,0,'Données projet'!$E$10+1,1))-AVERAGE(OFFSET($H$3,0,0,'Données projet'!$E$10+1,1))</f>
        <v>336.25341821407534</v>
      </c>
      <c r="AO167" s="60">
        <f t="shared" si="144"/>
        <v>360.3246221345039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2.7134774427395314E-13</v>
      </c>
      <c r="BF167" s="14">
        <f t="shared" si="167"/>
        <v>3.6292411711343559E-12</v>
      </c>
      <c r="BG167" s="22">
        <f t="shared" si="168"/>
        <v>6.7935256943361388E-12</v>
      </c>
      <c r="BH167" s="60">
        <f t="shared" si="116"/>
        <v>288.13593173018751</v>
      </c>
      <c r="BI167" s="60">
        <f ca="1">AVERAGE(OFFSET($BH$3,0,0,'Données projet'!$E$11+1,1))-AVERAGE(OFFSET($H$3,0,0,'Données projet'!$E$11+1,1))</f>
        <v>336.25341821407534</v>
      </c>
      <c r="BJ167" s="60">
        <f t="shared" si="146"/>
        <v>360.3246221345039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-8.7434273154940449E-13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469.67944008675863</v>
      </c>
      <c r="CE167" s="60">
        <f t="shared" si="148"/>
        <v>266.11908070867173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8.8675733422860506E-14</v>
      </c>
      <c r="CV167" s="14">
        <f t="shared" si="173"/>
        <v>1.3509285393066301E-12</v>
      </c>
      <c r="CW167" s="22">
        <f t="shared" si="174"/>
        <v>2.5073107750038623E-12</v>
      </c>
      <c r="CX167" s="60">
        <f t="shared" si="122"/>
        <v>288.13593173018319</v>
      </c>
      <c r="CY167" s="60">
        <f ca="1">AVERAGE(OFFSET($CX$3,0,0,'Données projet'!$E$13+1,1))-AVERAGE(OFFSET($H$3,0,0,'Données projet'!$E$13+1,1))</f>
        <v>312.59632808777332</v>
      </c>
      <c r="CZ167" s="60">
        <f t="shared" si="150"/>
        <v>302.59481222418219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1.0818439477588981E-13</v>
      </c>
      <c r="DQ167" s="14">
        <f t="shared" si="176"/>
        <v>1.6104228458716316E-12</v>
      </c>
      <c r="DR167" s="22">
        <f t="shared" si="177"/>
        <v>2.9932409441277661E-12</v>
      </c>
      <c r="DS167" s="60">
        <f t="shared" si="125"/>
        <v>288.1359317301837</v>
      </c>
      <c r="DT167" s="60">
        <f ca="1">AVERAGE(OFFSET($DS$3,0,0,'Données projet'!$E$14+1,1))-AVERAGE(OFFSET($H$3,0,0,'Données projet'!$E$14+1,1))</f>
        <v>398.29746143975166</v>
      </c>
      <c r="DU167" s="60">
        <f t="shared" si="152"/>
        <v>300.63705521148802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-9.6633812063373625E-13</v>
      </c>
      <c r="EK167" s="18">
        <f>EJ167*VLOOKUP('Données projet'!$B$15,Paramètres!$A$1:$I$89,3,0)*VLOOKUP('Données projet'!$B$15,Paramètres!$A$1:$I$89,5,0)</f>
        <v>-9.3464223027694966E-13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496.33873798282525</v>
      </c>
      <c r="EP167" s="60">
        <f t="shared" si="154"/>
        <v>280.25465074992246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3.4106051316484809E-13</v>
      </c>
      <c r="FF167" s="18">
        <f>FE167*VLOOKUP('Données projet'!$B$16,Paramètres!$A$1:$I$89,3,0)*VLOOKUP('Données projet'!$B$16,Paramètres!$A$1:$I$89,5,0)</f>
        <v>2.9795046430081134E-13</v>
      </c>
      <c r="FG167" s="14">
        <f t="shared" si="182"/>
        <v>3.9419014464513778E-12</v>
      </c>
      <c r="FH167" s="22">
        <f t="shared" si="183"/>
        <v>7.384408744560063E-12</v>
      </c>
      <c r="FI167" s="60">
        <f t="shared" si="131"/>
        <v>288.13593173018808</v>
      </c>
      <c r="FJ167" s="60">
        <f ca="1">AVERAGE(OFFSET($FI$3,0,0,'Données projet'!$E$16+1,1))-AVERAGE(OFFSET($H$3,0,0,'Données projet'!$E$16+1,1))</f>
        <v>363.28611056308665</v>
      </c>
      <c r="FK167" s="60">
        <f t="shared" si="156"/>
        <v>389.43647559455974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1.7053025658242404E-13</v>
      </c>
      <c r="GA167" s="18">
        <f>FZ167*VLOOKUP('Données projet'!$B$17,Paramètres!$A$1:$I$89,3,0)*VLOOKUP('Données projet'!$B$17,Paramètres!$A$1:$I$89,5,0)</f>
        <v>1.1439169611549005E-13</v>
      </c>
      <c r="GB167" s="14">
        <f t="shared" si="185"/>
        <v>1.6918016515029816E-12</v>
      </c>
      <c r="GC167" s="22">
        <f t="shared" si="186"/>
        <v>3.1457867471021712E-12</v>
      </c>
      <c r="GD167" s="60">
        <f t="shared" si="134"/>
        <v>288.13593173018381</v>
      </c>
      <c r="GE167" s="60">
        <f ca="1">AVERAGE(OFFSET($GD$3,0,0,'Données projet'!$E$17+1,1))-AVERAGE(OFFSET($H$3,0,0,'Données projet'!$E$17+1,1))</f>
        <v>344.62096650402731</v>
      </c>
      <c r="GF167" s="60">
        <f t="shared" si="158"/>
        <v>277.30931495079346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-6.8212102632969618E-13</v>
      </c>
      <c r="O168" s="14">
        <f>N168*VLOOKUP('Données projet'!$B$9,Paramètres!$A$1:$I$89,3,0)*VLOOKUP('Données projet'!$B$9,Paramètres!$A$1:$I$89,5,0)</f>
        <v>-5.8525984059087939E-13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632.26350546340541</v>
      </c>
      <c r="T168" s="60">
        <f t="shared" si="142"/>
        <v>340.45335016367915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2.7134774427395314E-13</v>
      </c>
      <c r="AK168" s="14">
        <f t="shared" si="164"/>
        <v>3.6292411711343559E-12</v>
      </c>
      <c r="AL168" s="22">
        <f t="shared" si="165"/>
        <v>6.7935256943361388E-12</v>
      </c>
      <c r="AM168" s="60">
        <f t="shared" si="113"/>
        <v>288.22609502835297</v>
      </c>
      <c r="AN168" s="60">
        <f ca="1">AVERAGE(OFFSET($AM$3,0,0,'Données projet'!$E$10+1,1))-AVERAGE(OFFSET($H$3,0,0,'Données projet'!$E$10+1,1))</f>
        <v>336.25341821407534</v>
      </c>
      <c r="AO168" s="60">
        <f t="shared" si="144"/>
        <v>360.3246221345039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2.7134774427395314E-13</v>
      </c>
      <c r="BF168" s="14">
        <f t="shared" si="167"/>
        <v>3.6292411711343559E-12</v>
      </c>
      <c r="BG168" s="22">
        <f t="shared" si="168"/>
        <v>6.7935256943361388E-12</v>
      </c>
      <c r="BH168" s="60">
        <f t="shared" si="116"/>
        <v>288.22609502835297</v>
      </c>
      <c r="BI168" s="60">
        <f ca="1">AVERAGE(OFFSET($BH$3,0,0,'Données projet'!$E$11+1,1))-AVERAGE(OFFSET($H$3,0,0,'Données projet'!$E$11+1,1))</f>
        <v>336.25341821407534</v>
      </c>
      <c r="BJ168" s="60">
        <f t="shared" si="146"/>
        <v>360.3246221345039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-8.7434273154940449E-13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469.67944008675863</v>
      </c>
      <c r="CE168" s="60">
        <f t="shared" si="148"/>
        <v>266.11908070867173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8.8675733422860506E-14</v>
      </c>
      <c r="CV168" s="14">
        <f t="shared" si="173"/>
        <v>1.3509285393066301E-12</v>
      </c>
      <c r="CW168" s="22">
        <f t="shared" si="174"/>
        <v>2.5073107750038623E-12</v>
      </c>
      <c r="CX168" s="60">
        <f t="shared" si="122"/>
        <v>288.22609502834865</v>
      </c>
      <c r="CY168" s="60">
        <f ca="1">AVERAGE(OFFSET($CX$3,0,0,'Données projet'!$E$13+1,1))-AVERAGE(OFFSET($H$3,0,0,'Données projet'!$E$13+1,1))</f>
        <v>312.59632808777332</v>
      </c>
      <c r="CZ168" s="60">
        <f t="shared" si="150"/>
        <v>302.59481222418219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1.0818439477588981E-13</v>
      </c>
      <c r="DQ168" s="14">
        <f t="shared" si="176"/>
        <v>1.6104228458716316E-12</v>
      </c>
      <c r="DR168" s="22">
        <f t="shared" si="177"/>
        <v>2.9932409441277661E-12</v>
      </c>
      <c r="DS168" s="60">
        <f t="shared" si="125"/>
        <v>288.22609502834916</v>
      </c>
      <c r="DT168" s="60">
        <f ca="1">AVERAGE(OFFSET($DS$3,0,0,'Données projet'!$E$14+1,1))-AVERAGE(OFFSET($H$3,0,0,'Données projet'!$E$14+1,1))</f>
        <v>398.29746143975166</v>
      </c>
      <c r="DU168" s="60">
        <f t="shared" si="152"/>
        <v>300.63705521148802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-9.6633812063373625E-13</v>
      </c>
      <c r="EK168" s="18">
        <f>EJ168*VLOOKUP('Données projet'!$B$15,Paramètres!$A$1:$I$89,3,0)*VLOOKUP('Données projet'!$B$15,Paramètres!$A$1:$I$89,5,0)</f>
        <v>-9.3464223027694966E-13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496.33873798282525</v>
      </c>
      <c r="EP168" s="60">
        <f t="shared" si="154"/>
        <v>280.25465074992246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3.4106051316484809E-13</v>
      </c>
      <c r="FF168" s="18">
        <f>FE168*VLOOKUP('Données projet'!$B$16,Paramètres!$A$1:$I$89,3,0)*VLOOKUP('Données projet'!$B$16,Paramètres!$A$1:$I$89,5,0)</f>
        <v>2.9795046430081134E-13</v>
      </c>
      <c r="FG168" s="14">
        <f t="shared" si="182"/>
        <v>3.9419014464513778E-12</v>
      </c>
      <c r="FH168" s="22">
        <f t="shared" si="183"/>
        <v>7.384408744560063E-12</v>
      </c>
      <c r="FI168" s="60">
        <f t="shared" si="131"/>
        <v>288.22609502835354</v>
      </c>
      <c r="FJ168" s="60">
        <f ca="1">AVERAGE(OFFSET($FI$3,0,0,'Données projet'!$E$16+1,1))-AVERAGE(OFFSET($H$3,0,0,'Données projet'!$E$16+1,1))</f>
        <v>363.28611056308665</v>
      </c>
      <c r="FK168" s="60">
        <f t="shared" si="156"/>
        <v>389.43647559455974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1.7053025658242404E-13</v>
      </c>
      <c r="GA168" s="18">
        <f>FZ168*VLOOKUP('Données projet'!$B$17,Paramètres!$A$1:$I$89,3,0)*VLOOKUP('Données projet'!$B$17,Paramètres!$A$1:$I$89,5,0)</f>
        <v>1.1439169611549005E-13</v>
      </c>
      <c r="GB168" s="14">
        <f t="shared" si="185"/>
        <v>1.6918016515029816E-12</v>
      </c>
      <c r="GC168" s="22">
        <f t="shared" si="186"/>
        <v>3.1457867471021712E-12</v>
      </c>
      <c r="GD168" s="60">
        <f t="shared" si="134"/>
        <v>288.22609502834928</v>
      </c>
      <c r="GE168" s="60">
        <f ca="1">AVERAGE(OFFSET($GD$3,0,0,'Données projet'!$E$17+1,1))-AVERAGE(OFFSET($H$3,0,0,'Données projet'!$E$17+1,1))</f>
        <v>344.62096650402731</v>
      </c>
      <c r="GF168" s="60">
        <f t="shared" si="158"/>
        <v>277.30931495079346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-6.8212102632969618E-13</v>
      </c>
      <c r="O169" s="14">
        <f>N169*VLOOKUP('Données projet'!$B$9,Paramètres!$A$1:$I$89,3,0)*VLOOKUP('Données projet'!$B$9,Paramètres!$A$1:$I$89,5,0)</f>
        <v>-5.8525984059087939E-13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632.26350546340541</v>
      </c>
      <c r="T169" s="60">
        <f t="shared" si="142"/>
        <v>340.45335016367915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2.7134774427395314E-13</v>
      </c>
      <c r="AK169" s="14">
        <f t="shared" si="164"/>
        <v>3.6292411711343559E-12</v>
      </c>
      <c r="AL169" s="22">
        <f t="shared" si="165"/>
        <v>6.7935256943361388E-12</v>
      </c>
      <c r="AM169" s="60">
        <f t="shared" si="113"/>
        <v>288.31469419487024</v>
      </c>
      <c r="AN169" s="60">
        <f ca="1">AVERAGE(OFFSET($AM$3,0,0,'Données projet'!$E$10+1,1))-AVERAGE(OFFSET($H$3,0,0,'Données projet'!$E$10+1,1))</f>
        <v>336.25341821407534</v>
      </c>
      <c r="AO169" s="60">
        <f t="shared" si="144"/>
        <v>360.3246221345039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2.7134774427395314E-13</v>
      </c>
      <c r="BF169" s="14">
        <f t="shared" si="167"/>
        <v>3.6292411711343559E-12</v>
      </c>
      <c r="BG169" s="22">
        <f t="shared" si="168"/>
        <v>6.7935256943361388E-12</v>
      </c>
      <c r="BH169" s="60">
        <f t="shared" si="116"/>
        <v>288.31469419487024</v>
      </c>
      <c r="BI169" s="60">
        <f ca="1">AVERAGE(OFFSET($BH$3,0,0,'Données projet'!$E$11+1,1))-AVERAGE(OFFSET($H$3,0,0,'Données projet'!$E$11+1,1))</f>
        <v>336.25341821407534</v>
      </c>
      <c r="BJ169" s="60">
        <f t="shared" si="146"/>
        <v>360.3246221345039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-8.7434273154940449E-13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469.67944008675863</v>
      </c>
      <c r="CE169" s="60">
        <f t="shared" si="148"/>
        <v>266.11908070867173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8.8675733422860506E-14</v>
      </c>
      <c r="CV169" s="14">
        <f t="shared" si="173"/>
        <v>1.3509285393066301E-12</v>
      </c>
      <c r="CW169" s="22">
        <f t="shared" si="174"/>
        <v>2.5073107750038623E-12</v>
      </c>
      <c r="CX169" s="60">
        <f t="shared" si="122"/>
        <v>288.31469419486592</v>
      </c>
      <c r="CY169" s="60">
        <f ca="1">AVERAGE(OFFSET($CX$3,0,0,'Données projet'!$E$13+1,1))-AVERAGE(OFFSET($H$3,0,0,'Données projet'!$E$13+1,1))</f>
        <v>312.59632808777332</v>
      </c>
      <c r="CZ169" s="60">
        <f t="shared" si="150"/>
        <v>302.59481222418219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1.0818439477588981E-13</v>
      </c>
      <c r="DQ169" s="14">
        <f t="shared" si="176"/>
        <v>1.6104228458716316E-12</v>
      </c>
      <c r="DR169" s="22">
        <f t="shared" si="177"/>
        <v>2.9932409441277661E-12</v>
      </c>
      <c r="DS169" s="60">
        <f t="shared" si="125"/>
        <v>288.31469419486643</v>
      </c>
      <c r="DT169" s="60">
        <f ca="1">AVERAGE(OFFSET($DS$3,0,0,'Données projet'!$E$14+1,1))-AVERAGE(OFFSET($H$3,0,0,'Données projet'!$E$14+1,1))</f>
        <v>398.29746143975166</v>
      </c>
      <c r="DU169" s="60">
        <f t="shared" si="152"/>
        <v>300.63705521148802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-9.6633812063373625E-13</v>
      </c>
      <c r="EK169" s="18">
        <f>EJ169*VLOOKUP('Données projet'!$B$15,Paramètres!$A$1:$I$89,3,0)*VLOOKUP('Données projet'!$B$15,Paramètres!$A$1:$I$89,5,0)</f>
        <v>-9.3464223027694966E-13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496.33873798282525</v>
      </c>
      <c r="EP169" s="60">
        <f t="shared" si="154"/>
        <v>280.25465074992246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3.4106051316484809E-13</v>
      </c>
      <c r="FF169" s="18">
        <f>FE169*VLOOKUP('Données projet'!$B$16,Paramètres!$A$1:$I$89,3,0)*VLOOKUP('Données projet'!$B$16,Paramètres!$A$1:$I$89,5,0)</f>
        <v>2.9795046430081134E-13</v>
      </c>
      <c r="FG169" s="14">
        <f t="shared" si="182"/>
        <v>3.9419014464513778E-12</v>
      </c>
      <c r="FH169" s="22">
        <f t="shared" si="183"/>
        <v>7.384408744560063E-12</v>
      </c>
      <c r="FI169" s="60">
        <f t="shared" si="131"/>
        <v>288.31469419487081</v>
      </c>
      <c r="FJ169" s="60">
        <f ca="1">AVERAGE(OFFSET($FI$3,0,0,'Données projet'!$E$16+1,1))-AVERAGE(OFFSET($H$3,0,0,'Données projet'!$E$16+1,1))</f>
        <v>363.28611056308665</v>
      </c>
      <c r="FK169" s="60">
        <f t="shared" si="156"/>
        <v>389.43647559455974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1.7053025658242404E-13</v>
      </c>
      <c r="GA169" s="18">
        <f>FZ169*VLOOKUP('Données projet'!$B$17,Paramètres!$A$1:$I$89,3,0)*VLOOKUP('Données projet'!$B$17,Paramètres!$A$1:$I$89,5,0)</f>
        <v>1.1439169611549005E-13</v>
      </c>
      <c r="GB169" s="14">
        <f t="shared" si="185"/>
        <v>1.6918016515029816E-12</v>
      </c>
      <c r="GC169" s="22">
        <f t="shared" si="186"/>
        <v>3.1457867471021712E-12</v>
      </c>
      <c r="GD169" s="60">
        <f t="shared" si="134"/>
        <v>288.31469419486655</v>
      </c>
      <c r="GE169" s="60">
        <f ca="1">AVERAGE(OFFSET($GD$3,0,0,'Données projet'!$E$17+1,1))-AVERAGE(OFFSET($H$3,0,0,'Données projet'!$E$17+1,1))</f>
        <v>344.62096650402731</v>
      </c>
      <c r="GF169" s="60">
        <f t="shared" si="158"/>
        <v>277.30931495079346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-6.8212102632969618E-13</v>
      </c>
      <c r="O170" s="14">
        <f>N170*VLOOKUP('Données projet'!$B$9,Paramètres!$A$1:$I$89,3,0)*VLOOKUP('Données projet'!$B$9,Paramètres!$A$1:$I$89,5,0)</f>
        <v>-5.8525984059087939E-13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632.26350546340541</v>
      </c>
      <c r="T170" s="60">
        <f t="shared" si="142"/>
        <v>340.45335016367915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2.7134774427395314E-13</v>
      </c>
      <c r="AK170" s="14">
        <f t="shared" si="164"/>
        <v>3.6292411711343559E-12</v>
      </c>
      <c r="AL170" s="22">
        <f t="shared" si="165"/>
        <v>6.7935256943361388E-12</v>
      </c>
      <c r="AM170" s="60">
        <f t="shared" si="113"/>
        <v>288.40175636392644</v>
      </c>
      <c r="AN170" s="60">
        <f ca="1">AVERAGE(OFFSET($AM$3,0,0,'Données projet'!$E$10+1,1))-AVERAGE(OFFSET($H$3,0,0,'Données projet'!$E$10+1,1))</f>
        <v>336.25341821407534</v>
      </c>
      <c r="AO170" s="60">
        <f t="shared" si="144"/>
        <v>360.3246221345039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2.7134774427395314E-13</v>
      </c>
      <c r="BF170" s="14">
        <f t="shared" si="167"/>
        <v>3.6292411711343559E-12</v>
      </c>
      <c r="BG170" s="22">
        <f t="shared" si="168"/>
        <v>6.7935256943361388E-12</v>
      </c>
      <c r="BH170" s="60">
        <f t="shared" si="116"/>
        <v>288.40175636392644</v>
      </c>
      <c r="BI170" s="60">
        <f ca="1">AVERAGE(OFFSET($BH$3,0,0,'Données projet'!$E$11+1,1))-AVERAGE(OFFSET($H$3,0,0,'Données projet'!$E$11+1,1))</f>
        <v>336.25341821407534</v>
      </c>
      <c r="BJ170" s="60">
        <f t="shared" si="146"/>
        <v>360.3246221345039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-8.7434273154940449E-13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469.67944008675863</v>
      </c>
      <c r="CE170" s="60">
        <f t="shared" si="148"/>
        <v>266.11908070867173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8.8675733422860506E-14</v>
      </c>
      <c r="CV170" s="14">
        <f t="shared" si="173"/>
        <v>1.3509285393066301E-12</v>
      </c>
      <c r="CW170" s="22">
        <f t="shared" si="174"/>
        <v>2.5073107750038623E-12</v>
      </c>
      <c r="CX170" s="60">
        <f t="shared" si="122"/>
        <v>288.40175636392212</v>
      </c>
      <c r="CY170" s="60">
        <f ca="1">AVERAGE(OFFSET($CX$3,0,0,'Données projet'!$E$13+1,1))-AVERAGE(OFFSET($H$3,0,0,'Données projet'!$E$13+1,1))</f>
        <v>312.59632808777332</v>
      </c>
      <c r="CZ170" s="60">
        <f t="shared" si="150"/>
        <v>302.59481222418219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1.0818439477588981E-13</v>
      </c>
      <c r="DQ170" s="14">
        <f t="shared" si="176"/>
        <v>1.6104228458716316E-12</v>
      </c>
      <c r="DR170" s="22">
        <f t="shared" si="177"/>
        <v>2.9932409441277661E-12</v>
      </c>
      <c r="DS170" s="60">
        <f t="shared" si="125"/>
        <v>288.40175636392263</v>
      </c>
      <c r="DT170" s="60">
        <f ca="1">AVERAGE(OFFSET($DS$3,0,0,'Données projet'!$E$14+1,1))-AVERAGE(OFFSET($H$3,0,0,'Données projet'!$E$14+1,1))</f>
        <v>398.29746143975166</v>
      </c>
      <c r="DU170" s="60">
        <f t="shared" si="152"/>
        <v>300.63705521148802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-9.6633812063373625E-13</v>
      </c>
      <c r="EK170" s="18">
        <f>EJ170*VLOOKUP('Données projet'!$B$15,Paramètres!$A$1:$I$89,3,0)*VLOOKUP('Données projet'!$B$15,Paramètres!$A$1:$I$89,5,0)</f>
        <v>-9.3464223027694966E-13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496.33873798282525</v>
      </c>
      <c r="EP170" s="60">
        <f t="shared" si="154"/>
        <v>280.25465074992246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3.4106051316484809E-13</v>
      </c>
      <c r="FF170" s="18">
        <f>FE170*VLOOKUP('Données projet'!$B$16,Paramètres!$A$1:$I$89,3,0)*VLOOKUP('Données projet'!$B$16,Paramètres!$A$1:$I$89,5,0)</f>
        <v>2.9795046430081134E-13</v>
      </c>
      <c r="FG170" s="14">
        <f t="shared" si="182"/>
        <v>3.9419014464513778E-12</v>
      </c>
      <c r="FH170" s="22">
        <f t="shared" si="183"/>
        <v>7.384408744560063E-12</v>
      </c>
      <c r="FI170" s="60">
        <f t="shared" si="131"/>
        <v>288.40175636392701</v>
      </c>
      <c r="FJ170" s="60">
        <f ca="1">AVERAGE(OFFSET($FI$3,0,0,'Données projet'!$E$16+1,1))-AVERAGE(OFFSET($H$3,0,0,'Données projet'!$E$16+1,1))</f>
        <v>363.28611056308665</v>
      </c>
      <c r="FK170" s="60">
        <f t="shared" si="156"/>
        <v>389.43647559455974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1.7053025658242404E-13</v>
      </c>
      <c r="GA170" s="18">
        <f>FZ170*VLOOKUP('Données projet'!$B$17,Paramètres!$A$1:$I$89,3,0)*VLOOKUP('Données projet'!$B$17,Paramètres!$A$1:$I$89,5,0)</f>
        <v>1.1439169611549005E-13</v>
      </c>
      <c r="GB170" s="14">
        <f t="shared" si="185"/>
        <v>1.6918016515029816E-12</v>
      </c>
      <c r="GC170" s="22">
        <f t="shared" si="186"/>
        <v>3.1457867471021712E-12</v>
      </c>
      <c r="GD170" s="60">
        <f t="shared" si="134"/>
        <v>288.40175636392274</v>
      </c>
      <c r="GE170" s="60">
        <f ca="1">AVERAGE(OFFSET($GD$3,0,0,'Données projet'!$E$17+1,1))-AVERAGE(OFFSET($H$3,0,0,'Données projet'!$E$17+1,1))</f>
        <v>344.62096650402731</v>
      </c>
      <c r="GF170" s="60">
        <f t="shared" si="158"/>
        <v>277.30931495079346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-6.8212102632969618E-13</v>
      </c>
      <c r="O171" s="14">
        <f>N171*VLOOKUP('Données projet'!$B$9,Paramètres!$A$1:$I$89,3,0)*VLOOKUP('Données projet'!$B$9,Paramètres!$A$1:$I$89,5,0)</f>
        <v>-5.8525984059087939E-13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632.26350546340541</v>
      </c>
      <c r="T171" s="60">
        <f t="shared" si="142"/>
        <v>340.45335016367915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2.7134774427395314E-13</v>
      </c>
      <c r="AK171" s="14">
        <f t="shared" si="164"/>
        <v>3.6292411711343559E-12</v>
      </c>
      <c r="AL171" s="22">
        <f t="shared" si="165"/>
        <v>6.7935256943361388E-12</v>
      </c>
      <c r="AM171" s="60">
        <f t="shared" si="113"/>
        <v>288.48730819899134</v>
      </c>
      <c r="AN171" s="60">
        <f ca="1">AVERAGE(OFFSET($AM$3,0,0,'Données projet'!$E$10+1,1))-AVERAGE(OFFSET($H$3,0,0,'Données projet'!$E$10+1,1))</f>
        <v>336.25341821407534</v>
      </c>
      <c r="AO171" s="60">
        <f t="shared" si="144"/>
        <v>360.3246221345039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2.7134774427395314E-13</v>
      </c>
      <c r="BF171" s="14">
        <f t="shared" si="167"/>
        <v>3.6292411711343559E-12</v>
      </c>
      <c r="BG171" s="22">
        <f t="shared" si="168"/>
        <v>6.7935256943361388E-12</v>
      </c>
      <c r="BH171" s="60">
        <f t="shared" si="116"/>
        <v>288.48730819899134</v>
      </c>
      <c r="BI171" s="60">
        <f ca="1">AVERAGE(OFFSET($BH$3,0,0,'Données projet'!$E$11+1,1))-AVERAGE(OFFSET($H$3,0,0,'Données projet'!$E$11+1,1))</f>
        <v>336.25341821407534</v>
      </c>
      <c r="BJ171" s="60">
        <f t="shared" si="146"/>
        <v>360.3246221345039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-8.7434273154940449E-13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469.67944008675863</v>
      </c>
      <c r="CE171" s="60">
        <f t="shared" si="148"/>
        <v>266.11908070867173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8.8675733422860506E-14</v>
      </c>
      <c r="CV171" s="14">
        <f t="shared" si="173"/>
        <v>1.3509285393066301E-12</v>
      </c>
      <c r="CW171" s="22">
        <f t="shared" si="174"/>
        <v>2.5073107750038623E-12</v>
      </c>
      <c r="CX171" s="60">
        <f t="shared" si="122"/>
        <v>288.48730819898702</v>
      </c>
      <c r="CY171" s="60">
        <f ca="1">AVERAGE(OFFSET($CX$3,0,0,'Données projet'!$E$13+1,1))-AVERAGE(OFFSET($H$3,0,0,'Données projet'!$E$13+1,1))</f>
        <v>312.59632808777332</v>
      </c>
      <c r="CZ171" s="60">
        <f t="shared" si="150"/>
        <v>302.59481222418219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1.0818439477588981E-13</v>
      </c>
      <c r="DQ171" s="14">
        <f t="shared" si="176"/>
        <v>1.6104228458716316E-12</v>
      </c>
      <c r="DR171" s="22">
        <f t="shared" si="177"/>
        <v>2.9932409441277661E-12</v>
      </c>
      <c r="DS171" s="60">
        <f t="shared" si="125"/>
        <v>288.48730819898753</v>
      </c>
      <c r="DT171" s="60">
        <f ca="1">AVERAGE(OFFSET($DS$3,0,0,'Données projet'!$E$14+1,1))-AVERAGE(OFFSET($H$3,0,0,'Données projet'!$E$14+1,1))</f>
        <v>398.29746143975166</v>
      </c>
      <c r="DU171" s="60">
        <f t="shared" si="152"/>
        <v>300.63705521148802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-9.6633812063373625E-13</v>
      </c>
      <c r="EK171" s="18">
        <f>EJ171*VLOOKUP('Données projet'!$B$15,Paramètres!$A$1:$I$89,3,0)*VLOOKUP('Données projet'!$B$15,Paramètres!$A$1:$I$89,5,0)</f>
        <v>-9.3464223027694966E-13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496.33873798282525</v>
      </c>
      <c r="EP171" s="60">
        <f t="shared" si="154"/>
        <v>280.25465074992246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3.4106051316484809E-13</v>
      </c>
      <c r="FF171" s="18">
        <f>FE171*VLOOKUP('Données projet'!$B$16,Paramètres!$A$1:$I$89,3,0)*VLOOKUP('Données projet'!$B$16,Paramètres!$A$1:$I$89,5,0)</f>
        <v>2.9795046430081134E-13</v>
      </c>
      <c r="FG171" s="14">
        <f t="shared" si="182"/>
        <v>3.9419014464513778E-12</v>
      </c>
      <c r="FH171" s="22">
        <f t="shared" si="183"/>
        <v>7.384408744560063E-12</v>
      </c>
      <c r="FI171" s="60">
        <f t="shared" si="131"/>
        <v>288.48730819899191</v>
      </c>
      <c r="FJ171" s="60">
        <f ca="1">AVERAGE(OFFSET($FI$3,0,0,'Données projet'!$E$16+1,1))-AVERAGE(OFFSET($H$3,0,0,'Données projet'!$E$16+1,1))</f>
        <v>363.28611056308665</v>
      </c>
      <c r="FK171" s="60">
        <f t="shared" si="156"/>
        <v>389.43647559455974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1.7053025658242404E-13</v>
      </c>
      <c r="GA171" s="18">
        <f>FZ171*VLOOKUP('Données projet'!$B$17,Paramètres!$A$1:$I$89,3,0)*VLOOKUP('Données projet'!$B$17,Paramètres!$A$1:$I$89,5,0)</f>
        <v>1.1439169611549005E-13</v>
      </c>
      <c r="GB171" s="14">
        <f t="shared" si="185"/>
        <v>1.6918016515029816E-12</v>
      </c>
      <c r="GC171" s="22">
        <f t="shared" si="186"/>
        <v>3.1457867471021712E-12</v>
      </c>
      <c r="GD171" s="60">
        <f t="shared" si="134"/>
        <v>288.48730819898765</v>
      </c>
      <c r="GE171" s="60">
        <f ca="1">AVERAGE(OFFSET($GD$3,0,0,'Données projet'!$E$17+1,1))-AVERAGE(OFFSET($H$3,0,0,'Données projet'!$E$17+1,1))</f>
        <v>344.62096650402731</v>
      </c>
      <c r="GF171" s="60">
        <f t="shared" si="158"/>
        <v>277.30931495079346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-6.8212102632969618E-13</v>
      </c>
      <c r="O172" s="14">
        <f>N172*VLOOKUP('Données projet'!$B$9,Paramètres!$A$1:$I$89,3,0)*VLOOKUP('Données projet'!$B$9,Paramètres!$A$1:$I$89,5,0)</f>
        <v>-5.8525984059087939E-13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632.26350546340541</v>
      </c>
      <c r="T172" s="60">
        <f t="shared" si="142"/>
        <v>340.45335016367915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2.7134774427395314E-13</v>
      </c>
      <c r="AK172" s="14">
        <f t="shared" si="164"/>
        <v>3.6292411711343559E-12</v>
      </c>
      <c r="AL172" s="22">
        <f t="shared" si="165"/>
        <v>6.7935256943361388E-12</v>
      </c>
      <c r="AM172" s="60">
        <f t="shared" si="113"/>
        <v>288.57137590098324</v>
      </c>
      <c r="AN172" s="60">
        <f ca="1">AVERAGE(OFFSET($AM$3,0,0,'Données projet'!$E$10+1,1))-AVERAGE(OFFSET($H$3,0,0,'Données projet'!$E$10+1,1))</f>
        <v>336.25341821407534</v>
      </c>
      <c r="AO172" s="60">
        <f t="shared" si="144"/>
        <v>360.3246221345039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2.7134774427395314E-13</v>
      </c>
      <c r="BF172" s="14">
        <f t="shared" si="167"/>
        <v>3.6292411711343559E-12</v>
      </c>
      <c r="BG172" s="22">
        <f t="shared" si="168"/>
        <v>6.7935256943361388E-12</v>
      </c>
      <c r="BH172" s="60">
        <f t="shared" si="116"/>
        <v>288.57137590098324</v>
      </c>
      <c r="BI172" s="60">
        <f ca="1">AVERAGE(OFFSET($BH$3,0,0,'Données projet'!$E$11+1,1))-AVERAGE(OFFSET($H$3,0,0,'Données projet'!$E$11+1,1))</f>
        <v>336.25341821407534</v>
      </c>
      <c r="BJ172" s="60">
        <f t="shared" si="146"/>
        <v>360.3246221345039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-8.7434273154940449E-13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469.67944008675863</v>
      </c>
      <c r="CE172" s="60">
        <f t="shared" si="148"/>
        <v>266.11908070867173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8.8675733422860506E-14</v>
      </c>
      <c r="CV172" s="14">
        <f t="shared" si="173"/>
        <v>1.3509285393066301E-12</v>
      </c>
      <c r="CW172" s="22">
        <f t="shared" si="174"/>
        <v>2.5073107750038623E-12</v>
      </c>
      <c r="CX172" s="60">
        <f t="shared" si="122"/>
        <v>288.57137590097892</v>
      </c>
      <c r="CY172" s="60">
        <f ca="1">AVERAGE(OFFSET($CX$3,0,0,'Données projet'!$E$13+1,1))-AVERAGE(OFFSET($H$3,0,0,'Données projet'!$E$13+1,1))</f>
        <v>312.59632808777332</v>
      </c>
      <c r="CZ172" s="60">
        <f t="shared" si="150"/>
        <v>302.59481222418219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1.0818439477588981E-13</v>
      </c>
      <c r="DQ172" s="14">
        <f t="shared" si="176"/>
        <v>1.6104228458716316E-12</v>
      </c>
      <c r="DR172" s="22">
        <f t="shared" si="177"/>
        <v>2.9932409441277661E-12</v>
      </c>
      <c r="DS172" s="60">
        <f t="shared" si="125"/>
        <v>288.57137590097943</v>
      </c>
      <c r="DT172" s="60">
        <f ca="1">AVERAGE(OFFSET($DS$3,0,0,'Données projet'!$E$14+1,1))-AVERAGE(OFFSET($H$3,0,0,'Données projet'!$E$14+1,1))</f>
        <v>398.29746143975166</v>
      </c>
      <c r="DU172" s="60">
        <f t="shared" si="152"/>
        <v>300.63705521148802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-9.6633812063373625E-13</v>
      </c>
      <c r="EK172" s="18">
        <f>EJ172*VLOOKUP('Données projet'!$B$15,Paramètres!$A$1:$I$89,3,0)*VLOOKUP('Données projet'!$B$15,Paramètres!$A$1:$I$89,5,0)</f>
        <v>-9.3464223027694966E-13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496.33873798282525</v>
      </c>
      <c r="EP172" s="60">
        <f t="shared" si="154"/>
        <v>280.25465074992246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3.4106051316484809E-13</v>
      </c>
      <c r="FF172" s="18">
        <f>FE172*VLOOKUP('Données projet'!$B$16,Paramètres!$A$1:$I$89,3,0)*VLOOKUP('Données projet'!$B$16,Paramètres!$A$1:$I$89,5,0)</f>
        <v>2.9795046430081134E-13</v>
      </c>
      <c r="FG172" s="14">
        <f t="shared" si="182"/>
        <v>3.9419014464513778E-12</v>
      </c>
      <c r="FH172" s="22">
        <f t="shared" si="183"/>
        <v>7.384408744560063E-12</v>
      </c>
      <c r="FI172" s="60">
        <f t="shared" si="131"/>
        <v>288.57137590098381</v>
      </c>
      <c r="FJ172" s="60">
        <f ca="1">AVERAGE(OFFSET($FI$3,0,0,'Données projet'!$E$16+1,1))-AVERAGE(OFFSET($H$3,0,0,'Données projet'!$E$16+1,1))</f>
        <v>363.28611056308665</v>
      </c>
      <c r="FK172" s="60">
        <f t="shared" si="156"/>
        <v>389.43647559455974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1.7053025658242404E-13</v>
      </c>
      <c r="GA172" s="18">
        <f>FZ172*VLOOKUP('Données projet'!$B$17,Paramètres!$A$1:$I$89,3,0)*VLOOKUP('Données projet'!$B$17,Paramètres!$A$1:$I$89,5,0)</f>
        <v>1.1439169611549005E-13</v>
      </c>
      <c r="GB172" s="14">
        <f t="shared" si="185"/>
        <v>1.6918016515029816E-12</v>
      </c>
      <c r="GC172" s="22">
        <f t="shared" si="186"/>
        <v>3.1457867471021712E-12</v>
      </c>
      <c r="GD172" s="60">
        <f t="shared" si="134"/>
        <v>288.57137590097955</v>
      </c>
      <c r="GE172" s="60">
        <f ca="1">AVERAGE(OFFSET($GD$3,0,0,'Données projet'!$E$17+1,1))-AVERAGE(OFFSET($H$3,0,0,'Données projet'!$E$17+1,1))</f>
        <v>344.62096650402731</v>
      </c>
      <c r="GF172" s="60">
        <f t="shared" si="158"/>
        <v>277.30931495079346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-6.8212102632969618E-13</v>
      </c>
      <c r="O173" s="14">
        <f>N173*VLOOKUP('Données projet'!$B$9,Paramètres!$A$1:$I$89,3,0)*VLOOKUP('Données projet'!$B$9,Paramètres!$A$1:$I$89,5,0)</f>
        <v>-5.8525984059087939E-13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632.26350546340541</v>
      </c>
      <c r="T173" s="60">
        <f t="shared" si="142"/>
        <v>340.45335016367915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2.7134774427395314E-13</v>
      </c>
      <c r="AK173" s="14">
        <f t="shared" si="164"/>
        <v>3.6292411711343559E-12</v>
      </c>
      <c r="AL173" s="22">
        <f t="shared" si="165"/>
        <v>6.7935256943361388E-12</v>
      </c>
      <c r="AM173" s="60">
        <f t="shared" si="113"/>
        <v>288.65398521629271</v>
      </c>
      <c r="AN173" s="60">
        <f ca="1">AVERAGE(OFFSET($AM$3,0,0,'Données projet'!$E$10+1,1))-AVERAGE(OFFSET($H$3,0,0,'Données projet'!$E$10+1,1))</f>
        <v>336.25341821407534</v>
      </c>
      <c r="AO173" s="60">
        <f t="shared" si="144"/>
        <v>360.3246221345039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2.7134774427395314E-13</v>
      </c>
      <c r="BF173" s="14">
        <f t="shared" si="167"/>
        <v>3.6292411711343559E-12</v>
      </c>
      <c r="BG173" s="22">
        <f t="shared" si="168"/>
        <v>6.7935256943361388E-12</v>
      </c>
      <c r="BH173" s="60">
        <f t="shared" si="116"/>
        <v>288.65398521629271</v>
      </c>
      <c r="BI173" s="60">
        <f ca="1">AVERAGE(OFFSET($BH$3,0,0,'Données projet'!$E$11+1,1))-AVERAGE(OFFSET($H$3,0,0,'Données projet'!$E$11+1,1))</f>
        <v>336.25341821407534</v>
      </c>
      <c r="BJ173" s="60">
        <f t="shared" si="146"/>
        <v>360.3246221345039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-8.7434273154940449E-13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469.67944008675863</v>
      </c>
      <c r="CE173" s="60">
        <f t="shared" si="148"/>
        <v>266.11908070867173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8.8675733422860506E-14</v>
      </c>
      <c r="CV173" s="14">
        <f t="shared" si="173"/>
        <v>1.3509285393066301E-12</v>
      </c>
      <c r="CW173" s="22">
        <f t="shared" si="174"/>
        <v>2.5073107750038623E-12</v>
      </c>
      <c r="CX173" s="60">
        <f t="shared" si="122"/>
        <v>288.65398521628839</v>
      </c>
      <c r="CY173" s="60">
        <f ca="1">AVERAGE(OFFSET($CX$3,0,0,'Données projet'!$E$13+1,1))-AVERAGE(OFFSET($H$3,0,0,'Données projet'!$E$13+1,1))</f>
        <v>312.59632808777332</v>
      </c>
      <c r="CZ173" s="60">
        <f t="shared" si="150"/>
        <v>302.59481222418219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1.0818439477588981E-13</v>
      </c>
      <c r="DQ173" s="14">
        <f t="shared" si="176"/>
        <v>1.6104228458716316E-12</v>
      </c>
      <c r="DR173" s="22">
        <f t="shared" si="177"/>
        <v>2.9932409441277661E-12</v>
      </c>
      <c r="DS173" s="60">
        <f t="shared" si="125"/>
        <v>288.6539852162889</v>
      </c>
      <c r="DT173" s="60">
        <f ca="1">AVERAGE(OFFSET($DS$3,0,0,'Données projet'!$E$14+1,1))-AVERAGE(OFFSET($H$3,0,0,'Données projet'!$E$14+1,1))</f>
        <v>398.29746143975166</v>
      </c>
      <c r="DU173" s="60">
        <f t="shared" si="152"/>
        <v>300.63705521148802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-9.6633812063373625E-13</v>
      </c>
      <c r="EK173" s="18">
        <f>EJ173*VLOOKUP('Données projet'!$B$15,Paramètres!$A$1:$I$89,3,0)*VLOOKUP('Données projet'!$B$15,Paramètres!$A$1:$I$89,5,0)</f>
        <v>-9.3464223027694966E-13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496.33873798282525</v>
      </c>
      <c r="EP173" s="60">
        <f t="shared" si="154"/>
        <v>280.25465074992246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3.4106051316484809E-13</v>
      </c>
      <c r="FF173" s="18">
        <f>FE173*VLOOKUP('Données projet'!$B$16,Paramètres!$A$1:$I$89,3,0)*VLOOKUP('Données projet'!$B$16,Paramètres!$A$1:$I$89,5,0)</f>
        <v>2.9795046430081134E-13</v>
      </c>
      <c r="FG173" s="14">
        <f t="shared" si="182"/>
        <v>3.9419014464513778E-12</v>
      </c>
      <c r="FH173" s="22">
        <f t="shared" si="183"/>
        <v>7.384408744560063E-12</v>
      </c>
      <c r="FI173" s="60">
        <f t="shared" si="131"/>
        <v>288.65398521629328</v>
      </c>
      <c r="FJ173" s="60">
        <f ca="1">AVERAGE(OFFSET($FI$3,0,0,'Données projet'!$E$16+1,1))-AVERAGE(OFFSET($H$3,0,0,'Données projet'!$E$16+1,1))</f>
        <v>363.28611056308665</v>
      </c>
      <c r="FK173" s="60">
        <f t="shared" si="156"/>
        <v>389.43647559455974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1.7053025658242404E-13</v>
      </c>
      <c r="GA173" s="18">
        <f>FZ173*VLOOKUP('Données projet'!$B$17,Paramètres!$A$1:$I$89,3,0)*VLOOKUP('Données projet'!$B$17,Paramètres!$A$1:$I$89,5,0)</f>
        <v>1.1439169611549005E-13</v>
      </c>
      <c r="GB173" s="14">
        <f t="shared" si="185"/>
        <v>1.6918016515029816E-12</v>
      </c>
      <c r="GC173" s="22">
        <f t="shared" si="186"/>
        <v>3.1457867471021712E-12</v>
      </c>
      <c r="GD173" s="60">
        <f t="shared" si="134"/>
        <v>288.65398521628902</v>
      </c>
      <c r="GE173" s="60">
        <f ca="1">AVERAGE(OFFSET($GD$3,0,0,'Données projet'!$E$17+1,1))-AVERAGE(OFFSET($H$3,0,0,'Données projet'!$E$17+1,1))</f>
        <v>344.62096650402731</v>
      </c>
      <c r="GF173" s="60">
        <f t="shared" si="158"/>
        <v>277.30931495079346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-6.8212102632969618E-13</v>
      </c>
      <c r="O174" s="14">
        <f>N174*VLOOKUP('Données projet'!$B$9,Paramètres!$A$1:$I$89,3,0)*VLOOKUP('Données projet'!$B$9,Paramètres!$A$1:$I$89,5,0)</f>
        <v>-5.8525984059087939E-13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632.26350546340541</v>
      </c>
      <c r="T174" s="60">
        <f t="shared" si="142"/>
        <v>340.45335016367915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2.7134774427395314E-13</v>
      </c>
      <c r="AK174" s="14">
        <f t="shared" si="164"/>
        <v>3.6292411711343559E-12</v>
      </c>
      <c r="AL174" s="22">
        <f t="shared" si="165"/>
        <v>6.7935256943361388E-12</v>
      </c>
      <c r="AM174" s="60">
        <f t="shared" si="113"/>
        <v>288.73516144466834</v>
      </c>
      <c r="AN174" s="60">
        <f ca="1">AVERAGE(OFFSET($AM$3,0,0,'Données projet'!$E$10+1,1))-AVERAGE(OFFSET($H$3,0,0,'Données projet'!$E$10+1,1))</f>
        <v>336.25341821407534</v>
      </c>
      <c r="AO174" s="60">
        <f t="shared" si="144"/>
        <v>360.3246221345039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2.7134774427395314E-13</v>
      </c>
      <c r="BF174" s="14">
        <f t="shared" si="167"/>
        <v>3.6292411711343559E-12</v>
      </c>
      <c r="BG174" s="22">
        <f t="shared" si="168"/>
        <v>6.7935256943361388E-12</v>
      </c>
      <c r="BH174" s="60">
        <f t="shared" si="116"/>
        <v>288.73516144466834</v>
      </c>
      <c r="BI174" s="60">
        <f ca="1">AVERAGE(OFFSET($BH$3,0,0,'Données projet'!$E$11+1,1))-AVERAGE(OFFSET($H$3,0,0,'Données projet'!$E$11+1,1))</f>
        <v>336.25341821407534</v>
      </c>
      <c r="BJ174" s="60">
        <f t="shared" si="146"/>
        <v>360.3246221345039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-8.7434273154940449E-13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469.67944008675863</v>
      </c>
      <c r="CE174" s="60">
        <f t="shared" si="148"/>
        <v>266.11908070867173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8.8675733422860506E-14</v>
      </c>
      <c r="CV174" s="14">
        <f t="shared" si="173"/>
        <v>1.3509285393066301E-12</v>
      </c>
      <c r="CW174" s="22">
        <f t="shared" si="174"/>
        <v>2.5073107750038623E-12</v>
      </c>
      <c r="CX174" s="60">
        <f t="shared" si="122"/>
        <v>288.73516144466402</v>
      </c>
      <c r="CY174" s="60">
        <f ca="1">AVERAGE(OFFSET($CX$3,0,0,'Données projet'!$E$13+1,1))-AVERAGE(OFFSET($H$3,0,0,'Données projet'!$E$13+1,1))</f>
        <v>312.59632808777332</v>
      </c>
      <c r="CZ174" s="60">
        <f t="shared" si="150"/>
        <v>302.59481222418219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1.0818439477588981E-13</v>
      </c>
      <c r="DQ174" s="14">
        <f t="shared" si="176"/>
        <v>1.6104228458716316E-12</v>
      </c>
      <c r="DR174" s="22">
        <f t="shared" si="177"/>
        <v>2.9932409441277661E-12</v>
      </c>
      <c r="DS174" s="60">
        <f t="shared" si="125"/>
        <v>288.73516144466453</v>
      </c>
      <c r="DT174" s="60">
        <f ca="1">AVERAGE(OFFSET($DS$3,0,0,'Données projet'!$E$14+1,1))-AVERAGE(OFFSET($H$3,0,0,'Données projet'!$E$14+1,1))</f>
        <v>398.29746143975166</v>
      </c>
      <c r="DU174" s="60">
        <f t="shared" si="152"/>
        <v>300.63705521148802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-9.6633812063373625E-13</v>
      </c>
      <c r="EK174" s="18">
        <f>EJ174*VLOOKUP('Données projet'!$B$15,Paramètres!$A$1:$I$89,3,0)*VLOOKUP('Données projet'!$B$15,Paramètres!$A$1:$I$89,5,0)</f>
        <v>-9.3464223027694966E-13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496.33873798282525</v>
      </c>
      <c r="EP174" s="60">
        <f t="shared" si="154"/>
        <v>280.25465074992246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3.4106051316484809E-13</v>
      </c>
      <c r="FF174" s="18">
        <f>FE174*VLOOKUP('Données projet'!$B$16,Paramètres!$A$1:$I$89,3,0)*VLOOKUP('Données projet'!$B$16,Paramètres!$A$1:$I$89,5,0)</f>
        <v>2.9795046430081134E-13</v>
      </c>
      <c r="FG174" s="14">
        <f t="shared" si="182"/>
        <v>3.9419014464513778E-12</v>
      </c>
      <c r="FH174" s="22">
        <f t="shared" si="183"/>
        <v>7.384408744560063E-12</v>
      </c>
      <c r="FI174" s="60">
        <f t="shared" si="131"/>
        <v>288.7351614446689</v>
      </c>
      <c r="FJ174" s="60">
        <f ca="1">AVERAGE(OFFSET($FI$3,0,0,'Données projet'!$E$16+1,1))-AVERAGE(OFFSET($H$3,0,0,'Données projet'!$E$16+1,1))</f>
        <v>363.28611056308665</v>
      </c>
      <c r="FK174" s="60">
        <f t="shared" si="156"/>
        <v>389.43647559455974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1.7053025658242404E-13</v>
      </c>
      <c r="GA174" s="18">
        <f>FZ174*VLOOKUP('Données projet'!$B$17,Paramètres!$A$1:$I$89,3,0)*VLOOKUP('Données projet'!$B$17,Paramètres!$A$1:$I$89,5,0)</f>
        <v>1.1439169611549005E-13</v>
      </c>
      <c r="GB174" s="14">
        <f t="shared" si="185"/>
        <v>1.6918016515029816E-12</v>
      </c>
      <c r="GC174" s="22">
        <f t="shared" si="186"/>
        <v>3.1457867471021712E-12</v>
      </c>
      <c r="GD174" s="60">
        <f t="shared" si="134"/>
        <v>288.73516144466464</v>
      </c>
      <c r="GE174" s="60">
        <f ca="1">AVERAGE(OFFSET($GD$3,0,0,'Données projet'!$E$17+1,1))-AVERAGE(OFFSET($H$3,0,0,'Données projet'!$E$17+1,1))</f>
        <v>344.62096650402731</v>
      </c>
      <c r="GF174" s="60">
        <f t="shared" si="158"/>
        <v>277.30931495079346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-6.8212102632969618E-13</v>
      </c>
      <c r="O175" s="14">
        <f>N175*VLOOKUP('Données projet'!$B$9,Paramètres!$A$1:$I$89,3,0)*VLOOKUP('Données projet'!$B$9,Paramètres!$A$1:$I$89,5,0)</f>
        <v>-5.8525984059087939E-13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632.26350546340541</v>
      </c>
      <c r="T175" s="60">
        <f t="shared" si="142"/>
        <v>340.45335016367915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2.7134774427395314E-13</v>
      </c>
      <c r="AK175" s="14">
        <f t="shared" si="164"/>
        <v>3.6292411711343559E-12</v>
      </c>
      <c r="AL175" s="22">
        <f t="shared" si="165"/>
        <v>6.7935256943361388E-12</v>
      </c>
      <c r="AM175" s="60">
        <f t="shared" si="113"/>
        <v>288.81492944696447</v>
      </c>
      <c r="AN175" s="60">
        <f ca="1">AVERAGE(OFFSET($AM$3,0,0,'Données projet'!$E$10+1,1))-AVERAGE(OFFSET($H$3,0,0,'Données projet'!$E$10+1,1))</f>
        <v>336.25341821407534</v>
      </c>
      <c r="AO175" s="60">
        <f t="shared" si="144"/>
        <v>360.3246221345039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2.7134774427395314E-13</v>
      </c>
      <c r="BF175" s="14">
        <f t="shared" si="167"/>
        <v>3.6292411711343559E-12</v>
      </c>
      <c r="BG175" s="22">
        <f t="shared" si="168"/>
        <v>6.7935256943361388E-12</v>
      </c>
      <c r="BH175" s="60">
        <f t="shared" si="116"/>
        <v>288.81492944696447</v>
      </c>
      <c r="BI175" s="60">
        <f ca="1">AVERAGE(OFFSET($BH$3,0,0,'Données projet'!$E$11+1,1))-AVERAGE(OFFSET($H$3,0,0,'Données projet'!$E$11+1,1))</f>
        <v>336.25341821407534</v>
      </c>
      <c r="BJ175" s="60">
        <f t="shared" si="146"/>
        <v>360.3246221345039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-8.7434273154940449E-13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469.67944008675863</v>
      </c>
      <c r="CE175" s="60">
        <f t="shared" si="148"/>
        <v>266.11908070867173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8.8675733422860506E-14</v>
      </c>
      <c r="CV175" s="14">
        <f t="shared" si="173"/>
        <v>1.3509285393066301E-12</v>
      </c>
      <c r="CW175" s="22">
        <f t="shared" si="174"/>
        <v>2.5073107750038623E-12</v>
      </c>
      <c r="CX175" s="60">
        <f t="shared" si="122"/>
        <v>288.81492944696015</v>
      </c>
      <c r="CY175" s="60">
        <f ca="1">AVERAGE(OFFSET($CX$3,0,0,'Données projet'!$E$13+1,1))-AVERAGE(OFFSET($H$3,0,0,'Données projet'!$E$13+1,1))</f>
        <v>312.59632808777332</v>
      </c>
      <c r="CZ175" s="60">
        <f t="shared" si="150"/>
        <v>302.59481222418219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1.0818439477588981E-13</v>
      </c>
      <c r="DQ175" s="14">
        <f t="shared" si="176"/>
        <v>1.6104228458716316E-12</v>
      </c>
      <c r="DR175" s="22">
        <f t="shared" si="177"/>
        <v>2.9932409441277661E-12</v>
      </c>
      <c r="DS175" s="60">
        <f t="shared" si="125"/>
        <v>288.81492944696066</v>
      </c>
      <c r="DT175" s="60">
        <f ca="1">AVERAGE(OFFSET($DS$3,0,0,'Données projet'!$E$14+1,1))-AVERAGE(OFFSET($H$3,0,0,'Données projet'!$E$14+1,1))</f>
        <v>398.29746143975166</v>
      </c>
      <c r="DU175" s="60">
        <f t="shared" si="152"/>
        <v>300.63705521148802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-9.6633812063373625E-13</v>
      </c>
      <c r="EK175" s="18">
        <f>EJ175*VLOOKUP('Données projet'!$B$15,Paramètres!$A$1:$I$89,3,0)*VLOOKUP('Données projet'!$B$15,Paramètres!$A$1:$I$89,5,0)</f>
        <v>-9.3464223027694966E-13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496.33873798282525</v>
      </c>
      <c r="EP175" s="60">
        <f t="shared" si="154"/>
        <v>280.25465074992246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3.4106051316484809E-13</v>
      </c>
      <c r="FF175" s="18">
        <f>FE175*VLOOKUP('Données projet'!$B$16,Paramètres!$A$1:$I$89,3,0)*VLOOKUP('Données projet'!$B$16,Paramètres!$A$1:$I$89,5,0)</f>
        <v>2.9795046430081134E-13</v>
      </c>
      <c r="FG175" s="14">
        <f t="shared" si="182"/>
        <v>3.9419014464513778E-12</v>
      </c>
      <c r="FH175" s="22">
        <f t="shared" si="183"/>
        <v>7.384408744560063E-12</v>
      </c>
      <c r="FI175" s="60">
        <f t="shared" si="131"/>
        <v>288.81492944696504</v>
      </c>
      <c r="FJ175" s="60">
        <f ca="1">AVERAGE(OFFSET($FI$3,0,0,'Données projet'!$E$16+1,1))-AVERAGE(OFFSET($H$3,0,0,'Données projet'!$E$16+1,1))</f>
        <v>363.28611056308665</v>
      </c>
      <c r="FK175" s="60">
        <f t="shared" si="156"/>
        <v>389.43647559455974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1.7053025658242404E-13</v>
      </c>
      <c r="GA175" s="18">
        <f>FZ175*VLOOKUP('Données projet'!$B$17,Paramètres!$A$1:$I$89,3,0)*VLOOKUP('Données projet'!$B$17,Paramètres!$A$1:$I$89,5,0)</f>
        <v>1.1439169611549005E-13</v>
      </c>
      <c r="GB175" s="14">
        <f t="shared" si="185"/>
        <v>1.6918016515029816E-12</v>
      </c>
      <c r="GC175" s="22">
        <f t="shared" si="186"/>
        <v>3.1457867471021712E-12</v>
      </c>
      <c r="GD175" s="60">
        <f t="shared" si="134"/>
        <v>288.81492944696078</v>
      </c>
      <c r="GE175" s="60">
        <f ca="1">AVERAGE(OFFSET($GD$3,0,0,'Données projet'!$E$17+1,1))-AVERAGE(OFFSET($H$3,0,0,'Données projet'!$E$17+1,1))</f>
        <v>344.62096650402731</v>
      </c>
      <c r="GF175" s="60">
        <f t="shared" si="158"/>
        <v>277.30931495079346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-6.8212102632969618E-13</v>
      </c>
      <c r="O176" s="14">
        <f>N176*VLOOKUP('Données projet'!$B$9,Paramètres!$A$1:$I$89,3,0)*VLOOKUP('Données projet'!$B$9,Paramètres!$A$1:$I$89,5,0)</f>
        <v>-5.8525984059087939E-13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632.26350546340541</v>
      </c>
      <c r="T176" s="60">
        <f t="shared" si="142"/>
        <v>340.45335016367915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2.7134774427395314E-13</v>
      </c>
      <c r="AK176" s="14">
        <f t="shared" si="164"/>
        <v>3.6292411711343559E-12</v>
      </c>
      <c r="AL176" s="22">
        <f t="shared" si="165"/>
        <v>6.7935256943361388E-12</v>
      </c>
      <c r="AM176" s="60">
        <f t="shared" si="113"/>
        <v>288.8933136527553</v>
      </c>
      <c r="AN176" s="60">
        <f ca="1">AVERAGE(OFFSET($AM$3,0,0,'Données projet'!$E$10+1,1))-AVERAGE(OFFSET($H$3,0,0,'Données projet'!$E$10+1,1))</f>
        <v>336.25341821407534</v>
      </c>
      <c r="AO176" s="60">
        <f t="shared" si="144"/>
        <v>360.3246221345039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2.7134774427395314E-13</v>
      </c>
      <c r="BF176" s="14">
        <f t="shared" si="167"/>
        <v>3.6292411711343559E-12</v>
      </c>
      <c r="BG176" s="22">
        <f t="shared" si="168"/>
        <v>6.7935256943361388E-12</v>
      </c>
      <c r="BH176" s="60">
        <f t="shared" si="116"/>
        <v>288.8933136527553</v>
      </c>
      <c r="BI176" s="60">
        <f ca="1">AVERAGE(OFFSET($BH$3,0,0,'Données projet'!$E$11+1,1))-AVERAGE(OFFSET($H$3,0,0,'Données projet'!$E$11+1,1))</f>
        <v>336.25341821407534</v>
      </c>
      <c r="BJ176" s="60">
        <f t="shared" si="146"/>
        <v>360.3246221345039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-8.7434273154940449E-13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469.67944008675863</v>
      </c>
      <c r="CE176" s="60">
        <f t="shared" si="148"/>
        <v>266.11908070867173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8.8675733422860506E-14</v>
      </c>
      <c r="CV176" s="14">
        <f t="shared" si="173"/>
        <v>1.3509285393066301E-12</v>
      </c>
      <c r="CW176" s="22">
        <f t="shared" si="174"/>
        <v>2.5073107750038623E-12</v>
      </c>
      <c r="CX176" s="60">
        <f t="shared" si="122"/>
        <v>288.89331365275098</v>
      </c>
      <c r="CY176" s="60">
        <f ca="1">AVERAGE(OFFSET($CX$3,0,0,'Données projet'!$E$13+1,1))-AVERAGE(OFFSET($H$3,0,0,'Données projet'!$E$13+1,1))</f>
        <v>312.59632808777332</v>
      </c>
      <c r="CZ176" s="60">
        <f t="shared" si="150"/>
        <v>302.59481222418219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1.0818439477588981E-13</v>
      </c>
      <c r="DQ176" s="14">
        <f t="shared" si="176"/>
        <v>1.6104228458716316E-12</v>
      </c>
      <c r="DR176" s="22">
        <f t="shared" si="177"/>
        <v>2.9932409441277661E-12</v>
      </c>
      <c r="DS176" s="60">
        <f t="shared" si="125"/>
        <v>288.89331365275149</v>
      </c>
      <c r="DT176" s="60">
        <f ca="1">AVERAGE(OFFSET($DS$3,0,0,'Données projet'!$E$14+1,1))-AVERAGE(OFFSET($H$3,0,0,'Données projet'!$E$14+1,1))</f>
        <v>398.29746143975166</v>
      </c>
      <c r="DU176" s="60">
        <f t="shared" si="152"/>
        <v>300.63705521148802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-9.6633812063373625E-13</v>
      </c>
      <c r="EK176" s="18">
        <f>EJ176*VLOOKUP('Données projet'!$B$15,Paramètres!$A$1:$I$89,3,0)*VLOOKUP('Données projet'!$B$15,Paramètres!$A$1:$I$89,5,0)</f>
        <v>-9.3464223027694966E-13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496.33873798282525</v>
      </c>
      <c r="EP176" s="60">
        <f t="shared" si="154"/>
        <v>280.25465074992246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3.4106051316484809E-13</v>
      </c>
      <c r="FF176" s="18">
        <f>FE176*VLOOKUP('Données projet'!$B$16,Paramètres!$A$1:$I$89,3,0)*VLOOKUP('Données projet'!$B$16,Paramètres!$A$1:$I$89,5,0)</f>
        <v>2.9795046430081134E-13</v>
      </c>
      <c r="FG176" s="14">
        <f t="shared" si="182"/>
        <v>3.9419014464513778E-12</v>
      </c>
      <c r="FH176" s="22">
        <f t="shared" si="183"/>
        <v>7.384408744560063E-12</v>
      </c>
      <c r="FI176" s="60">
        <f t="shared" si="131"/>
        <v>288.89331365275586</v>
      </c>
      <c r="FJ176" s="60">
        <f ca="1">AVERAGE(OFFSET($FI$3,0,0,'Données projet'!$E$16+1,1))-AVERAGE(OFFSET($H$3,0,0,'Données projet'!$E$16+1,1))</f>
        <v>363.28611056308665</v>
      </c>
      <c r="FK176" s="60">
        <f t="shared" si="156"/>
        <v>389.43647559455974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1.7053025658242404E-13</v>
      </c>
      <c r="GA176" s="18">
        <f>FZ176*VLOOKUP('Données projet'!$B$17,Paramètres!$A$1:$I$89,3,0)*VLOOKUP('Données projet'!$B$17,Paramètres!$A$1:$I$89,5,0)</f>
        <v>1.1439169611549005E-13</v>
      </c>
      <c r="GB176" s="14">
        <f t="shared" si="185"/>
        <v>1.6918016515029816E-12</v>
      </c>
      <c r="GC176" s="22">
        <f t="shared" si="186"/>
        <v>3.1457867471021712E-12</v>
      </c>
      <c r="GD176" s="60">
        <f t="shared" si="134"/>
        <v>288.8933136527516</v>
      </c>
      <c r="GE176" s="60">
        <f ca="1">AVERAGE(OFFSET($GD$3,0,0,'Données projet'!$E$17+1,1))-AVERAGE(OFFSET($H$3,0,0,'Données projet'!$E$17+1,1))</f>
        <v>344.62096650402731</v>
      </c>
      <c r="GF176" s="60">
        <f t="shared" si="158"/>
        <v>277.30931495079346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-6.8212102632969618E-13</v>
      </c>
      <c r="O177" s="14">
        <f>N177*VLOOKUP('Données projet'!$B$9,Paramètres!$A$1:$I$89,3,0)*VLOOKUP('Données projet'!$B$9,Paramètres!$A$1:$I$89,5,0)</f>
        <v>-5.8525984059087939E-13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632.26350546340541</v>
      </c>
      <c r="T177" s="60">
        <f t="shared" si="142"/>
        <v>340.45335016367915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2.7134774427395314E-13</v>
      </c>
      <c r="AK177" s="14">
        <f t="shared" si="164"/>
        <v>3.6292411711343559E-12</v>
      </c>
      <c r="AL177" s="22">
        <f t="shared" si="165"/>
        <v>6.7935256943361388E-12</v>
      </c>
      <c r="AM177" s="60">
        <f t="shared" si="113"/>
        <v>288.97033806781656</v>
      </c>
      <c r="AN177" s="60">
        <f ca="1">AVERAGE(OFFSET($AM$3,0,0,'Données projet'!$E$10+1,1))-AVERAGE(OFFSET($H$3,0,0,'Données projet'!$E$10+1,1))</f>
        <v>336.25341821407534</v>
      </c>
      <c r="AO177" s="60">
        <f t="shared" si="144"/>
        <v>360.3246221345039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2.7134774427395314E-13</v>
      </c>
      <c r="BF177" s="14">
        <f t="shared" si="167"/>
        <v>3.6292411711343559E-12</v>
      </c>
      <c r="BG177" s="22">
        <f t="shared" si="168"/>
        <v>6.7935256943361388E-12</v>
      </c>
      <c r="BH177" s="60">
        <f t="shared" si="116"/>
        <v>288.97033806781656</v>
      </c>
      <c r="BI177" s="60">
        <f ca="1">AVERAGE(OFFSET($BH$3,0,0,'Données projet'!$E$11+1,1))-AVERAGE(OFFSET($H$3,0,0,'Données projet'!$E$11+1,1))</f>
        <v>336.25341821407534</v>
      </c>
      <c r="BJ177" s="60">
        <f t="shared" si="146"/>
        <v>360.3246221345039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-8.7434273154940449E-13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469.67944008675863</v>
      </c>
      <c r="CE177" s="60">
        <f t="shared" si="148"/>
        <v>266.11908070867173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8.8675733422860506E-14</v>
      </c>
      <c r="CV177" s="14">
        <f t="shared" si="173"/>
        <v>1.3509285393066301E-12</v>
      </c>
      <c r="CW177" s="22">
        <f t="shared" si="174"/>
        <v>2.5073107750038623E-12</v>
      </c>
      <c r="CX177" s="60">
        <f t="shared" si="122"/>
        <v>288.97033806781224</v>
      </c>
      <c r="CY177" s="60">
        <f ca="1">AVERAGE(OFFSET($CX$3,0,0,'Données projet'!$E$13+1,1))-AVERAGE(OFFSET($H$3,0,0,'Données projet'!$E$13+1,1))</f>
        <v>312.59632808777332</v>
      </c>
      <c r="CZ177" s="60">
        <f t="shared" si="150"/>
        <v>302.59481222418219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1.0818439477588981E-13</v>
      </c>
      <c r="DQ177" s="14">
        <f t="shared" si="176"/>
        <v>1.6104228458716316E-12</v>
      </c>
      <c r="DR177" s="22">
        <f t="shared" si="177"/>
        <v>2.9932409441277661E-12</v>
      </c>
      <c r="DS177" s="60">
        <f t="shared" si="125"/>
        <v>288.97033806781275</v>
      </c>
      <c r="DT177" s="60">
        <f ca="1">AVERAGE(OFFSET($DS$3,0,0,'Données projet'!$E$14+1,1))-AVERAGE(OFFSET($H$3,0,0,'Données projet'!$E$14+1,1))</f>
        <v>398.29746143975166</v>
      </c>
      <c r="DU177" s="60">
        <f t="shared" si="152"/>
        <v>300.63705521148802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-9.6633812063373625E-13</v>
      </c>
      <c r="EK177" s="18">
        <f>EJ177*VLOOKUP('Données projet'!$B$15,Paramètres!$A$1:$I$89,3,0)*VLOOKUP('Données projet'!$B$15,Paramètres!$A$1:$I$89,5,0)</f>
        <v>-9.3464223027694966E-13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496.33873798282525</v>
      </c>
      <c r="EP177" s="60">
        <f t="shared" si="154"/>
        <v>280.25465074992246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3.4106051316484809E-13</v>
      </c>
      <c r="FF177" s="18">
        <f>FE177*VLOOKUP('Données projet'!$B$16,Paramètres!$A$1:$I$89,3,0)*VLOOKUP('Données projet'!$B$16,Paramètres!$A$1:$I$89,5,0)</f>
        <v>2.9795046430081134E-13</v>
      </c>
      <c r="FG177" s="14">
        <f t="shared" si="182"/>
        <v>3.9419014464513778E-12</v>
      </c>
      <c r="FH177" s="22">
        <f t="shared" si="183"/>
        <v>7.384408744560063E-12</v>
      </c>
      <c r="FI177" s="60">
        <f t="shared" si="131"/>
        <v>288.97033806781712</v>
      </c>
      <c r="FJ177" s="60">
        <f ca="1">AVERAGE(OFFSET($FI$3,0,0,'Données projet'!$E$16+1,1))-AVERAGE(OFFSET($H$3,0,0,'Données projet'!$E$16+1,1))</f>
        <v>363.28611056308665</v>
      </c>
      <c r="FK177" s="60">
        <f t="shared" si="156"/>
        <v>389.43647559455974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1.7053025658242404E-13</v>
      </c>
      <c r="GA177" s="18">
        <f>FZ177*VLOOKUP('Données projet'!$B$17,Paramètres!$A$1:$I$89,3,0)*VLOOKUP('Données projet'!$B$17,Paramètres!$A$1:$I$89,5,0)</f>
        <v>1.1439169611549005E-13</v>
      </c>
      <c r="GB177" s="14">
        <f t="shared" si="185"/>
        <v>1.6918016515029816E-12</v>
      </c>
      <c r="GC177" s="22">
        <f t="shared" si="186"/>
        <v>3.1457867471021712E-12</v>
      </c>
      <c r="GD177" s="60">
        <f t="shared" si="134"/>
        <v>288.97033806781286</v>
      </c>
      <c r="GE177" s="60">
        <f ca="1">AVERAGE(OFFSET($GD$3,0,0,'Données projet'!$E$17+1,1))-AVERAGE(OFFSET($H$3,0,0,'Données projet'!$E$17+1,1))</f>
        <v>344.62096650402731</v>
      </c>
      <c r="GF177" s="60">
        <f t="shared" si="158"/>
        <v>277.30931495079346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-6.8212102632969618E-13</v>
      </c>
      <c r="O178" s="14">
        <f>N178*VLOOKUP('Données projet'!$B$9,Paramètres!$A$1:$I$89,3,0)*VLOOKUP('Données projet'!$B$9,Paramètres!$A$1:$I$89,5,0)</f>
        <v>-5.8525984059087939E-13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632.26350546340541</v>
      </c>
      <c r="T178" s="60">
        <f t="shared" si="142"/>
        <v>340.45335016367915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2.7134774427395314E-13</v>
      </c>
      <c r="AK178" s="14">
        <f t="shared" si="164"/>
        <v>3.6292411711343559E-12</v>
      </c>
      <c r="AL178" s="22">
        <f t="shared" si="165"/>
        <v>6.7935256943361388E-12</v>
      </c>
      <c r="AM178" s="60">
        <f t="shared" si="113"/>
        <v>289.04602628147722</v>
      </c>
      <c r="AN178" s="60">
        <f ca="1">AVERAGE(OFFSET($AM$3,0,0,'Données projet'!$E$10+1,1))-AVERAGE(OFFSET($H$3,0,0,'Données projet'!$E$10+1,1))</f>
        <v>336.25341821407534</v>
      </c>
      <c r="AO178" s="60">
        <f t="shared" si="144"/>
        <v>360.3246221345039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2.7134774427395314E-13</v>
      </c>
      <c r="BF178" s="14">
        <f t="shared" si="167"/>
        <v>3.6292411711343559E-12</v>
      </c>
      <c r="BG178" s="22">
        <f t="shared" si="168"/>
        <v>6.7935256943361388E-12</v>
      </c>
      <c r="BH178" s="60">
        <f t="shared" si="116"/>
        <v>289.04602628147722</v>
      </c>
      <c r="BI178" s="60">
        <f ca="1">AVERAGE(OFFSET($BH$3,0,0,'Données projet'!$E$11+1,1))-AVERAGE(OFFSET($H$3,0,0,'Données projet'!$E$11+1,1))</f>
        <v>336.25341821407534</v>
      </c>
      <c r="BJ178" s="60">
        <f t="shared" si="146"/>
        <v>360.3246221345039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-8.7434273154940449E-13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469.67944008675863</v>
      </c>
      <c r="CE178" s="60">
        <f t="shared" si="148"/>
        <v>266.11908070867173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8.8675733422860506E-14</v>
      </c>
      <c r="CV178" s="14">
        <f t="shared" si="173"/>
        <v>1.3509285393066301E-12</v>
      </c>
      <c r="CW178" s="22">
        <f t="shared" si="174"/>
        <v>2.5073107750038623E-12</v>
      </c>
      <c r="CX178" s="60">
        <f t="shared" si="122"/>
        <v>289.0460262814729</v>
      </c>
      <c r="CY178" s="60">
        <f ca="1">AVERAGE(OFFSET($CX$3,0,0,'Données projet'!$E$13+1,1))-AVERAGE(OFFSET($H$3,0,0,'Données projet'!$E$13+1,1))</f>
        <v>312.59632808777332</v>
      </c>
      <c r="CZ178" s="60">
        <f t="shared" si="150"/>
        <v>302.59481222418219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1.0818439477588981E-13</v>
      </c>
      <c r="DQ178" s="14">
        <f t="shared" si="176"/>
        <v>1.6104228458716316E-12</v>
      </c>
      <c r="DR178" s="22">
        <f t="shared" si="177"/>
        <v>2.9932409441277661E-12</v>
      </c>
      <c r="DS178" s="60">
        <f t="shared" si="125"/>
        <v>289.04602628147342</v>
      </c>
      <c r="DT178" s="60">
        <f ca="1">AVERAGE(OFFSET($DS$3,0,0,'Données projet'!$E$14+1,1))-AVERAGE(OFFSET($H$3,0,0,'Données projet'!$E$14+1,1))</f>
        <v>398.29746143975166</v>
      </c>
      <c r="DU178" s="60">
        <f t="shared" si="152"/>
        <v>300.63705521148802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-9.6633812063373625E-13</v>
      </c>
      <c r="EK178" s="18">
        <f>EJ178*VLOOKUP('Données projet'!$B$15,Paramètres!$A$1:$I$89,3,0)*VLOOKUP('Données projet'!$B$15,Paramètres!$A$1:$I$89,5,0)</f>
        <v>-9.3464223027694966E-13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496.33873798282525</v>
      </c>
      <c r="EP178" s="60">
        <f t="shared" si="154"/>
        <v>280.25465074992246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3.4106051316484809E-13</v>
      </c>
      <c r="FF178" s="18">
        <f>FE178*VLOOKUP('Données projet'!$B$16,Paramètres!$A$1:$I$89,3,0)*VLOOKUP('Données projet'!$B$16,Paramètres!$A$1:$I$89,5,0)</f>
        <v>2.9795046430081134E-13</v>
      </c>
      <c r="FG178" s="14">
        <f t="shared" si="182"/>
        <v>3.9419014464513778E-12</v>
      </c>
      <c r="FH178" s="22">
        <f t="shared" si="183"/>
        <v>7.384408744560063E-12</v>
      </c>
      <c r="FI178" s="60">
        <f t="shared" si="131"/>
        <v>289.04602628147779</v>
      </c>
      <c r="FJ178" s="60">
        <f ca="1">AVERAGE(OFFSET($FI$3,0,0,'Données projet'!$E$16+1,1))-AVERAGE(OFFSET($H$3,0,0,'Données projet'!$E$16+1,1))</f>
        <v>363.28611056308665</v>
      </c>
      <c r="FK178" s="60">
        <f t="shared" si="156"/>
        <v>389.43647559455974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1.7053025658242404E-13</v>
      </c>
      <c r="GA178" s="18">
        <f>FZ178*VLOOKUP('Données projet'!$B$17,Paramètres!$A$1:$I$89,3,0)*VLOOKUP('Données projet'!$B$17,Paramètres!$A$1:$I$89,5,0)</f>
        <v>1.1439169611549005E-13</v>
      </c>
      <c r="GB178" s="14">
        <f t="shared" si="185"/>
        <v>1.6918016515029816E-12</v>
      </c>
      <c r="GC178" s="22">
        <f t="shared" si="186"/>
        <v>3.1457867471021712E-12</v>
      </c>
      <c r="GD178" s="60">
        <f t="shared" si="134"/>
        <v>289.04602628147353</v>
      </c>
      <c r="GE178" s="60">
        <f ca="1">AVERAGE(OFFSET($GD$3,0,0,'Données projet'!$E$17+1,1))-AVERAGE(OFFSET($H$3,0,0,'Données projet'!$E$17+1,1))</f>
        <v>344.62096650402731</v>
      </c>
      <c r="GF178" s="60">
        <f t="shared" si="158"/>
        <v>277.30931495079346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-6.8212102632969618E-13</v>
      </c>
      <c r="O179" s="14">
        <f>N179*VLOOKUP('Données projet'!$B$9,Paramètres!$A$1:$I$89,3,0)*VLOOKUP('Données projet'!$B$9,Paramètres!$A$1:$I$89,5,0)</f>
        <v>-5.8525984059087939E-13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632.26350546340541</v>
      </c>
      <c r="T179" s="60">
        <f t="shared" si="142"/>
        <v>340.45335016367915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2.7134774427395314E-13</v>
      </c>
      <c r="AK179" s="14">
        <f t="shared" si="164"/>
        <v>3.6292411711343559E-12</v>
      </c>
      <c r="AL179" s="22">
        <f t="shared" si="165"/>
        <v>6.7935256943361388E-12</v>
      </c>
      <c r="AM179" s="60">
        <f t="shared" si="113"/>
        <v>289.12040147384442</v>
      </c>
      <c r="AN179" s="60">
        <f ca="1">AVERAGE(OFFSET($AM$3,0,0,'Données projet'!$E$10+1,1))-AVERAGE(OFFSET($H$3,0,0,'Données projet'!$E$10+1,1))</f>
        <v>336.25341821407534</v>
      </c>
      <c r="AO179" s="60">
        <f t="shared" si="144"/>
        <v>360.3246221345039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2.7134774427395314E-13</v>
      </c>
      <c r="BF179" s="14">
        <f t="shared" si="167"/>
        <v>3.6292411711343559E-12</v>
      </c>
      <c r="BG179" s="22">
        <f t="shared" si="168"/>
        <v>6.7935256943361388E-12</v>
      </c>
      <c r="BH179" s="60">
        <f t="shared" si="116"/>
        <v>289.12040147384442</v>
      </c>
      <c r="BI179" s="60">
        <f ca="1">AVERAGE(OFFSET($BH$3,0,0,'Données projet'!$E$11+1,1))-AVERAGE(OFFSET($H$3,0,0,'Données projet'!$E$11+1,1))</f>
        <v>336.25341821407534</v>
      </c>
      <c r="BJ179" s="60">
        <f t="shared" si="146"/>
        <v>360.3246221345039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-8.7434273154940449E-13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469.67944008675863</v>
      </c>
      <c r="CE179" s="60">
        <f t="shared" si="148"/>
        <v>266.11908070867173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8.8675733422860506E-14</v>
      </c>
      <c r="CV179" s="14">
        <f t="shared" si="173"/>
        <v>1.3509285393066301E-12</v>
      </c>
      <c r="CW179" s="22">
        <f t="shared" si="174"/>
        <v>2.5073107750038623E-12</v>
      </c>
      <c r="CX179" s="60">
        <f t="shared" si="122"/>
        <v>289.1204014738401</v>
      </c>
      <c r="CY179" s="60">
        <f ca="1">AVERAGE(OFFSET($CX$3,0,0,'Données projet'!$E$13+1,1))-AVERAGE(OFFSET($H$3,0,0,'Données projet'!$E$13+1,1))</f>
        <v>312.59632808777332</v>
      </c>
      <c r="CZ179" s="60">
        <f t="shared" si="150"/>
        <v>302.59481222418219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1.0818439477588981E-13</v>
      </c>
      <c r="DQ179" s="14">
        <f t="shared" si="176"/>
        <v>1.6104228458716316E-12</v>
      </c>
      <c r="DR179" s="22">
        <f t="shared" si="177"/>
        <v>2.9932409441277661E-12</v>
      </c>
      <c r="DS179" s="60">
        <f t="shared" si="125"/>
        <v>289.12040147384062</v>
      </c>
      <c r="DT179" s="60">
        <f ca="1">AVERAGE(OFFSET($DS$3,0,0,'Données projet'!$E$14+1,1))-AVERAGE(OFFSET($H$3,0,0,'Données projet'!$E$14+1,1))</f>
        <v>398.29746143975166</v>
      </c>
      <c r="DU179" s="60">
        <f t="shared" si="152"/>
        <v>300.63705521148802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-9.6633812063373625E-13</v>
      </c>
      <c r="EK179" s="18">
        <f>EJ179*VLOOKUP('Données projet'!$B$15,Paramètres!$A$1:$I$89,3,0)*VLOOKUP('Données projet'!$B$15,Paramètres!$A$1:$I$89,5,0)</f>
        <v>-9.3464223027694966E-13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496.33873798282525</v>
      </c>
      <c r="EP179" s="60">
        <f t="shared" si="154"/>
        <v>280.25465074992246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3.4106051316484809E-13</v>
      </c>
      <c r="FF179" s="18">
        <f>FE179*VLOOKUP('Données projet'!$B$16,Paramètres!$A$1:$I$89,3,0)*VLOOKUP('Données projet'!$B$16,Paramètres!$A$1:$I$89,5,0)</f>
        <v>2.9795046430081134E-13</v>
      </c>
      <c r="FG179" s="14">
        <f t="shared" si="182"/>
        <v>3.9419014464513778E-12</v>
      </c>
      <c r="FH179" s="22">
        <f t="shared" si="183"/>
        <v>7.384408744560063E-12</v>
      </c>
      <c r="FI179" s="60">
        <f t="shared" si="131"/>
        <v>289.12040147384499</v>
      </c>
      <c r="FJ179" s="60">
        <f ca="1">AVERAGE(OFFSET($FI$3,0,0,'Données projet'!$E$16+1,1))-AVERAGE(OFFSET($H$3,0,0,'Données projet'!$E$16+1,1))</f>
        <v>363.28611056308665</v>
      </c>
      <c r="FK179" s="60">
        <f t="shared" si="156"/>
        <v>389.43647559455974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1.7053025658242404E-13</v>
      </c>
      <c r="GA179" s="18">
        <f>FZ179*VLOOKUP('Données projet'!$B$17,Paramètres!$A$1:$I$89,3,0)*VLOOKUP('Données projet'!$B$17,Paramètres!$A$1:$I$89,5,0)</f>
        <v>1.1439169611549005E-13</v>
      </c>
      <c r="GB179" s="14">
        <f t="shared" si="185"/>
        <v>1.6918016515029816E-12</v>
      </c>
      <c r="GC179" s="22">
        <f t="shared" si="186"/>
        <v>3.1457867471021712E-12</v>
      </c>
      <c r="GD179" s="60">
        <f t="shared" si="134"/>
        <v>289.12040147384073</v>
      </c>
      <c r="GE179" s="60">
        <f ca="1">AVERAGE(OFFSET($GD$3,0,0,'Données projet'!$E$17+1,1))-AVERAGE(OFFSET($H$3,0,0,'Données projet'!$E$17+1,1))</f>
        <v>344.62096650402731</v>
      </c>
      <c r="GF179" s="60">
        <f t="shared" si="158"/>
        <v>277.30931495079346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-6.8212102632969618E-13</v>
      </c>
      <c r="O180" s="14">
        <f>N180*VLOOKUP('Données projet'!$B$9,Paramètres!$A$1:$I$89,3,0)*VLOOKUP('Données projet'!$B$9,Paramètres!$A$1:$I$89,5,0)</f>
        <v>-5.8525984059087939E-13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632.26350546340541</v>
      </c>
      <c r="T180" s="60">
        <f t="shared" si="142"/>
        <v>340.45335016367915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2.7134774427395314E-13</v>
      </c>
      <c r="AK180" s="14">
        <f t="shared" si="164"/>
        <v>3.6292411711343559E-12</v>
      </c>
      <c r="AL180" s="22">
        <f t="shared" si="165"/>
        <v>6.7935256943361388E-12</v>
      </c>
      <c r="AM180" s="60">
        <f t="shared" si="113"/>
        <v>289.19348642290208</v>
      </c>
      <c r="AN180" s="60">
        <f ca="1">AVERAGE(OFFSET($AM$3,0,0,'Données projet'!$E$10+1,1))-AVERAGE(OFFSET($H$3,0,0,'Données projet'!$E$10+1,1))</f>
        <v>336.25341821407534</v>
      </c>
      <c r="AO180" s="60">
        <f t="shared" si="144"/>
        <v>360.3246221345039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2.7134774427395314E-13</v>
      </c>
      <c r="BF180" s="14">
        <f t="shared" si="167"/>
        <v>3.6292411711343559E-12</v>
      </c>
      <c r="BG180" s="22">
        <f t="shared" si="168"/>
        <v>6.7935256943361388E-12</v>
      </c>
      <c r="BH180" s="60">
        <f t="shared" si="116"/>
        <v>289.19348642290208</v>
      </c>
      <c r="BI180" s="60">
        <f ca="1">AVERAGE(OFFSET($BH$3,0,0,'Données projet'!$E$11+1,1))-AVERAGE(OFFSET($H$3,0,0,'Données projet'!$E$11+1,1))</f>
        <v>336.25341821407534</v>
      </c>
      <c r="BJ180" s="60">
        <f t="shared" si="146"/>
        <v>360.3246221345039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-8.7434273154940449E-13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469.67944008675863</v>
      </c>
      <c r="CE180" s="60">
        <f t="shared" si="148"/>
        <v>266.11908070867173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8.8675733422860506E-14</v>
      </c>
      <c r="CV180" s="14">
        <f t="shared" si="173"/>
        <v>1.3509285393066301E-12</v>
      </c>
      <c r="CW180" s="22">
        <f t="shared" si="174"/>
        <v>2.5073107750038623E-12</v>
      </c>
      <c r="CX180" s="60">
        <f t="shared" si="122"/>
        <v>289.19348642289776</v>
      </c>
      <c r="CY180" s="60">
        <f ca="1">AVERAGE(OFFSET($CX$3,0,0,'Données projet'!$E$13+1,1))-AVERAGE(OFFSET($H$3,0,0,'Données projet'!$E$13+1,1))</f>
        <v>312.59632808777332</v>
      </c>
      <c r="CZ180" s="60">
        <f t="shared" si="150"/>
        <v>302.59481222418219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1.0818439477588981E-13</v>
      </c>
      <c r="DQ180" s="14">
        <f t="shared" si="176"/>
        <v>1.6104228458716316E-12</v>
      </c>
      <c r="DR180" s="22">
        <f t="shared" si="177"/>
        <v>2.9932409441277661E-12</v>
      </c>
      <c r="DS180" s="60">
        <f t="shared" si="125"/>
        <v>289.19348642289827</v>
      </c>
      <c r="DT180" s="60">
        <f ca="1">AVERAGE(OFFSET($DS$3,0,0,'Données projet'!$E$14+1,1))-AVERAGE(OFFSET($H$3,0,0,'Données projet'!$E$14+1,1))</f>
        <v>398.29746143975166</v>
      </c>
      <c r="DU180" s="60">
        <f t="shared" si="152"/>
        <v>300.63705521148802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-9.6633812063373625E-13</v>
      </c>
      <c r="EK180" s="18">
        <f>EJ180*VLOOKUP('Données projet'!$B$15,Paramètres!$A$1:$I$89,3,0)*VLOOKUP('Données projet'!$B$15,Paramètres!$A$1:$I$89,5,0)</f>
        <v>-9.3464223027694966E-13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496.33873798282525</v>
      </c>
      <c r="EP180" s="60">
        <f t="shared" si="154"/>
        <v>280.25465074992246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3.4106051316484809E-13</v>
      </c>
      <c r="FF180" s="18">
        <f>FE180*VLOOKUP('Données projet'!$B$16,Paramètres!$A$1:$I$89,3,0)*VLOOKUP('Données projet'!$B$16,Paramètres!$A$1:$I$89,5,0)</f>
        <v>2.9795046430081134E-13</v>
      </c>
      <c r="FG180" s="14">
        <f t="shared" si="182"/>
        <v>3.9419014464513778E-12</v>
      </c>
      <c r="FH180" s="22">
        <f t="shared" si="183"/>
        <v>7.384408744560063E-12</v>
      </c>
      <c r="FI180" s="60">
        <f t="shared" si="131"/>
        <v>289.19348642290265</v>
      </c>
      <c r="FJ180" s="60">
        <f ca="1">AVERAGE(OFFSET($FI$3,0,0,'Données projet'!$E$16+1,1))-AVERAGE(OFFSET($H$3,0,0,'Données projet'!$E$16+1,1))</f>
        <v>363.28611056308665</v>
      </c>
      <c r="FK180" s="60">
        <f t="shared" si="156"/>
        <v>389.43647559455974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1.7053025658242404E-13</v>
      </c>
      <c r="GA180" s="18">
        <f>FZ180*VLOOKUP('Données projet'!$B$17,Paramètres!$A$1:$I$89,3,0)*VLOOKUP('Données projet'!$B$17,Paramètres!$A$1:$I$89,5,0)</f>
        <v>1.1439169611549005E-13</v>
      </c>
      <c r="GB180" s="14">
        <f t="shared" si="185"/>
        <v>1.6918016515029816E-12</v>
      </c>
      <c r="GC180" s="22">
        <f t="shared" si="186"/>
        <v>3.1457867471021712E-12</v>
      </c>
      <c r="GD180" s="60">
        <f t="shared" si="134"/>
        <v>289.19348642289839</v>
      </c>
      <c r="GE180" s="60">
        <f ca="1">AVERAGE(OFFSET($GD$3,0,0,'Données projet'!$E$17+1,1))-AVERAGE(OFFSET($H$3,0,0,'Données projet'!$E$17+1,1))</f>
        <v>344.62096650402731</v>
      </c>
      <c r="GF180" s="60">
        <f t="shared" si="158"/>
        <v>277.30931495079346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-6.8212102632969618E-13</v>
      </c>
      <c r="O181" s="14">
        <f>N181*VLOOKUP('Données projet'!$B$9,Paramètres!$A$1:$I$89,3,0)*VLOOKUP('Données projet'!$B$9,Paramètres!$A$1:$I$89,5,0)</f>
        <v>-5.8525984059087939E-13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632.26350546340541</v>
      </c>
      <c r="T181" s="60">
        <f t="shared" si="142"/>
        <v>340.45335016367915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2.7134774427395314E-13</v>
      </c>
      <c r="AK181" s="14">
        <f t="shared" si="164"/>
        <v>3.6292411711343559E-12</v>
      </c>
      <c r="AL181" s="22">
        <f t="shared" si="165"/>
        <v>6.7935256943361388E-12</v>
      </c>
      <c r="AM181" s="60">
        <f t="shared" si="113"/>
        <v>289.26530351148699</v>
      </c>
      <c r="AN181" s="60">
        <f ca="1">AVERAGE(OFFSET($AM$3,0,0,'Données projet'!$E$10+1,1))-AVERAGE(OFFSET($H$3,0,0,'Données projet'!$E$10+1,1))</f>
        <v>336.25341821407534</v>
      </c>
      <c r="AO181" s="60">
        <f t="shared" si="144"/>
        <v>360.3246221345039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2.7134774427395314E-13</v>
      </c>
      <c r="BF181" s="14">
        <f t="shared" si="167"/>
        <v>3.6292411711343559E-12</v>
      </c>
      <c r="BG181" s="22">
        <f t="shared" si="168"/>
        <v>6.7935256943361388E-12</v>
      </c>
      <c r="BH181" s="60">
        <f t="shared" si="116"/>
        <v>289.26530351148699</v>
      </c>
      <c r="BI181" s="60">
        <f ca="1">AVERAGE(OFFSET($BH$3,0,0,'Données projet'!$E$11+1,1))-AVERAGE(OFFSET($H$3,0,0,'Données projet'!$E$11+1,1))</f>
        <v>336.25341821407534</v>
      </c>
      <c r="BJ181" s="60">
        <f t="shared" si="146"/>
        <v>360.3246221345039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-8.7434273154940449E-13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469.67944008675863</v>
      </c>
      <c r="CE181" s="60">
        <f t="shared" si="148"/>
        <v>266.11908070867173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8.8675733422860506E-14</v>
      </c>
      <c r="CV181" s="14">
        <f t="shared" si="173"/>
        <v>1.3509285393066301E-12</v>
      </c>
      <c r="CW181" s="22">
        <f t="shared" si="174"/>
        <v>2.5073107750038623E-12</v>
      </c>
      <c r="CX181" s="60">
        <f t="shared" si="122"/>
        <v>289.26530351148267</v>
      </c>
      <c r="CY181" s="60">
        <f ca="1">AVERAGE(OFFSET($CX$3,0,0,'Données projet'!$E$13+1,1))-AVERAGE(OFFSET($H$3,0,0,'Données projet'!$E$13+1,1))</f>
        <v>312.59632808777332</v>
      </c>
      <c r="CZ181" s="60">
        <f t="shared" si="150"/>
        <v>302.59481222418219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1.0818439477588981E-13</v>
      </c>
      <c r="DQ181" s="14">
        <f t="shared" si="176"/>
        <v>1.6104228458716316E-12</v>
      </c>
      <c r="DR181" s="22">
        <f t="shared" si="177"/>
        <v>2.9932409441277661E-12</v>
      </c>
      <c r="DS181" s="60">
        <f t="shared" si="125"/>
        <v>289.26530351148318</v>
      </c>
      <c r="DT181" s="60">
        <f ca="1">AVERAGE(OFFSET($DS$3,0,0,'Données projet'!$E$14+1,1))-AVERAGE(OFFSET($H$3,0,0,'Données projet'!$E$14+1,1))</f>
        <v>398.29746143975166</v>
      </c>
      <c r="DU181" s="60">
        <f t="shared" si="152"/>
        <v>300.63705521148802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-9.6633812063373625E-13</v>
      </c>
      <c r="EK181" s="18">
        <f>EJ181*VLOOKUP('Données projet'!$B$15,Paramètres!$A$1:$I$89,3,0)*VLOOKUP('Données projet'!$B$15,Paramètres!$A$1:$I$89,5,0)</f>
        <v>-9.3464223027694966E-13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496.33873798282525</v>
      </c>
      <c r="EP181" s="60">
        <f t="shared" si="154"/>
        <v>280.25465074992246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3.4106051316484809E-13</v>
      </c>
      <c r="FF181" s="18">
        <f>FE181*VLOOKUP('Données projet'!$B$16,Paramètres!$A$1:$I$89,3,0)*VLOOKUP('Données projet'!$B$16,Paramètres!$A$1:$I$89,5,0)</f>
        <v>2.9795046430081134E-13</v>
      </c>
      <c r="FG181" s="14">
        <f t="shared" si="182"/>
        <v>3.9419014464513778E-12</v>
      </c>
      <c r="FH181" s="22">
        <f t="shared" si="183"/>
        <v>7.384408744560063E-12</v>
      </c>
      <c r="FI181" s="60">
        <f t="shared" si="131"/>
        <v>289.26530351148756</v>
      </c>
      <c r="FJ181" s="60">
        <f ca="1">AVERAGE(OFFSET($FI$3,0,0,'Données projet'!$E$16+1,1))-AVERAGE(OFFSET($H$3,0,0,'Données projet'!$E$16+1,1))</f>
        <v>363.28611056308665</v>
      </c>
      <c r="FK181" s="60">
        <f t="shared" si="156"/>
        <v>389.43647559455974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1.7053025658242404E-13</v>
      </c>
      <c r="GA181" s="18">
        <f>FZ181*VLOOKUP('Données projet'!$B$17,Paramètres!$A$1:$I$89,3,0)*VLOOKUP('Données projet'!$B$17,Paramètres!$A$1:$I$89,5,0)</f>
        <v>1.1439169611549005E-13</v>
      </c>
      <c r="GB181" s="14">
        <f t="shared" si="185"/>
        <v>1.6918016515029816E-12</v>
      </c>
      <c r="GC181" s="22">
        <f t="shared" si="186"/>
        <v>3.1457867471021712E-12</v>
      </c>
      <c r="GD181" s="60">
        <f t="shared" si="134"/>
        <v>289.2653035114833</v>
      </c>
      <c r="GE181" s="60">
        <f ca="1">AVERAGE(OFFSET($GD$3,0,0,'Données projet'!$E$17+1,1))-AVERAGE(OFFSET($H$3,0,0,'Données projet'!$E$17+1,1))</f>
        <v>344.62096650402731</v>
      </c>
      <c r="GF181" s="60">
        <f t="shared" si="158"/>
        <v>277.30931495079346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-6.8212102632969618E-13</v>
      </c>
      <c r="O182" s="14">
        <f>N182*VLOOKUP('Données projet'!$B$9,Paramètres!$A$1:$I$89,3,0)*VLOOKUP('Données projet'!$B$9,Paramètres!$A$1:$I$89,5,0)</f>
        <v>-5.8525984059087939E-13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632.26350546340541</v>
      </c>
      <c r="T182" s="60">
        <f t="shared" si="142"/>
        <v>340.45335016367915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2.7134774427395314E-13</v>
      </c>
      <c r="AK182" s="14">
        <f t="shared" si="164"/>
        <v>3.6292411711343559E-12</v>
      </c>
      <c r="AL182" s="22">
        <f t="shared" si="165"/>
        <v>6.7935256943361388E-12</v>
      </c>
      <c r="AM182" s="60">
        <f t="shared" si="113"/>
        <v>289.33587473414394</v>
      </c>
      <c r="AN182" s="60">
        <f ca="1">AVERAGE(OFFSET($AM$3,0,0,'Données projet'!$E$10+1,1))-AVERAGE(OFFSET($H$3,0,0,'Données projet'!$E$10+1,1))</f>
        <v>336.25341821407534</v>
      </c>
      <c r="AO182" s="60">
        <f t="shared" si="144"/>
        <v>360.3246221345039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2.7134774427395314E-13</v>
      </c>
      <c r="BF182" s="14">
        <f t="shared" si="167"/>
        <v>3.6292411711343559E-12</v>
      </c>
      <c r="BG182" s="22">
        <f t="shared" si="168"/>
        <v>6.7935256943361388E-12</v>
      </c>
      <c r="BH182" s="60">
        <f t="shared" si="116"/>
        <v>289.33587473414394</v>
      </c>
      <c r="BI182" s="60">
        <f ca="1">AVERAGE(OFFSET($BH$3,0,0,'Données projet'!$E$11+1,1))-AVERAGE(OFFSET($H$3,0,0,'Données projet'!$E$11+1,1))</f>
        <v>336.25341821407534</v>
      </c>
      <c r="BJ182" s="60">
        <f t="shared" si="146"/>
        <v>360.3246221345039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-8.7434273154940449E-13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469.67944008675863</v>
      </c>
      <c r="CE182" s="60">
        <f t="shared" si="148"/>
        <v>266.11908070867173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8.8675733422860506E-14</v>
      </c>
      <c r="CV182" s="14">
        <f t="shared" si="173"/>
        <v>1.3509285393066301E-12</v>
      </c>
      <c r="CW182" s="22">
        <f t="shared" si="174"/>
        <v>2.5073107750038623E-12</v>
      </c>
      <c r="CX182" s="60">
        <f t="shared" si="122"/>
        <v>289.33587473413962</v>
      </c>
      <c r="CY182" s="60">
        <f ca="1">AVERAGE(OFFSET($CX$3,0,0,'Données projet'!$E$13+1,1))-AVERAGE(OFFSET($H$3,0,0,'Données projet'!$E$13+1,1))</f>
        <v>312.59632808777332</v>
      </c>
      <c r="CZ182" s="60">
        <f t="shared" si="150"/>
        <v>302.59481222418219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1.0818439477588981E-13</v>
      </c>
      <c r="DQ182" s="14">
        <f t="shared" si="176"/>
        <v>1.6104228458716316E-12</v>
      </c>
      <c r="DR182" s="22">
        <f t="shared" si="177"/>
        <v>2.9932409441277661E-12</v>
      </c>
      <c r="DS182" s="60">
        <f t="shared" si="125"/>
        <v>289.33587473414013</v>
      </c>
      <c r="DT182" s="60">
        <f ca="1">AVERAGE(OFFSET($DS$3,0,0,'Données projet'!$E$14+1,1))-AVERAGE(OFFSET($H$3,0,0,'Données projet'!$E$14+1,1))</f>
        <v>398.29746143975166</v>
      </c>
      <c r="DU182" s="60">
        <f t="shared" si="152"/>
        <v>300.63705521148802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-9.6633812063373625E-13</v>
      </c>
      <c r="EK182" s="18">
        <f>EJ182*VLOOKUP('Données projet'!$B$15,Paramètres!$A$1:$I$89,3,0)*VLOOKUP('Données projet'!$B$15,Paramètres!$A$1:$I$89,5,0)</f>
        <v>-9.3464223027694966E-13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496.33873798282525</v>
      </c>
      <c r="EP182" s="60">
        <f t="shared" si="154"/>
        <v>280.25465074992246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3.4106051316484809E-13</v>
      </c>
      <c r="FF182" s="18">
        <f>FE182*VLOOKUP('Données projet'!$B$16,Paramètres!$A$1:$I$89,3,0)*VLOOKUP('Données projet'!$B$16,Paramètres!$A$1:$I$89,5,0)</f>
        <v>2.9795046430081134E-13</v>
      </c>
      <c r="FG182" s="14">
        <f t="shared" si="182"/>
        <v>3.9419014464513778E-12</v>
      </c>
      <c r="FH182" s="22">
        <f t="shared" si="183"/>
        <v>7.384408744560063E-12</v>
      </c>
      <c r="FI182" s="60">
        <f t="shared" si="131"/>
        <v>289.33587473414451</v>
      </c>
      <c r="FJ182" s="60">
        <f ca="1">AVERAGE(OFFSET($FI$3,0,0,'Données projet'!$E$16+1,1))-AVERAGE(OFFSET($H$3,0,0,'Données projet'!$E$16+1,1))</f>
        <v>363.28611056308665</v>
      </c>
      <c r="FK182" s="60">
        <f t="shared" si="156"/>
        <v>389.43647559455974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1.7053025658242404E-13</v>
      </c>
      <c r="GA182" s="18">
        <f>FZ182*VLOOKUP('Données projet'!$B$17,Paramètres!$A$1:$I$89,3,0)*VLOOKUP('Données projet'!$B$17,Paramètres!$A$1:$I$89,5,0)</f>
        <v>1.1439169611549005E-13</v>
      </c>
      <c r="GB182" s="14">
        <f t="shared" si="185"/>
        <v>1.6918016515029816E-12</v>
      </c>
      <c r="GC182" s="22">
        <f t="shared" si="186"/>
        <v>3.1457867471021712E-12</v>
      </c>
      <c r="GD182" s="60">
        <f t="shared" si="134"/>
        <v>289.33587473414025</v>
      </c>
      <c r="GE182" s="60">
        <f ca="1">AVERAGE(OFFSET($GD$3,0,0,'Données projet'!$E$17+1,1))-AVERAGE(OFFSET($H$3,0,0,'Données projet'!$E$17+1,1))</f>
        <v>344.62096650402731</v>
      </c>
      <c r="GF182" s="60">
        <f t="shared" si="158"/>
        <v>277.30931495079346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-6.8212102632969618E-13</v>
      </c>
      <c r="O183" s="14">
        <f>N183*VLOOKUP('Données projet'!$B$9,Paramètres!$A$1:$I$89,3,0)*VLOOKUP('Données projet'!$B$9,Paramètres!$A$1:$I$89,5,0)</f>
        <v>-5.8525984059087939E-13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632.26350546340541</v>
      </c>
      <c r="T183" s="60">
        <f t="shared" si="142"/>
        <v>340.45335016367915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2.7134774427395314E-13</v>
      </c>
      <c r="AK183" s="14">
        <f t="shared" si="164"/>
        <v>3.6292411711343559E-12</v>
      </c>
      <c r="AL183" s="22">
        <f t="shared" si="165"/>
        <v>6.7935256943361388E-12</v>
      </c>
      <c r="AM183" s="60">
        <f t="shared" si="113"/>
        <v>289.40522170386146</v>
      </c>
      <c r="AN183" s="60">
        <f ca="1">AVERAGE(OFFSET($AM$3,0,0,'Données projet'!$E$10+1,1))-AVERAGE(OFFSET($H$3,0,0,'Données projet'!$E$10+1,1))</f>
        <v>336.25341821407534</v>
      </c>
      <c r="AO183" s="60">
        <f t="shared" si="144"/>
        <v>360.3246221345039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2.7134774427395314E-13</v>
      </c>
      <c r="BF183" s="14">
        <f t="shared" si="167"/>
        <v>3.6292411711343559E-12</v>
      </c>
      <c r="BG183" s="22">
        <f t="shared" si="168"/>
        <v>6.7935256943361388E-12</v>
      </c>
      <c r="BH183" s="60">
        <f t="shared" si="116"/>
        <v>289.40522170386146</v>
      </c>
      <c r="BI183" s="60">
        <f ca="1">AVERAGE(OFFSET($BH$3,0,0,'Données projet'!$E$11+1,1))-AVERAGE(OFFSET($H$3,0,0,'Données projet'!$E$11+1,1))</f>
        <v>336.25341821407534</v>
      </c>
      <c r="BJ183" s="60">
        <f t="shared" si="146"/>
        <v>360.3246221345039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-8.7434273154940449E-13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469.67944008675863</v>
      </c>
      <c r="CE183" s="60">
        <f t="shared" si="148"/>
        <v>266.11908070867173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8.8675733422860506E-14</v>
      </c>
      <c r="CV183" s="14">
        <f t="shared" si="173"/>
        <v>1.3509285393066301E-12</v>
      </c>
      <c r="CW183" s="22">
        <f t="shared" si="174"/>
        <v>2.5073107750038623E-12</v>
      </c>
      <c r="CX183" s="60">
        <f t="shared" si="122"/>
        <v>289.40522170385714</v>
      </c>
      <c r="CY183" s="60">
        <f ca="1">AVERAGE(OFFSET($CX$3,0,0,'Données projet'!$E$13+1,1))-AVERAGE(OFFSET($H$3,0,0,'Données projet'!$E$13+1,1))</f>
        <v>312.59632808777332</v>
      </c>
      <c r="CZ183" s="60">
        <f t="shared" si="150"/>
        <v>302.59481222418219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1.0818439477588981E-13</v>
      </c>
      <c r="DQ183" s="14">
        <f t="shared" si="176"/>
        <v>1.6104228458716316E-12</v>
      </c>
      <c r="DR183" s="22">
        <f t="shared" si="177"/>
        <v>2.9932409441277661E-12</v>
      </c>
      <c r="DS183" s="60">
        <f t="shared" si="125"/>
        <v>289.40522170385765</v>
      </c>
      <c r="DT183" s="60">
        <f ca="1">AVERAGE(OFFSET($DS$3,0,0,'Données projet'!$E$14+1,1))-AVERAGE(OFFSET($H$3,0,0,'Données projet'!$E$14+1,1))</f>
        <v>398.29746143975166</v>
      </c>
      <c r="DU183" s="60">
        <f t="shared" si="152"/>
        <v>300.63705521148802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-9.6633812063373625E-13</v>
      </c>
      <c r="EK183" s="18">
        <f>EJ183*VLOOKUP('Données projet'!$B$15,Paramètres!$A$1:$I$89,3,0)*VLOOKUP('Données projet'!$B$15,Paramètres!$A$1:$I$89,5,0)</f>
        <v>-9.3464223027694966E-13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496.33873798282525</v>
      </c>
      <c r="EP183" s="60">
        <f t="shared" si="154"/>
        <v>280.25465074992246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3.4106051316484809E-13</v>
      </c>
      <c r="FF183" s="18">
        <f>FE183*VLOOKUP('Données projet'!$B$16,Paramètres!$A$1:$I$89,3,0)*VLOOKUP('Données projet'!$B$16,Paramètres!$A$1:$I$89,5,0)</f>
        <v>2.9795046430081134E-13</v>
      </c>
      <c r="FG183" s="14">
        <f t="shared" si="182"/>
        <v>3.9419014464513778E-12</v>
      </c>
      <c r="FH183" s="22">
        <f t="shared" si="183"/>
        <v>7.384408744560063E-12</v>
      </c>
      <c r="FI183" s="60">
        <f t="shared" si="131"/>
        <v>289.40522170386203</v>
      </c>
      <c r="FJ183" s="60">
        <f ca="1">AVERAGE(OFFSET($FI$3,0,0,'Données projet'!$E$16+1,1))-AVERAGE(OFFSET($H$3,0,0,'Données projet'!$E$16+1,1))</f>
        <v>363.28611056308665</v>
      </c>
      <c r="FK183" s="60">
        <f t="shared" si="156"/>
        <v>389.43647559455974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1.7053025658242404E-13</v>
      </c>
      <c r="GA183" s="18">
        <f>FZ183*VLOOKUP('Données projet'!$B$17,Paramètres!$A$1:$I$89,3,0)*VLOOKUP('Données projet'!$B$17,Paramètres!$A$1:$I$89,5,0)</f>
        <v>1.1439169611549005E-13</v>
      </c>
      <c r="GB183" s="14">
        <f t="shared" si="185"/>
        <v>1.6918016515029816E-12</v>
      </c>
      <c r="GC183" s="22">
        <f t="shared" si="186"/>
        <v>3.1457867471021712E-12</v>
      </c>
      <c r="GD183" s="60">
        <f t="shared" si="134"/>
        <v>289.40522170385776</v>
      </c>
      <c r="GE183" s="60">
        <f ca="1">AVERAGE(OFFSET($GD$3,0,0,'Données projet'!$E$17+1,1))-AVERAGE(OFFSET($H$3,0,0,'Données projet'!$E$17+1,1))</f>
        <v>344.62096650402731</v>
      </c>
      <c r="GF183" s="60">
        <f t="shared" si="158"/>
        <v>277.30931495079346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-6.8212102632969618E-13</v>
      </c>
      <c r="O184" s="14">
        <f>N184*VLOOKUP('Données projet'!$B$9,Paramètres!$A$1:$I$89,3,0)*VLOOKUP('Données projet'!$B$9,Paramètres!$A$1:$I$89,5,0)</f>
        <v>-5.8525984059087939E-13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632.26350546340541</v>
      </c>
      <c r="T184" s="60">
        <f t="shared" si="142"/>
        <v>340.45335016367915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2.7134774427395314E-13</v>
      </c>
      <c r="AK184" s="14">
        <f t="shared" si="164"/>
        <v>3.6292411711343559E-12</v>
      </c>
      <c r="AL184" s="22">
        <f t="shared" si="165"/>
        <v>6.7935256943361388E-12</v>
      </c>
      <c r="AM184" s="60">
        <f t="shared" si="113"/>
        <v>289.47336565869091</v>
      </c>
      <c r="AN184" s="60">
        <f ca="1">AVERAGE(OFFSET($AM$3,0,0,'Données projet'!$E$10+1,1))-AVERAGE(OFFSET($H$3,0,0,'Données projet'!$E$10+1,1))</f>
        <v>336.25341821407534</v>
      </c>
      <c r="AO184" s="60">
        <f t="shared" si="144"/>
        <v>360.3246221345039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2.7134774427395314E-13</v>
      </c>
      <c r="BF184" s="14">
        <f t="shared" si="167"/>
        <v>3.6292411711343559E-12</v>
      </c>
      <c r="BG184" s="22">
        <f t="shared" si="168"/>
        <v>6.7935256943361388E-12</v>
      </c>
      <c r="BH184" s="60">
        <f t="shared" si="116"/>
        <v>289.47336565869091</v>
      </c>
      <c r="BI184" s="60">
        <f ca="1">AVERAGE(OFFSET($BH$3,0,0,'Données projet'!$E$11+1,1))-AVERAGE(OFFSET($H$3,0,0,'Données projet'!$E$11+1,1))</f>
        <v>336.25341821407534</v>
      </c>
      <c r="BJ184" s="60">
        <f t="shared" si="146"/>
        <v>360.3246221345039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-8.7434273154940449E-13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469.67944008675863</v>
      </c>
      <c r="CE184" s="60">
        <f t="shared" si="148"/>
        <v>266.11908070867173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8.8675733422860506E-14</v>
      </c>
      <c r="CV184" s="14">
        <f t="shared" si="173"/>
        <v>1.3509285393066301E-12</v>
      </c>
      <c r="CW184" s="22">
        <f t="shared" si="174"/>
        <v>2.5073107750038623E-12</v>
      </c>
      <c r="CX184" s="60">
        <f t="shared" si="122"/>
        <v>289.47336565868659</v>
      </c>
      <c r="CY184" s="60">
        <f ca="1">AVERAGE(OFFSET($CX$3,0,0,'Données projet'!$E$13+1,1))-AVERAGE(OFFSET($H$3,0,0,'Données projet'!$E$13+1,1))</f>
        <v>312.59632808777332</v>
      </c>
      <c r="CZ184" s="60">
        <f t="shared" si="150"/>
        <v>302.59481222418219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1.0818439477588981E-13</v>
      </c>
      <c r="DQ184" s="14">
        <f t="shared" si="176"/>
        <v>1.6104228458716316E-12</v>
      </c>
      <c r="DR184" s="22">
        <f t="shared" si="177"/>
        <v>2.9932409441277661E-12</v>
      </c>
      <c r="DS184" s="60">
        <f t="shared" si="125"/>
        <v>289.4733656586871</v>
      </c>
      <c r="DT184" s="60">
        <f ca="1">AVERAGE(OFFSET($DS$3,0,0,'Données projet'!$E$14+1,1))-AVERAGE(OFFSET($H$3,0,0,'Données projet'!$E$14+1,1))</f>
        <v>398.29746143975166</v>
      </c>
      <c r="DU184" s="60">
        <f t="shared" si="152"/>
        <v>300.63705521148802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-9.6633812063373625E-13</v>
      </c>
      <c r="EK184" s="18">
        <f>EJ184*VLOOKUP('Données projet'!$B$15,Paramètres!$A$1:$I$89,3,0)*VLOOKUP('Données projet'!$B$15,Paramètres!$A$1:$I$89,5,0)</f>
        <v>-9.3464223027694966E-13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496.33873798282525</v>
      </c>
      <c r="EP184" s="60">
        <f t="shared" si="154"/>
        <v>280.25465074992246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3.4106051316484809E-13</v>
      </c>
      <c r="FF184" s="18">
        <f>FE184*VLOOKUP('Données projet'!$B$16,Paramètres!$A$1:$I$89,3,0)*VLOOKUP('Données projet'!$B$16,Paramètres!$A$1:$I$89,5,0)</f>
        <v>2.9795046430081134E-13</v>
      </c>
      <c r="FG184" s="14">
        <f t="shared" si="182"/>
        <v>3.9419014464513778E-12</v>
      </c>
      <c r="FH184" s="22">
        <f t="shared" si="183"/>
        <v>7.384408744560063E-12</v>
      </c>
      <c r="FI184" s="60">
        <f t="shared" si="131"/>
        <v>289.47336565869148</v>
      </c>
      <c r="FJ184" s="60">
        <f ca="1">AVERAGE(OFFSET($FI$3,0,0,'Données projet'!$E$16+1,1))-AVERAGE(OFFSET($H$3,0,0,'Données projet'!$E$16+1,1))</f>
        <v>363.28611056308665</v>
      </c>
      <c r="FK184" s="60">
        <f t="shared" si="156"/>
        <v>389.43647559455974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1.7053025658242404E-13</v>
      </c>
      <c r="GA184" s="18">
        <f>FZ184*VLOOKUP('Données projet'!$B$17,Paramètres!$A$1:$I$89,3,0)*VLOOKUP('Données projet'!$B$17,Paramètres!$A$1:$I$89,5,0)</f>
        <v>1.1439169611549005E-13</v>
      </c>
      <c r="GB184" s="14">
        <f t="shared" si="185"/>
        <v>1.6918016515029816E-12</v>
      </c>
      <c r="GC184" s="22">
        <f t="shared" si="186"/>
        <v>3.1457867471021712E-12</v>
      </c>
      <c r="GD184" s="60">
        <f t="shared" si="134"/>
        <v>289.47336565868721</v>
      </c>
      <c r="GE184" s="60">
        <f ca="1">AVERAGE(OFFSET($GD$3,0,0,'Données projet'!$E$17+1,1))-AVERAGE(OFFSET($H$3,0,0,'Données projet'!$E$17+1,1))</f>
        <v>344.62096650402731</v>
      </c>
      <c r="GF184" s="60">
        <f t="shared" si="158"/>
        <v>277.30931495079346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-6.8212102632969618E-13</v>
      </c>
      <c r="O185" s="14">
        <f>N185*VLOOKUP('Données projet'!$B$9,Paramètres!$A$1:$I$89,3,0)*VLOOKUP('Données projet'!$B$9,Paramètres!$A$1:$I$89,5,0)</f>
        <v>-5.8525984059087939E-13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632.26350546340541</v>
      </c>
      <c r="T185" s="60">
        <f t="shared" si="142"/>
        <v>340.45335016367915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2.7134774427395314E-13</v>
      </c>
      <c r="AK185" s="14">
        <f t="shared" si="164"/>
        <v>3.6292411711343559E-12</v>
      </c>
      <c r="AL185" s="22">
        <f t="shared" si="165"/>
        <v>6.7935256943361388E-12</v>
      </c>
      <c r="AM185" s="60">
        <f t="shared" si="113"/>
        <v>289.54032746825123</v>
      </c>
      <c r="AN185" s="60">
        <f ca="1">AVERAGE(OFFSET($AM$3,0,0,'Données projet'!$E$10+1,1))-AVERAGE(OFFSET($H$3,0,0,'Données projet'!$E$10+1,1))</f>
        <v>336.25341821407534</v>
      </c>
      <c r="AO185" s="60">
        <f t="shared" si="144"/>
        <v>360.3246221345039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2.7134774427395314E-13</v>
      </c>
      <c r="BF185" s="14">
        <f t="shared" si="167"/>
        <v>3.6292411711343559E-12</v>
      </c>
      <c r="BG185" s="22">
        <f t="shared" si="168"/>
        <v>6.7935256943361388E-12</v>
      </c>
      <c r="BH185" s="60">
        <f t="shared" si="116"/>
        <v>289.54032746825123</v>
      </c>
      <c r="BI185" s="60">
        <f ca="1">AVERAGE(OFFSET($BH$3,0,0,'Données projet'!$E$11+1,1))-AVERAGE(OFFSET($H$3,0,0,'Données projet'!$E$11+1,1))</f>
        <v>336.25341821407534</v>
      </c>
      <c r="BJ185" s="60">
        <f t="shared" si="146"/>
        <v>360.3246221345039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-8.7434273154940449E-13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469.67944008675863</v>
      </c>
      <c r="CE185" s="60">
        <f t="shared" si="148"/>
        <v>266.11908070867173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8.8675733422860506E-14</v>
      </c>
      <c r="CV185" s="14">
        <f t="shared" si="173"/>
        <v>1.3509285393066301E-12</v>
      </c>
      <c r="CW185" s="22">
        <f t="shared" si="174"/>
        <v>2.5073107750038623E-12</v>
      </c>
      <c r="CX185" s="60">
        <f t="shared" si="122"/>
        <v>289.54032746824691</v>
      </c>
      <c r="CY185" s="60">
        <f ca="1">AVERAGE(OFFSET($CX$3,0,0,'Données projet'!$E$13+1,1))-AVERAGE(OFFSET($H$3,0,0,'Données projet'!$E$13+1,1))</f>
        <v>312.59632808777332</v>
      </c>
      <c r="CZ185" s="60">
        <f t="shared" si="150"/>
        <v>302.59481222418219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1.0818439477588981E-13</v>
      </c>
      <c r="DQ185" s="14">
        <f t="shared" si="176"/>
        <v>1.6104228458716316E-12</v>
      </c>
      <c r="DR185" s="22">
        <f t="shared" si="177"/>
        <v>2.9932409441277661E-12</v>
      </c>
      <c r="DS185" s="60">
        <f t="shared" si="125"/>
        <v>289.54032746824743</v>
      </c>
      <c r="DT185" s="60">
        <f ca="1">AVERAGE(OFFSET($DS$3,0,0,'Données projet'!$E$14+1,1))-AVERAGE(OFFSET($H$3,0,0,'Données projet'!$E$14+1,1))</f>
        <v>398.29746143975166</v>
      </c>
      <c r="DU185" s="60">
        <f t="shared" si="152"/>
        <v>300.63705521148802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-9.6633812063373625E-13</v>
      </c>
      <c r="EK185" s="18">
        <f>EJ185*VLOOKUP('Données projet'!$B$15,Paramètres!$A$1:$I$89,3,0)*VLOOKUP('Données projet'!$B$15,Paramètres!$A$1:$I$89,5,0)</f>
        <v>-9.3464223027694966E-13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496.33873798282525</v>
      </c>
      <c r="EP185" s="60">
        <f t="shared" si="154"/>
        <v>280.25465074992246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3.4106051316484809E-13</v>
      </c>
      <c r="FF185" s="18">
        <f>FE185*VLOOKUP('Données projet'!$B$16,Paramètres!$A$1:$I$89,3,0)*VLOOKUP('Données projet'!$B$16,Paramètres!$A$1:$I$89,5,0)</f>
        <v>2.9795046430081134E-13</v>
      </c>
      <c r="FG185" s="14">
        <f t="shared" si="182"/>
        <v>3.9419014464513778E-12</v>
      </c>
      <c r="FH185" s="22">
        <f t="shared" si="183"/>
        <v>7.384408744560063E-12</v>
      </c>
      <c r="FI185" s="60">
        <f t="shared" si="131"/>
        <v>289.5403274682518</v>
      </c>
      <c r="FJ185" s="60">
        <f ca="1">AVERAGE(OFFSET($FI$3,0,0,'Données projet'!$E$16+1,1))-AVERAGE(OFFSET($H$3,0,0,'Données projet'!$E$16+1,1))</f>
        <v>363.28611056308665</v>
      </c>
      <c r="FK185" s="60">
        <f t="shared" si="156"/>
        <v>389.43647559455974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1.7053025658242404E-13</v>
      </c>
      <c r="GA185" s="18">
        <f>FZ185*VLOOKUP('Données projet'!$B$17,Paramètres!$A$1:$I$89,3,0)*VLOOKUP('Données projet'!$B$17,Paramètres!$A$1:$I$89,5,0)</f>
        <v>1.1439169611549005E-13</v>
      </c>
      <c r="GB185" s="14">
        <f t="shared" si="185"/>
        <v>1.6918016515029816E-12</v>
      </c>
      <c r="GC185" s="22">
        <f t="shared" si="186"/>
        <v>3.1457867471021712E-12</v>
      </c>
      <c r="GD185" s="60">
        <f t="shared" si="134"/>
        <v>289.54032746824754</v>
      </c>
      <c r="GE185" s="60">
        <f ca="1">AVERAGE(OFFSET($GD$3,0,0,'Données projet'!$E$17+1,1))-AVERAGE(OFFSET($H$3,0,0,'Données projet'!$E$17+1,1))</f>
        <v>344.62096650402731</v>
      </c>
      <c r="GF185" s="60">
        <f t="shared" si="158"/>
        <v>277.30931495079346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-6.8212102632969618E-13</v>
      </c>
      <c r="O186" s="14">
        <f>N186*VLOOKUP('Données projet'!$B$9,Paramètres!$A$1:$I$89,3,0)*VLOOKUP('Données projet'!$B$9,Paramètres!$A$1:$I$89,5,0)</f>
        <v>-5.8525984059087939E-13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632.26350546340541</v>
      </c>
      <c r="T186" s="60">
        <f t="shared" si="142"/>
        <v>340.45335016367915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2.7134774427395314E-13</v>
      </c>
      <c r="AK186" s="14">
        <f t="shared" si="164"/>
        <v>3.6292411711343559E-12</v>
      </c>
      <c r="AL186" s="22">
        <f t="shared" si="165"/>
        <v>6.7935256943361388E-12</v>
      </c>
      <c r="AM186" s="60">
        <f t="shared" si="113"/>
        <v>289.60612764011978</v>
      </c>
      <c r="AN186" s="60">
        <f ca="1">AVERAGE(OFFSET($AM$3,0,0,'Données projet'!$E$10+1,1))-AVERAGE(OFFSET($H$3,0,0,'Données projet'!$E$10+1,1))</f>
        <v>336.25341821407534</v>
      </c>
      <c r="AO186" s="60">
        <f t="shared" si="144"/>
        <v>360.3246221345039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2.7134774427395314E-13</v>
      </c>
      <c r="BF186" s="14">
        <f t="shared" si="167"/>
        <v>3.6292411711343559E-12</v>
      </c>
      <c r="BG186" s="22">
        <f t="shared" si="168"/>
        <v>6.7935256943361388E-12</v>
      </c>
      <c r="BH186" s="60">
        <f t="shared" si="116"/>
        <v>289.60612764011978</v>
      </c>
      <c r="BI186" s="60">
        <f ca="1">AVERAGE(OFFSET($BH$3,0,0,'Données projet'!$E$11+1,1))-AVERAGE(OFFSET($H$3,0,0,'Données projet'!$E$11+1,1))</f>
        <v>336.25341821407534</v>
      </c>
      <c r="BJ186" s="60">
        <f t="shared" si="146"/>
        <v>360.3246221345039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-8.7434273154940449E-13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469.67944008675863</v>
      </c>
      <c r="CE186" s="60">
        <f t="shared" si="148"/>
        <v>266.11908070867173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8.8675733422860506E-14</v>
      </c>
      <c r="CV186" s="14">
        <f t="shared" si="173"/>
        <v>1.3509285393066301E-12</v>
      </c>
      <c r="CW186" s="22">
        <f t="shared" si="174"/>
        <v>2.5073107750038623E-12</v>
      </c>
      <c r="CX186" s="60">
        <f t="shared" si="122"/>
        <v>289.60612764011546</v>
      </c>
      <c r="CY186" s="60">
        <f ca="1">AVERAGE(OFFSET($CX$3,0,0,'Données projet'!$E$13+1,1))-AVERAGE(OFFSET($H$3,0,0,'Données projet'!$E$13+1,1))</f>
        <v>312.59632808777332</v>
      </c>
      <c r="CZ186" s="60">
        <f t="shared" si="150"/>
        <v>302.59481222418219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1.0818439477588981E-13</v>
      </c>
      <c r="DQ186" s="14">
        <f t="shared" si="176"/>
        <v>1.6104228458716316E-12</v>
      </c>
      <c r="DR186" s="22">
        <f t="shared" si="177"/>
        <v>2.9932409441277661E-12</v>
      </c>
      <c r="DS186" s="60">
        <f t="shared" si="125"/>
        <v>289.60612764011597</v>
      </c>
      <c r="DT186" s="60">
        <f ca="1">AVERAGE(OFFSET($DS$3,0,0,'Données projet'!$E$14+1,1))-AVERAGE(OFFSET($H$3,0,0,'Données projet'!$E$14+1,1))</f>
        <v>398.29746143975166</v>
      </c>
      <c r="DU186" s="60">
        <f t="shared" si="152"/>
        <v>300.63705521148802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-9.6633812063373625E-13</v>
      </c>
      <c r="EK186" s="18">
        <f>EJ186*VLOOKUP('Données projet'!$B$15,Paramètres!$A$1:$I$89,3,0)*VLOOKUP('Données projet'!$B$15,Paramètres!$A$1:$I$89,5,0)</f>
        <v>-9.3464223027694966E-13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496.33873798282525</v>
      </c>
      <c r="EP186" s="60">
        <f t="shared" si="154"/>
        <v>280.25465074992246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3.4106051316484809E-13</v>
      </c>
      <c r="FF186" s="18">
        <f>FE186*VLOOKUP('Données projet'!$B$16,Paramètres!$A$1:$I$89,3,0)*VLOOKUP('Données projet'!$B$16,Paramètres!$A$1:$I$89,5,0)</f>
        <v>2.9795046430081134E-13</v>
      </c>
      <c r="FG186" s="14">
        <f t="shared" si="182"/>
        <v>3.9419014464513778E-12</v>
      </c>
      <c r="FH186" s="22">
        <f t="shared" si="183"/>
        <v>7.384408744560063E-12</v>
      </c>
      <c r="FI186" s="60">
        <f t="shared" si="131"/>
        <v>289.60612764012035</v>
      </c>
      <c r="FJ186" s="60">
        <f ca="1">AVERAGE(OFFSET($FI$3,0,0,'Données projet'!$E$16+1,1))-AVERAGE(OFFSET($H$3,0,0,'Données projet'!$E$16+1,1))</f>
        <v>363.28611056308665</v>
      </c>
      <c r="FK186" s="60">
        <f t="shared" si="156"/>
        <v>389.43647559455974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1.7053025658242404E-13</v>
      </c>
      <c r="GA186" s="18">
        <f>FZ186*VLOOKUP('Données projet'!$B$17,Paramètres!$A$1:$I$89,3,0)*VLOOKUP('Données projet'!$B$17,Paramètres!$A$1:$I$89,5,0)</f>
        <v>1.1439169611549005E-13</v>
      </c>
      <c r="GB186" s="14">
        <f t="shared" si="185"/>
        <v>1.6918016515029816E-12</v>
      </c>
      <c r="GC186" s="22">
        <f t="shared" si="186"/>
        <v>3.1457867471021712E-12</v>
      </c>
      <c r="GD186" s="60">
        <f t="shared" si="134"/>
        <v>289.60612764011609</v>
      </c>
      <c r="GE186" s="60">
        <f ca="1">AVERAGE(OFFSET($GD$3,0,0,'Données projet'!$E$17+1,1))-AVERAGE(OFFSET($H$3,0,0,'Données projet'!$E$17+1,1))</f>
        <v>344.62096650402731</v>
      </c>
      <c r="GF186" s="60">
        <f t="shared" si="158"/>
        <v>277.30931495079346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-6.8212102632969618E-13</v>
      </c>
      <c r="O187" s="14">
        <f>N187*VLOOKUP('Données projet'!$B$9,Paramètres!$A$1:$I$89,3,0)*VLOOKUP('Données projet'!$B$9,Paramètres!$A$1:$I$89,5,0)</f>
        <v>-5.8525984059087939E-13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632.26350546340541</v>
      </c>
      <c r="T187" s="60">
        <f t="shared" si="142"/>
        <v>340.45335016367915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2.7134774427395314E-13</v>
      </c>
      <c r="AK187" s="14">
        <f t="shared" si="164"/>
        <v>3.6292411711343559E-12</v>
      </c>
      <c r="AL187" s="22">
        <f t="shared" si="165"/>
        <v>6.7935256943361388E-12</v>
      </c>
      <c r="AM187" s="60">
        <f t="shared" si="113"/>
        <v>289.67078632611356</v>
      </c>
      <c r="AN187" s="60">
        <f ca="1">AVERAGE(OFFSET($AM$3,0,0,'Données projet'!$E$10+1,1))-AVERAGE(OFFSET($H$3,0,0,'Données projet'!$E$10+1,1))</f>
        <v>336.25341821407534</v>
      </c>
      <c r="AO187" s="60">
        <f t="shared" si="144"/>
        <v>360.3246221345039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2.7134774427395314E-13</v>
      </c>
      <c r="BF187" s="14">
        <f t="shared" si="167"/>
        <v>3.6292411711343559E-12</v>
      </c>
      <c r="BG187" s="22">
        <f t="shared" si="168"/>
        <v>6.7935256943361388E-12</v>
      </c>
      <c r="BH187" s="60">
        <f t="shared" si="116"/>
        <v>289.67078632611356</v>
      </c>
      <c r="BI187" s="60">
        <f ca="1">AVERAGE(OFFSET($BH$3,0,0,'Données projet'!$E$11+1,1))-AVERAGE(OFFSET($H$3,0,0,'Données projet'!$E$11+1,1))</f>
        <v>336.25341821407534</v>
      </c>
      <c r="BJ187" s="60">
        <f t="shared" si="146"/>
        <v>360.3246221345039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-8.7434273154940449E-13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469.67944008675863</v>
      </c>
      <c r="CE187" s="60">
        <f t="shared" si="148"/>
        <v>266.11908070867173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8.8675733422860506E-14</v>
      </c>
      <c r="CV187" s="14">
        <f t="shared" si="173"/>
        <v>1.3509285393066301E-12</v>
      </c>
      <c r="CW187" s="22">
        <f t="shared" si="174"/>
        <v>2.5073107750038623E-12</v>
      </c>
      <c r="CX187" s="60">
        <f t="shared" si="122"/>
        <v>289.67078632610924</v>
      </c>
      <c r="CY187" s="60">
        <f ca="1">AVERAGE(OFFSET($CX$3,0,0,'Données projet'!$E$13+1,1))-AVERAGE(OFFSET($H$3,0,0,'Données projet'!$E$13+1,1))</f>
        <v>312.59632808777332</v>
      </c>
      <c r="CZ187" s="60">
        <f t="shared" si="150"/>
        <v>302.59481222418219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1.0818439477588981E-13</v>
      </c>
      <c r="DQ187" s="14">
        <f t="shared" si="176"/>
        <v>1.6104228458716316E-12</v>
      </c>
      <c r="DR187" s="22">
        <f t="shared" si="177"/>
        <v>2.9932409441277661E-12</v>
      </c>
      <c r="DS187" s="60">
        <f t="shared" si="125"/>
        <v>289.67078632610975</v>
      </c>
      <c r="DT187" s="60">
        <f ca="1">AVERAGE(OFFSET($DS$3,0,0,'Données projet'!$E$14+1,1))-AVERAGE(OFFSET($H$3,0,0,'Données projet'!$E$14+1,1))</f>
        <v>398.29746143975166</v>
      </c>
      <c r="DU187" s="60">
        <f t="shared" si="152"/>
        <v>300.63705521148802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-9.6633812063373625E-13</v>
      </c>
      <c r="EK187" s="18">
        <f>EJ187*VLOOKUP('Données projet'!$B$15,Paramètres!$A$1:$I$89,3,0)*VLOOKUP('Données projet'!$B$15,Paramètres!$A$1:$I$89,5,0)</f>
        <v>-9.3464223027694966E-13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496.33873798282525</v>
      </c>
      <c r="EP187" s="60">
        <f t="shared" si="154"/>
        <v>280.25465074992246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3.4106051316484809E-13</v>
      </c>
      <c r="FF187" s="18">
        <f>FE187*VLOOKUP('Données projet'!$B$16,Paramètres!$A$1:$I$89,3,0)*VLOOKUP('Données projet'!$B$16,Paramètres!$A$1:$I$89,5,0)</f>
        <v>2.9795046430081134E-13</v>
      </c>
      <c r="FG187" s="14">
        <f t="shared" si="182"/>
        <v>3.9419014464513778E-12</v>
      </c>
      <c r="FH187" s="22">
        <f t="shared" si="183"/>
        <v>7.384408744560063E-12</v>
      </c>
      <c r="FI187" s="60">
        <f t="shared" si="131"/>
        <v>289.67078632611413</v>
      </c>
      <c r="FJ187" s="60">
        <f ca="1">AVERAGE(OFFSET($FI$3,0,0,'Données projet'!$E$16+1,1))-AVERAGE(OFFSET($H$3,0,0,'Données projet'!$E$16+1,1))</f>
        <v>363.28611056308665</v>
      </c>
      <c r="FK187" s="60">
        <f t="shared" si="156"/>
        <v>389.43647559455974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1.7053025658242404E-13</v>
      </c>
      <c r="GA187" s="18">
        <f>FZ187*VLOOKUP('Données projet'!$B$17,Paramètres!$A$1:$I$89,3,0)*VLOOKUP('Données projet'!$B$17,Paramètres!$A$1:$I$89,5,0)</f>
        <v>1.1439169611549005E-13</v>
      </c>
      <c r="GB187" s="14">
        <f t="shared" si="185"/>
        <v>1.6918016515029816E-12</v>
      </c>
      <c r="GC187" s="22">
        <f t="shared" si="186"/>
        <v>3.1457867471021712E-12</v>
      </c>
      <c r="GD187" s="60">
        <f t="shared" si="134"/>
        <v>289.67078632610986</v>
      </c>
      <c r="GE187" s="60">
        <f ca="1">AVERAGE(OFFSET($GD$3,0,0,'Données projet'!$E$17+1,1))-AVERAGE(OFFSET($H$3,0,0,'Données projet'!$E$17+1,1))</f>
        <v>344.62096650402731</v>
      </c>
      <c r="GF187" s="60">
        <f t="shared" si="158"/>
        <v>277.30931495079346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-6.8212102632969618E-13</v>
      </c>
      <c r="O188" s="14">
        <f>N188*VLOOKUP('Données projet'!$B$9,Paramètres!$A$1:$I$89,3,0)*VLOOKUP('Données projet'!$B$9,Paramètres!$A$1:$I$89,5,0)</f>
        <v>-5.8525984059087939E-13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632.26350546340541</v>
      </c>
      <c r="T188" s="60">
        <f t="shared" si="142"/>
        <v>340.45335016367915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2.7134774427395314E-13</v>
      </c>
      <c r="AK188" s="14">
        <f t="shared" si="164"/>
        <v>3.6292411711343559E-12</v>
      </c>
      <c r="AL188" s="22">
        <f t="shared" si="165"/>
        <v>6.7935256943361388E-12</v>
      </c>
      <c r="AM188" s="60">
        <f t="shared" si="113"/>
        <v>289.73432332846056</v>
      </c>
      <c r="AN188" s="60">
        <f ca="1">AVERAGE(OFFSET($AM$3,0,0,'Données projet'!$E$10+1,1))-AVERAGE(OFFSET($H$3,0,0,'Données projet'!$E$10+1,1))</f>
        <v>336.25341821407534</v>
      </c>
      <c r="AO188" s="60">
        <f t="shared" si="144"/>
        <v>360.3246221345039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2.7134774427395314E-13</v>
      </c>
      <c r="BF188" s="14">
        <f t="shared" si="167"/>
        <v>3.6292411711343559E-12</v>
      </c>
      <c r="BG188" s="22">
        <f t="shared" si="168"/>
        <v>6.7935256943361388E-12</v>
      </c>
      <c r="BH188" s="60">
        <f t="shared" si="116"/>
        <v>289.73432332846056</v>
      </c>
      <c r="BI188" s="60">
        <f ca="1">AVERAGE(OFFSET($BH$3,0,0,'Données projet'!$E$11+1,1))-AVERAGE(OFFSET($H$3,0,0,'Données projet'!$E$11+1,1))</f>
        <v>336.25341821407534</v>
      </c>
      <c r="BJ188" s="60">
        <f t="shared" si="146"/>
        <v>360.3246221345039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-8.7434273154940449E-13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469.67944008675863</v>
      </c>
      <c r="CE188" s="60">
        <f t="shared" si="148"/>
        <v>266.11908070867173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8.8675733422860506E-14</v>
      </c>
      <c r="CV188" s="14">
        <f t="shared" si="173"/>
        <v>1.3509285393066301E-12</v>
      </c>
      <c r="CW188" s="22">
        <f t="shared" si="174"/>
        <v>2.5073107750038623E-12</v>
      </c>
      <c r="CX188" s="60">
        <f t="shared" si="122"/>
        <v>289.73432332845624</v>
      </c>
      <c r="CY188" s="60">
        <f ca="1">AVERAGE(OFFSET($CX$3,0,0,'Données projet'!$E$13+1,1))-AVERAGE(OFFSET($H$3,0,0,'Données projet'!$E$13+1,1))</f>
        <v>312.59632808777332</v>
      </c>
      <c r="CZ188" s="60">
        <f t="shared" si="150"/>
        <v>302.59481222418219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1.0818439477588981E-13</v>
      </c>
      <c r="DQ188" s="14">
        <f t="shared" si="176"/>
        <v>1.6104228458716316E-12</v>
      </c>
      <c r="DR188" s="22">
        <f t="shared" si="177"/>
        <v>2.9932409441277661E-12</v>
      </c>
      <c r="DS188" s="60">
        <f t="shared" si="125"/>
        <v>289.73432332845675</v>
      </c>
      <c r="DT188" s="60">
        <f ca="1">AVERAGE(OFFSET($DS$3,0,0,'Données projet'!$E$14+1,1))-AVERAGE(OFFSET($H$3,0,0,'Données projet'!$E$14+1,1))</f>
        <v>398.29746143975166</v>
      </c>
      <c r="DU188" s="60">
        <f t="shared" si="152"/>
        <v>300.63705521148802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-9.6633812063373625E-13</v>
      </c>
      <c r="EK188" s="18">
        <f>EJ188*VLOOKUP('Données projet'!$B$15,Paramètres!$A$1:$I$89,3,0)*VLOOKUP('Données projet'!$B$15,Paramètres!$A$1:$I$89,5,0)</f>
        <v>-9.3464223027694966E-13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496.33873798282525</v>
      </c>
      <c r="EP188" s="60">
        <f t="shared" si="154"/>
        <v>280.25465074992246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3.4106051316484809E-13</v>
      </c>
      <c r="FF188" s="18">
        <f>FE188*VLOOKUP('Données projet'!$B$16,Paramètres!$A$1:$I$89,3,0)*VLOOKUP('Données projet'!$B$16,Paramètres!$A$1:$I$89,5,0)</f>
        <v>2.9795046430081134E-13</v>
      </c>
      <c r="FG188" s="14">
        <f t="shared" si="182"/>
        <v>3.9419014464513778E-12</v>
      </c>
      <c r="FH188" s="22">
        <f t="shared" si="183"/>
        <v>7.384408744560063E-12</v>
      </c>
      <c r="FI188" s="60">
        <f t="shared" si="131"/>
        <v>289.73432332846113</v>
      </c>
      <c r="FJ188" s="60">
        <f ca="1">AVERAGE(OFFSET($FI$3,0,0,'Données projet'!$E$16+1,1))-AVERAGE(OFFSET($H$3,0,0,'Données projet'!$E$16+1,1))</f>
        <v>363.28611056308665</v>
      </c>
      <c r="FK188" s="60">
        <f t="shared" si="156"/>
        <v>389.43647559455974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1.7053025658242404E-13</v>
      </c>
      <c r="GA188" s="18">
        <f>FZ188*VLOOKUP('Données projet'!$B$17,Paramètres!$A$1:$I$89,3,0)*VLOOKUP('Données projet'!$B$17,Paramètres!$A$1:$I$89,5,0)</f>
        <v>1.1439169611549005E-13</v>
      </c>
      <c r="GB188" s="14">
        <f t="shared" si="185"/>
        <v>1.6918016515029816E-12</v>
      </c>
      <c r="GC188" s="22">
        <f t="shared" si="186"/>
        <v>3.1457867471021712E-12</v>
      </c>
      <c r="GD188" s="60">
        <f t="shared" si="134"/>
        <v>289.73432332845687</v>
      </c>
      <c r="GE188" s="60">
        <f ca="1">AVERAGE(OFFSET($GD$3,0,0,'Données projet'!$E$17+1,1))-AVERAGE(OFFSET($H$3,0,0,'Données projet'!$E$17+1,1))</f>
        <v>344.62096650402731</v>
      </c>
      <c r="GF188" s="60">
        <f t="shared" si="158"/>
        <v>277.30931495079346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-6.8212102632969618E-13</v>
      </c>
      <c r="O189" s="14">
        <f>N189*VLOOKUP('Données projet'!$B$9,Paramètres!$A$1:$I$89,3,0)*VLOOKUP('Données projet'!$B$9,Paramètres!$A$1:$I$89,5,0)</f>
        <v>-5.8525984059087939E-13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632.26350546340541</v>
      </c>
      <c r="T189" s="60">
        <f t="shared" si="142"/>
        <v>340.45335016367915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2.7134774427395314E-13</v>
      </c>
      <c r="AK189" s="14">
        <f t="shared" si="164"/>
        <v>3.6292411711343559E-12</v>
      </c>
      <c r="AL189" s="22">
        <f t="shared" si="165"/>
        <v>6.7935256943361388E-12</v>
      </c>
      <c r="AM189" s="60">
        <f t="shared" si="113"/>
        <v>289.79675810586423</v>
      </c>
      <c r="AN189" s="60">
        <f ca="1">AVERAGE(OFFSET($AM$3,0,0,'Données projet'!$E$10+1,1))-AVERAGE(OFFSET($H$3,0,0,'Données projet'!$E$10+1,1))</f>
        <v>336.25341821407534</v>
      </c>
      <c r="AO189" s="60">
        <f t="shared" si="144"/>
        <v>360.3246221345039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2.7134774427395314E-13</v>
      </c>
      <c r="BF189" s="14">
        <f t="shared" si="167"/>
        <v>3.6292411711343559E-12</v>
      </c>
      <c r="BG189" s="22">
        <f t="shared" si="168"/>
        <v>6.7935256943361388E-12</v>
      </c>
      <c r="BH189" s="60">
        <f t="shared" si="116"/>
        <v>289.79675810586423</v>
      </c>
      <c r="BI189" s="60">
        <f ca="1">AVERAGE(OFFSET($BH$3,0,0,'Données projet'!$E$11+1,1))-AVERAGE(OFFSET($H$3,0,0,'Données projet'!$E$11+1,1))</f>
        <v>336.25341821407534</v>
      </c>
      <c r="BJ189" s="60">
        <f t="shared" si="146"/>
        <v>360.3246221345039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-8.7434273154940449E-13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469.67944008675863</v>
      </c>
      <c r="CE189" s="60">
        <f t="shared" si="148"/>
        <v>266.11908070867173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8.8675733422860506E-14</v>
      </c>
      <c r="CV189" s="14">
        <f t="shared" si="173"/>
        <v>1.3509285393066301E-12</v>
      </c>
      <c r="CW189" s="22">
        <f t="shared" si="174"/>
        <v>2.5073107750038623E-12</v>
      </c>
      <c r="CX189" s="60">
        <f t="shared" si="122"/>
        <v>289.79675810585991</v>
      </c>
      <c r="CY189" s="60">
        <f ca="1">AVERAGE(OFFSET($CX$3,0,0,'Données projet'!$E$13+1,1))-AVERAGE(OFFSET($H$3,0,0,'Données projet'!$E$13+1,1))</f>
        <v>312.59632808777332</v>
      </c>
      <c r="CZ189" s="60">
        <f t="shared" si="150"/>
        <v>302.59481222418219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1.0818439477588981E-13</v>
      </c>
      <c r="DQ189" s="14">
        <f t="shared" si="176"/>
        <v>1.6104228458716316E-12</v>
      </c>
      <c r="DR189" s="22">
        <f t="shared" si="177"/>
        <v>2.9932409441277661E-12</v>
      </c>
      <c r="DS189" s="60">
        <f t="shared" si="125"/>
        <v>289.79675810586042</v>
      </c>
      <c r="DT189" s="60">
        <f ca="1">AVERAGE(OFFSET($DS$3,0,0,'Données projet'!$E$14+1,1))-AVERAGE(OFFSET($H$3,0,0,'Données projet'!$E$14+1,1))</f>
        <v>398.29746143975166</v>
      </c>
      <c r="DU189" s="60">
        <f t="shared" si="152"/>
        <v>300.63705521148802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-9.6633812063373625E-13</v>
      </c>
      <c r="EK189" s="18">
        <f>EJ189*VLOOKUP('Données projet'!$B$15,Paramètres!$A$1:$I$89,3,0)*VLOOKUP('Données projet'!$B$15,Paramètres!$A$1:$I$89,5,0)</f>
        <v>-9.3464223027694966E-13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496.33873798282525</v>
      </c>
      <c r="EP189" s="60">
        <f t="shared" si="154"/>
        <v>280.25465074992246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3.4106051316484809E-13</v>
      </c>
      <c r="FF189" s="18">
        <f>FE189*VLOOKUP('Données projet'!$B$16,Paramètres!$A$1:$I$89,3,0)*VLOOKUP('Données projet'!$B$16,Paramètres!$A$1:$I$89,5,0)</f>
        <v>2.9795046430081134E-13</v>
      </c>
      <c r="FG189" s="14">
        <f t="shared" si="182"/>
        <v>3.9419014464513778E-12</v>
      </c>
      <c r="FH189" s="22">
        <f t="shared" si="183"/>
        <v>7.384408744560063E-12</v>
      </c>
      <c r="FI189" s="60">
        <f t="shared" si="131"/>
        <v>289.7967581058648</v>
      </c>
      <c r="FJ189" s="60">
        <f ca="1">AVERAGE(OFFSET($FI$3,0,0,'Données projet'!$E$16+1,1))-AVERAGE(OFFSET($H$3,0,0,'Données projet'!$E$16+1,1))</f>
        <v>363.28611056308665</v>
      </c>
      <c r="FK189" s="60">
        <f t="shared" si="156"/>
        <v>389.43647559455974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1.7053025658242404E-13</v>
      </c>
      <c r="GA189" s="18">
        <f>FZ189*VLOOKUP('Données projet'!$B$17,Paramètres!$A$1:$I$89,3,0)*VLOOKUP('Données projet'!$B$17,Paramètres!$A$1:$I$89,5,0)</f>
        <v>1.1439169611549005E-13</v>
      </c>
      <c r="GB189" s="14">
        <f t="shared" si="185"/>
        <v>1.6918016515029816E-12</v>
      </c>
      <c r="GC189" s="22">
        <f t="shared" si="186"/>
        <v>3.1457867471021712E-12</v>
      </c>
      <c r="GD189" s="60">
        <f t="shared" si="134"/>
        <v>289.79675810586053</v>
      </c>
      <c r="GE189" s="60">
        <f ca="1">AVERAGE(OFFSET($GD$3,0,0,'Données projet'!$E$17+1,1))-AVERAGE(OFFSET($H$3,0,0,'Données projet'!$E$17+1,1))</f>
        <v>344.62096650402731</v>
      </c>
      <c r="GF189" s="60">
        <f t="shared" si="158"/>
        <v>277.30931495079346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-6.8212102632969618E-13</v>
      </c>
      <c r="O190" s="14">
        <f>N190*VLOOKUP('Données projet'!$B$9,Paramètres!$A$1:$I$89,3,0)*VLOOKUP('Données projet'!$B$9,Paramètres!$A$1:$I$89,5,0)</f>
        <v>-5.8525984059087939E-13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632.26350546340541</v>
      </c>
      <c r="T190" s="60">
        <f t="shared" si="142"/>
        <v>340.45335016367915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2.7134774427395314E-13</v>
      </c>
      <c r="AK190" s="14">
        <f t="shared" si="164"/>
        <v>3.6292411711343559E-12</v>
      </c>
      <c r="AL190" s="22">
        <f t="shared" si="165"/>
        <v>6.7935256943361388E-12</v>
      </c>
      <c r="AM190" s="60">
        <f t="shared" si="113"/>
        <v>289.85810977946323</v>
      </c>
      <c r="AN190" s="60">
        <f ca="1">AVERAGE(OFFSET($AM$3,0,0,'Données projet'!$E$10+1,1))-AVERAGE(OFFSET($H$3,0,0,'Données projet'!$E$10+1,1))</f>
        <v>336.25341821407534</v>
      </c>
      <c r="AO190" s="60">
        <f t="shared" si="144"/>
        <v>360.3246221345039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2.7134774427395314E-13</v>
      </c>
      <c r="BF190" s="14">
        <f t="shared" si="167"/>
        <v>3.6292411711343559E-12</v>
      </c>
      <c r="BG190" s="22">
        <f t="shared" si="168"/>
        <v>6.7935256943361388E-12</v>
      </c>
      <c r="BH190" s="60">
        <f t="shared" si="116"/>
        <v>289.85810977946323</v>
      </c>
      <c r="BI190" s="60">
        <f ca="1">AVERAGE(OFFSET($BH$3,0,0,'Données projet'!$E$11+1,1))-AVERAGE(OFFSET($H$3,0,0,'Données projet'!$E$11+1,1))</f>
        <v>336.25341821407534</v>
      </c>
      <c r="BJ190" s="60">
        <f t="shared" si="146"/>
        <v>360.3246221345039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-8.7434273154940449E-13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469.67944008675863</v>
      </c>
      <c r="CE190" s="60">
        <f t="shared" si="148"/>
        <v>266.11908070867173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8.8675733422860506E-14</v>
      </c>
      <c r="CV190" s="14">
        <f t="shared" si="173"/>
        <v>1.3509285393066301E-12</v>
      </c>
      <c r="CW190" s="22">
        <f t="shared" si="174"/>
        <v>2.5073107750038623E-12</v>
      </c>
      <c r="CX190" s="60">
        <f t="shared" si="122"/>
        <v>289.85810977945891</v>
      </c>
      <c r="CY190" s="60">
        <f ca="1">AVERAGE(OFFSET($CX$3,0,0,'Données projet'!$E$13+1,1))-AVERAGE(OFFSET($H$3,0,0,'Données projet'!$E$13+1,1))</f>
        <v>312.59632808777332</v>
      </c>
      <c r="CZ190" s="60">
        <f t="shared" si="150"/>
        <v>302.59481222418219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1.0818439477588981E-13</v>
      </c>
      <c r="DQ190" s="14">
        <f t="shared" si="176"/>
        <v>1.6104228458716316E-12</v>
      </c>
      <c r="DR190" s="22">
        <f t="shared" si="177"/>
        <v>2.9932409441277661E-12</v>
      </c>
      <c r="DS190" s="60">
        <f t="shared" si="125"/>
        <v>289.85810977945943</v>
      </c>
      <c r="DT190" s="60">
        <f ca="1">AVERAGE(OFFSET($DS$3,0,0,'Données projet'!$E$14+1,1))-AVERAGE(OFFSET($H$3,0,0,'Données projet'!$E$14+1,1))</f>
        <v>398.29746143975166</v>
      </c>
      <c r="DU190" s="60">
        <f t="shared" si="152"/>
        <v>300.63705521148802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-9.6633812063373625E-13</v>
      </c>
      <c r="EK190" s="18">
        <f>EJ190*VLOOKUP('Données projet'!$B$15,Paramètres!$A$1:$I$89,3,0)*VLOOKUP('Données projet'!$B$15,Paramètres!$A$1:$I$89,5,0)</f>
        <v>-9.3464223027694966E-13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496.33873798282525</v>
      </c>
      <c r="EP190" s="60">
        <f t="shared" si="154"/>
        <v>280.25465074992246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3.4106051316484809E-13</v>
      </c>
      <c r="FF190" s="18">
        <f>FE190*VLOOKUP('Données projet'!$B$16,Paramètres!$A$1:$I$89,3,0)*VLOOKUP('Données projet'!$B$16,Paramètres!$A$1:$I$89,5,0)</f>
        <v>2.9795046430081134E-13</v>
      </c>
      <c r="FG190" s="14">
        <f t="shared" si="182"/>
        <v>3.9419014464513778E-12</v>
      </c>
      <c r="FH190" s="22">
        <f t="shared" si="183"/>
        <v>7.384408744560063E-12</v>
      </c>
      <c r="FI190" s="60">
        <f t="shared" si="131"/>
        <v>289.8581097794638</v>
      </c>
      <c r="FJ190" s="60">
        <f ca="1">AVERAGE(OFFSET($FI$3,0,0,'Données projet'!$E$16+1,1))-AVERAGE(OFFSET($H$3,0,0,'Données projet'!$E$16+1,1))</f>
        <v>363.28611056308665</v>
      </c>
      <c r="FK190" s="60">
        <f t="shared" si="156"/>
        <v>389.43647559455974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1.7053025658242404E-13</v>
      </c>
      <c r="GA190" s="18">
        <f>FZ190*VLOOKUP('Données projet'!$B$17,Paramètres!$A$1:$I$89,3,0)*VLOOKUP('Données projet'!$B$17,Paramètres!$A$1:$I$89,5,0)</f>
        <v>1.1439169611549005E-13</v>
      </c>
      <c r="GB190" s="14">
        <f t="shared" si="185"/>
        <v>1.6918016515029816E-12</v>
      </c>
      <c r="GC190" s="22">
        <f t="shared" si="186"/>
        <v>3.1457867471021712E-12</v>
      </c>
      <c r="GD190" s="60">
        <f t="shared" si="134"/>
        <v>289.85810977945954</v>
      </c>
      <c r="GE190" s="60">
        <f ca="1">AVERAGE(OFFSET($GD$3,0,0,'Données projet'!$E$17+1,1))-AVERAGE(OFFSET($H$3,0,0,'Données projet'!$E$17+1,1))</f>
        <v>344.62096650402731</v>
      </c>
      <c r="GF190" s="60">
        <f t="shared" si="158"/>
        <v>277.30931495079346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-6.8212102632969618E-13</v>
      </c>
      <c r="O191" s="14">
        <f>N191*VLOOKUP('Données projet'!$B$9,Paramètres!$A$1:$I$89,3,0)*VLOOKUP('Données projet'!$B$9,Paramètres!$A$1:$I$89,5,0)</f>
        <v>-5.8525984059087939E-13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632.26350546340541</v>
      </c>
      <c r="T191" s="60">
        <f t="shared" si="142"/>
        <v>340.45335016367915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2.7134774427395314E-13</v>
      </c>
      <c r="AK191" s="14">
        <f t="shared" si="164"/>
        <v>3.6292411711343559E-12</v>
      </c>
      <c r="AL191" s="22">
        <f t="shared" si="165"/>
        <v>6.7935256943361388E-12</v>
      </c>
      <c r="AM191" s="60">
        <f t="shared" si="113"/>
        <v>289.91839713868706</v>
      </c>
      <c r="AN191" s="60">
        <f ca="1">AVERAGE(OFFSET($AM$3,0,0,'Données projet'!$E$10+1,1))-AVERAGE(OFFSET($H$3,0,0,'Données projet'!$E$10+1,1))</f>
        <v>336.25341821407534</v>
      </c>
      <c r="AO191" s="60">
        <f t="shared" si="144"/>
        <v>360.3246221345039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2.7134774427395314E-13</v>
      </c>
      <c r="BF191" s="14">
        <f t="shared" si="167"/>
        <v>3.6292411711343559E-12</v>
      </c>
      <c r="BG191" s="22">
        <f t="shared" si="168"/>
        <v>6.7935256943361388E-12</v>
      </c>
      <c r="BH191" s="60">
        <f t="shared" si="116"/>
        <v>289.91839713868706</v>
      </c>
      <c r="BI191" s="60">
        <f ca="1">AVERAGE(OFFSET($BH$3,0,0,'Données projet'!$E$11+1,1))-AVERAGE(OFFSET($H$3,0,0,'Données projet'!$E$11+1,1))</f>
        <v>336.25341821407534</v>
      </c>
      <c r="BJ191" s="60">
        <f t="shared" si="146"/>
        <v>360.3246221345039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-8.7434273154940449E-13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469.67944008675863</v>
      </c>
      <c r="CE191" s="60">
        <f t="shared" si="148"/>
        <v>266.11908070867173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8.8675733422860506E-14</v>
      </c>
      <c r="CV191" s="14">
        <f t="shared" si="173"/>
        <v>1.3509285393066301E-12</v>
      </c>
      <c r="CW191" s="22">
        <f t="shared" si="174"/>
        <v>2.5073107750038623E-12</v>
      </c>
      <c r="CX191" s="60">
        <f t="shared" si="122"/>
        <v>289.91839713868274</v>
      </c>
      <c r="CY191" s="60">
        <f ca="1">AVERAGE(OFFSET($CX$3,0,0,'Données projet'!$E$13+1,1))-AVERAGE(OFFSET($H$3,0,0,'Données projet'!$E$13+1,1))</f>
        <v>312.59632808777332</v>
      </c>
      <c r="CZ191" s="60">
        <f t="shared" si="150"/>
        <v>302.59481222418219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1.0818439477588981E-13</v>
      </c>
      <c r="DQ191" s="14">
        <f t="shared" si="176"/>
        <v>1.6104228458716316E-12</v>
      </c>
      <c r="DR191" s="22">
        <f t="shared" si="177"/>
        <v>2.9932409441277661E-12</v>
      </c>
      <c r="DS191" s="60">
        <f t="shared" si="125"/>
        <v>289.91839713868325</v>
      </c>
      <c r="DT191" s="60">
        <f ca="1">AVERAGE(OFFSET($DS$3,0,0,'Données projet'!$E$14+1,1))-AVERAGE(OFFSET($H$3,0,0,'Données projet'!$E$14+1,1))</f>
        <v>398.29746143975166</v>
      </c>
      <c r="DU191" s="60">
        <f t="shared" si="152"/>
        <v>300.63705521148802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-9.6633812063373625E-13</v>
      </c>
      <c r="EK191" s="18">
        <f>EJ191*VLOOKUP('Données projet'!$B$15,Paramètres!$A$1:$I$89,3,0)*VLOOKUP('Données projet'!$B$15,Paramètres!$A$1:$I$89,5,0)</f>
        <v>-9.3464223027694966E-13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496.33873798282525</v>
      </c>
      <c r="EP191" s="60">
        <f t="shared" si="154"/>
        <v>280.25465074992246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3.4106051316484809E-13</v>
      </c>
      <c r="FF191" s="18">
        <f>FE191*VLOOKUP('Données projet'!$B$16,Paramètres!$A$1:$I$89,3,0)*VLOOKUP('Données projet'!$B$16,Paramètres!$A$1:$I$89,5,0)</f>
        <v>2.9795046430081134E-13</v>
      </c>
      <c r="FG191" s="14">
        <f t="shared" si="182"/>
        <v>3.9419014464513778E-12</v>
      </c>
      <c r="FH191" s="22">
        <f t="shared" si="183"/>
        <v>7.384408744560063E-12</v>
      </c>
      <c r="FI191" s="60">
        <f t="shared" si="131"/>
        <v>289.91839713868762</v>
      </c>
      <c r="FJ191" s="60">
        <f ca="1">AVERAGE(OFFSET($FI$3,0,0,'Données projet'!$E$16+1,1))-AVERAGE(OFFSET($H$3,0,0,'Données projet'!$E$16+1,1))</f>
        <v>363.28611056308665</v>
      </c>
      <c r="FK191" s="60">
        <f t="shared" si="156"/>
        <v>389.43647559455974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1.7053025658242404E-13</v>
      </c>
      <c r="GA191" s="18">
        <f>FZ191*VLOOKUP('Données projet'!$B$17,Paramètres!$A$1:$I$89,3,0)*VLOOKUP('Données projet'!$B$17,Paramètres!$A$1:$I$89,5,0)</f>
        <v>1.1439169611549005E-13</v>
      </c>
      <c r="GB191" s="14">
        <f t="shared" si="185"/>
        <v>1.6918016515029816E-12</v>
      </c>
      <c r="GC191" s="22">
        <f t="shared" si="186"/>
        <v>3.1457867471021712E-12</v>
      </c>
      <c r="GD191" s="60">
        <f t="shared" si="134"/>
        <v>289.91839713868336</v>
      </c>
      <c r="GE191" s="60">
        <f ca="1">AVERAGE(OFFSET($GD$3,0,0,'Données projet'!$E$17+1,1))-AVERAGE(OFFSET($H$3,0,0,'Données projet'!$E$17+1,1))</f>
        <v>344.62096650402731</v>
      </c>
      <c r="GF191" s="60">
        <f t="shared" si="158"/>
        <v>277.30931495079346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-6.8212102632969618E-13</v>
      </c>
      <c r="O192" s="14">
        <f>N192*VLOOKUP('Données projet'!$B$9,Paramètres!$A$1:$I$89,3,0)*VLOOKUP('Données projet'!$B$9,Paramètres!$A$1:$I$89,5,0)</f>
        <v>-5.8525984059087939E-13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632.26350546340541</v>
      </c>
      <c r="T192" s="60">
        <f t="shared" si="142"/>
        <v>340.45335016367915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2.7134774427395314E-13</v>
      </c>
      <c r="AK192" s="14">
        <f t="shared" si="164"/>
        <v>3.6292411711343559E-12</v>
      </c>
      <c r="AL192" s="22">
        <f t="shared" si="165"/>
        <v>6.7935256943361388E-12</v>
      </c>
      <c r="AM192" s="60">
        <f t="shared" si="113"/>
        <v>289.97763864701068</v>
      </c>
      <c r="AN192" s="60">
        <f ca="1">AVERAGE(OFFSET($AM$3,0,0,'Données projet'!$E$10+1,1))-AVERAGE(OFFSET($H$3,0,0,'Données projet'!$E$10+1,1))</f>
        <v>336.25341821407534</v>
      </c>
      <c r="AO192" s="60">
        <f t="shared" si="144"/>
        <v>360.3246221345039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2.7134774427395314E-13</v>
      </c>
      <c r="BF192" s="14">
        <f t="shared" si="167"/>
        <v>3.6292411711343559E-12</v>
      </c>
      <c r="BG192" s="22">
        <f t="shared" si="168"/>
        <v>6.7935256943361388E-12</v>
      </c>
      <c r="BH192" s="60">
        <f t="shared" si="116"/>
        <v>289.97763864701068</v>
      </c>
      <c r="BI192" s="60">
        <f ca="1">AVERAGE(OFFSET($BH$3,0,0,'Données projet'!$E$11+1,1))-AVERAGE(OFFSET($H$3,0,0,'Données projet'!$E$11+1,1))</f>
        <v>336.25341821407534</v>
      </c>
      <c r="BJ192" s="60">
        <f t="shared" si="146"/>
        <v>360.3246221345039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-8.7434273154940449E-13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469.67944008675863</v>
      </c>
      <c r="CE192" s="60">
        <f t="shared" si="148"/>
        <v>266.11908070867173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8.8675733422860506E-14</v>
      </c>
      <c r="CV192" s="14">
        <f t="shared" si="173"/>
        <v>1.3509285393066301E-12</v>
      </c>
      <c r="CW192" s="22">
        <f t="shared" si="174"/>
        <v>2.5073107750038623E-12</v>
      </c>
      <c r="CX192" s="60">
        <f t="shared" si="122"/>
        <v>289.97763864700636</v>
      </c>
      <c r="CY192" s="60">
        <f ca="1">AVERAGE(OFFSET($CX$3,0,0,'Données projet'!$E$13+1,1))-AVERAGE(OFFSET($H$3,0,0,'Données projet'!$E$13+1,1))</f>
        <v>312.59632808777332</v>
      </c>
      <c r="CZ192" s="60">
        <f t="shared" si="150"/>
        <v>302.59481222418219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1.0818439477588981E-13</v>
      </c>
      <c r="DQ192" s="14">
        <f t="shared" si="176"/>
        <v>1.6104228458716316E-12</v>
      </c>
      <c r="DR192" s="22">
        <f t="shared" si="177"/>
        <v>2.9932409441277661E-12</v>
      </c>
      <c r="DS192" s="60">
        <f t="shared" si="125"/>
        <v>289.97763864700687</v>
      </c>
      <c r="DT192" s="60">
        <f ca="1">AVERAGE(OFFSET($DS$3,0,0,'Données projet'!$E$14+1,1))-AVERAGE(OFFSET($H$3,0,0,'Données projet'!$E$14+1,1))</f>
        <v>398.29746143975166</v>
      </c>
      <c r="DU192" s="60">
        <f t="shared" si="152"/>
        <v>300.63705521148802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-9.6633812063373625E-13</v>
      </c>
      <c r="EK192" s="18">
        <f>EJ192*VLOOKUP('Données projet'!$B$15,Paramètres!$A$1:$I$89,3,0)*VLOOKUP('Données projet'!$B$15,Paramètres!$A$1:$I$89,5,0)</f>
        <v>-9.3464223027694966E-13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496.33873798282525</v>
      </c>
      <c r="EP192" s="60">
        <f t="shared" si="154"/>
        <v>280.25465074992246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3.4106051316484809E-13</v>
      </c>
      <c r="FF192" s="18">
        <f>FE192*VLOOKUP('Données projet'!$B$16,Paramètres!$A$1:$I$89,3,0)*VLOOKUP('Données projet'!$B$16,Paramètres!$A$1:$I$89,5,0)</f>
        <v>2.9795046430081134E-13</v>
      </c>
      <c r="FG192" s="14">
        <f t="shared" si="182"/>
        <v>3.9419014464513778E-12</v>
      </c>
      <c r="FH192" s="22">
        <f t="shared" si="183"/>
        <v>7.384408744560063E-12</v>
      </c>
      <c r="FI192" s="60">
        <f t="shared" si="131"/>
        <v>289.97763864701125</v>
      </c>
      <c r="FJ192" s="60">
        <f ca="1">AVERAGE(OFFSET($FI$3,0,0,'Données projet'!$E$16+1,1))-AVERAGE(OFFSET($H$3,0,0,'Données projet'!$E$16+1,1))</f>
        <v>363.28611056308665</v>
      </c>
      <c r="FK192" s="60">
        <f t="shared" si="156"/>
        <v>389.43647559455974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1.7053025658242404E-13</v>
      </c>
      <c r="GA192" s="18">
        <f>FZ192*VLOOKUP('Données projet'!$B$17,Paramètres!$A$1:$I$89,3,0)*VLOOKUP('Données projet'!$B$17,Paramètres!$A$1:$I$89,5,0)</f>
        <v>1.1439169611549005E-13</v>
      </c>
      <c r="GB192" s="14">
        <f t="shared" si="185"/>
        <v>1.6918016515029816E-12</v>
      </c>
      <c r="GC192" s="22">
        <f t="shared" si="186"/>
        <v>3.1457867471021712E-12</v>
      </c>
      <c r="GD192" s="60">
        <f t="shared" si="134"/>
        <v>289.97763864700698</v>
      </c>
      <c r="GE192" s="60">
        <f ca="1">AVERAGE(OFFSET($GD$3,0,0,'Données projet'!$E$17+1,1))-AVERAGE(OFFSET($H$3,0,0,'Données projet'!$E$17+1,1))</f>
        <v>344.62096650402731</v>
      </c>
      <c r="GF192" s="60">
        <f t="shared" si="158"/>
        <v>277.30931495079346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-6.8212102632969618E-13</v>
      </c>
      <c r="O193" s="14">
        <f>N193*VLOOKUP('Données projet'!$B$9,Paramètres!$A$1:$I$89,3,0)*VLOOKUP('Données projet'!$B$9,Paramètres!$A$1:$I$89,5,0)</f>
        <v>-5.8525984059087939E-13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632.26350546340541</v>
      </c>
      <c r="T193" s="60">
        <f t="shared" si="142"/>
        <v>340.45335016367915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2.7134774427395314E-13</v>
      </c>
      <c r="AK193" s="14">
        <f t="shared" si="164"/>
        <v>3.6292411711343559E-12</v>
      </c>
      <c r="AL193" s="22">
        <f t="shared" si="165"/>
        <v>6.7935256943361388E-12</v>
      </c>
      <c r="AM193" s="60">
        <f t="shared" si="113"/>
        <v>290.0358524476091</v>
      </c>
      <c r="AN193" s="60">
        <f ca="1">AVERAGE(OFFSET($AM$3,0,0,'Données projet'!$E$10+1,1))-AVERAGE(OFFSET($H$3,0,0,'Données projet'!$E$10+1,1))</f>
        <v>336.25341821407534</v>
      </c>
      <c r="AO193" s="60">
        <f t="shared" si="144"/>
        <v>360.3246221345039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2.7134774427395314E-13</v>
      </c>
      <c r="BF193" s="14">
        <f t="shared" si="167"/>
        <v>3.6292411711343559E-12</v>
      </c>
      <c r="BG193" s="22">
        <f t="shared" si="168"/>
        <v>6.7935256943361388E-12</v>
      </c>
      <c r="BH193" s="60">
        <f t="shared" si="116"/>
        <v>290.0358524476091</v>
      </c>
      <c r="BI193" s="60">
        <f ca="1">AVERAGE(OFFSET($BH$3,0,0,'Données projet'!$E$11+1,1))-AVERAGE(OFFSET($H$3,0,0,'Données projet'!$E$11+1,1))</f>
        <v>336.25341821407534</v>
      </c>
      <c r="BJ193" s="60">
        <f t="shared" si="146"/>
        <v>360.3246221345039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-8.7434273154940449E-13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469.67944008675863</v>
      </c>
      <c r="CE193" s="60">
        <f t="shared" si="148"/>
        <v>266.11908070867173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8.8675733422860506E-14</v>
      </c>
      <c r="CV193" s="14">
        <f t="shared" si="173"/>
        <v>1.3509285393066301E-12</v>
      </c>
      <c r="CW193" s="22">
        <f t="shared" si="174"/>
        <v>2.5073107750038623E-12</v>
      </c>
      <c r="CX193" s="60">
        <f t="shared" si="122"/>
        <v>290.03585244760478</v>
      </c>
      <c r="CY193" s="60">
        <f ca="1">AVERAGE(OFFSET($CX$3,0,0,'Données projet'!$E$13+1,1))-AVERAGE(OFFSET($H$3,0,0,'Données projet'!$E$13+1,1))</f>
        <v>312.59632808777332</v>
      </c>
      <c r="CZ193" s="60">
        <f t="shared" si="150"/>
        <v>302.59481222418219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1.0818439477588981E-13</v>
      </c>
      <c r="DQ193" s="14">
        <f t="shared" si="176"/>
        <v>1.6104228458716316E-12</v>
      </c>
      <c r="DR193" s="22">
        <f t="shared" si="177"/>
        <v>2.9932409441277661E-12</v>
      </c>
      <c r="DS193" s="60">
        <f t="shared" si="125"/>
        <v>290.03585244760529</v>
      </c>
      <c r="DT193" s="60">
        <f ca="1">AVERAGE(OFFSET($DS$3,0,0,'Données projet'!$E$14+1,1))-AVERAGE(OFFSET($H$3,0,0,'Données projet'!$E$14+1,1))</f>
        <v>398.29746143975166</v>
      </c>
      <c r="DU193" s="60">
        <f t="shared" si="152"/>
        <v>300.63705521148802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-9.6633812063373625E-13</v>
      </c>
      <c r="EK193" s="18">
        <f>EJ193*VLOOKUP('Données projet'!$B$15,Paramètres!$A$1:$I$89,3,0)*VLOOKUP('Données projet'!$B$15,Paramètres!$A$1:$I$89,5,0)</f>
        <v>-9.3464223027694966E-13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496.33873798282525</v>
      </c>
      <c r="EP193" s="60">
        <f t="shared" si="154"/>
        <v>280.25465074992246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3.4106051316484809E-13</v>
      </c>
      <c r="FF193" s="18">
        <f>FE193*VLOOKUP('Données projet'!$B$16,Paramètres!$A$1:$I$89,3,0)*VLOOKUP('Données projet'!$B$16,Paramètres!$A$1:$I$89,5,0)</f>
        <v>2.9795046430081134E-13</v>
      </c>
      <c r="FG193" s="14">
        <f t="shared" si="182"/>
        <v>3.9419014464513778E-12</v>
      </c>
      <c r="FH193" s="22">
        <f t="shared" si="183"/>
        <v>7.384408744560063E-12</v>
      </c>
      <c r="FI193" s="60">
        <f t="shared" si="131"/>
        <v>290.03585244760967</v>
      </c>
      <c r="FJ193" s="60">
        <f ca="1">AVERAGE(OFFSET($FI$3,0,0,'Données projet'!$E$16+1,1))-AVERAGE(OFFSET($H$3,0,0,'Données projet'!$E$16+1,1))</f>
        <v>363.28611056308665</v>
      </c>
      <c r="FK193" s="60">
        <f t="shared" si="156"/>
        <v>389.43647559455974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1.7053025658242404E-13</v>
      </c>
      <c r="GA193" s="18">
        <f>FZ193*VLOOKUP('Données projet'!$B$17,Paramètres!$A$1:$I$89,3,0)*VLOOKUP('Données projet'!$B$17,Paramètres!$A$1:$I$89,5,0)</f>
        <v>1.1439169611549005E-13</v>
      </c>
      <c r="GB193" s="14">
        <f t="shared" si="185"/>
        <v>1.6918016515029816E-12</v>
      </c>
      <c r="GC193" s="22">
        <f t="shared" si="186"/>
        <v>3.1457867471021712E-12</v>
      </c>
      <c r="GD193" s="60">
        <f t="shared" si="134"/>
        <v>290.03585244760541</v>
      </c>
      <c r="GE193" s="60">
        <f ca="1">AVERAGE(OFFSET($GD$3,0,0,'Données projet'!$E$17+1,1))-AVERAGE(OFFSET($H$3,0,0,'Données projet'!$E$17+1,1))</f>
        <v>344.62096650402731</v>
      </c>
      <c r="GF193" s="60">
        <f t="shared" si="158"/>
        <v>277.30931495079346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-6.8212102632969618E-13</v>
      </c>
      <c r="O194" s="14">
        <f>N194*VLOOKUP('Données projet'!$B$9,Paramètres!$A$1:$I$89,3,0)*VLOOKUP('Données projet'!$B$9,Paramètres!$A$1:$I$89,5,0)</f>
        <v>-5.8525984059087939E-13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632.26350546340541</v>
      </c>
      <c r="T194" s="60">
        <f t="shared" si="142"/>
        <v>340.45335016367915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2.7134774427395314E-13</v>
      </c>
      <c r="AK194" s="14">
        <f t="shared" si="164"/>
        <v>3.6292411711343559E-12</v>
      </c>
      <c r="AL194" s="22">
        <f t="shared" si="165"/>
        <v>6.7935256943361388E-12</v>
      </c>
      <c r="AM194" s="60">
        <f t="shared" si="113"/>
        <v>290.09305636891366</v>
      </c>
      <c r="AN194" s="60">
        <f ca="1">AVERAGE(OFFSET($AM$3,0,0,'Données projet'!$E$10+1,1))-AVERAGE(OFFSET($H$3,0,0,'Données projet'!$E$10+1,1))</f>
        <v>336.25341821407534</v>
      </c>
      <c r="AO194" s="60">
        <f t="shared" si="144"/>
        <v>360.3246221345039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2.7134774427395314E-13</v>
      </c>
      <c r="BF194" s="14">
        <f t="shared" si="167"/>
        <v>3.6292411711343559E-12</v>
      </c>
      <c r="BG194" s="22">
        <f t="shared" si="168"/>
        <v>6.7935256943361388E-12</v>
      </c>
      <c r="BH194" s="60">
        <f t="shared" si="116"/>
        <v>290.09305636891366</v>
      </c>
      <c r="BI194" s="60">
        <f ca="1">AVERAGE(OFFSET($BH$3,0,0,'Données projet'!$E$11+1,1))-AVERAGE(OFFSET($H$3,0,0,'Données projet'!$E$11+1,1))</f>
        <v>336.25341821407534</v>
      </c>
      <c r="BJ194" s="60">
        <f t="shared" si="146"/>
        <v>360.3246221345039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-8.7434273154940449E-13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469.67944008675863</v>
      </c>
      <c r="CE194" s="60">
        <f t="shared" si="148"/>
        <v>266.11908070867173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8.8675733422860506E-14</v>
      </c>
      <c r="CV194" s="14">
        <f t="shared" si="173"/>
        <v>1.3509285393066301E-12</v>
      </c>
      <c r="CW194" s="22">
        <f t="shared" si="174"/>
        <v>2.5073107750038623E-12</v>
      </c>
      <c r="CX194" s="60">
        <f t="shared" si="122"/>
        <v>290.09305636890934</v>
      </c>
      <c r="CY194" s="60">
        <f ca="1">AVERAGE(OFFSET($CX$3,0,0,'Données projet'!$E$13+1,1))-AVERAGE(OFFSET($H$3,0,0,'Données projet'!$E$13+1,1))</f>
        <v>312.59632808777332</v>
      </c>
      <c r="CZ194" s="60">
        <f t="shared" si="150"/>
        <v>302.59481222418219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1.0818439477588981E-13</v>
      </c>
      <c r="DQ194" s="14">
        <f t="shared" si="176"/>
        <v>1.6104228458716316E-12</v>
      </c>
      <c r="DR194" s="22">
        <f t="shared" si="177"/>
        <v>2.9932409441277661E-12</v>
      </c>
      <c r="DS194" s="60">
        <f t="shared" si="125"/>
        <v>290.09305636890986</v>
      </c>
      <c r="DT194" s="60">
        <f ca="1">AVERAGE(OFFSET($DS$3,0,0,'Données projet'!$E$14+1,1))-AVERAGE(OFFSET($H$3,0,0,'Données projet'!$E$14+1,1))</f>
        <v>398.29746143975166</v>
      </c>
      <c r="DU194" s="60">
        <f t="shared" si="152"/>
        <v>300.63705521148802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-9.6633812063373625E-13</v>
      </c>
      <c r="EK194" s="18">
        <f>EJ194*VLOOKUP('Données projet'!$B$15,Paramètres!$A$1:$I$89,3,0)*VLOOKUP('Données projet'!$B$15,Paramètres!$A$1:$I$89,5,0)</f>
        <v>-9.3464223027694966E-13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496.33873798282525</v>
      </c>
      <c r="EP194" s="60">
        <f t="shared" si="154"/>
        <v>280.25465074992246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3.4106051316484809E-13</v>
      </c>
      <c r="FF194" s="18">
        <f>FE194*VLOOKUP('Données projet'!$B$16,Paramètres!$A$1:$I$89,3,0)*VLOOKUP('Données projet'!$B$16,Paramètres!$A$1:$I$89,5,0)</f>
        <v>2.9795046430081134E-13</v>
      </c>
      <c r="FG194" s="14">
        <f t="shared" si="182"/>
        <v>3.9419014464513778E-12</v>
      </c>
      <c r="FH194" s="22">
        <f t="shared" si="183"/>
        <v>7.384408744560063E-12</v>
      </c>
      <c r="FI194" s="60">
        <f t="shared" si="131"/>
        <v>290.09305636891423</v>
      </c>
      <c r="FJ194" s="60">
        <f ca="1">AVERAGE(OFFSET($FI$3,0,0,'Données projet'!$E$16+1,1))-AVERAGE(OFFSET($H$3,0,0,'Données projet'!$E$16+1,1))</f>
        <v>363.28611056308665</v>
      </c>
      <c r="FK194" s="60">
        <f t="shared" si="156"/>
        <v>389.43647559455974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1.7053025658242404E-13</v>
      </c>
      <c r="GA194" s="18">
        <f>FZ194*VLOOKUP('Données projet'!$B$17,Paramètres!$A$1:$I$89,3,0)*VLOOKUP('Données projet'!$B$17,Paramètres!$A$1:$I$89,5,0)</f>
        <v>1.1439169611549005E-13</v>
      </c>
      <c r="GB194" s="14">
        <f t="shared" si="185"/>
        <v>1.6918016515029816E-12</v>
      </c>
      <c r="GC194" s="22">
        <f t="shared" si="186"/>
        <v>3.1457867471021712E-12</v>
      </c>
      <c r="GD194" s="60">
        <f t="shared" si="134"/>
        <v>290.09305636890997</v>
      </c>
      <c r="GE194" s="60">
        <f ca="1">AVERAGE(OFFSET($GD$3,0,0,'Données projet'!$E$17+1,1))-AVERAGE(OFFSET($H$3,0,0,'Données projet'!$E$17+1,1))</f>
        <v>344.62096650402731</v>
      </c>
      <c r="GF194" s="60">
        <f t="shared" si="158"/>
        <v>277.30931495079346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-6.8212102632969618E-13</v>
      </c>
      <c r="O195" s="14">
        <f>N195*VLOOKUP('Données projet'!$B$9,Paramètres!$A$1:$I$89,3,0)*VLOOKUP('Données projet'!$B$9,Paramètres!$A$1:$I$89,5,0)</f>
        <v>-5.8525984059087939E-13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632.26350546340541</v>
      </c>
      <c r="T195" s="60">
        <f t="shared" si="142"/>
        <v>340.45335016367915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2.7134774427395314E-13</v>
      </c>
      <c r="AK195" s="14">
        <f t="shared" si="164"/>
        <v>3.6292411711343559E-12</v>
      </c>
      <c r="AL195" s="22">
        <f t="shared" si="165"/>
        <v>6.7935256943361388E-12</v>
      </c>
      <c r="AM195" s="60">
        <f t="shared" si="113"/>
        <v>290.14926793007248</v>
      </c>
      <c r="AN195" s="60">
        <f ca="1">AVERAGE(OFFSET($AM$3,0,0,'Données projet'!$E$10+1,1))-AVERAGE(OFFSET($H$3,0,0,'Données projet'!$E$10+1,1))</f>
        <v>336.25341821407534</v>
      </c>
      <c r="AO195" s="60">
        <f t="shared" si="144"/>
        <v>360.3246221345039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2.7134774427395314E-13</v>
      </c>
      <c r="BF195" s="14">
        <f t="shared" si="167"/>
        <v>3.6292411711343559E-12</v>
      </c>
      <c r="BG195" s="22">
        <f t="shared" si="168"/>
        <v>6.7935256943361388E-12</v>
      </c>
      <c r="BH195" s="60">
        <f t="shared" si="116"/>
        <v>290.14926793007248</v>
      </c>
      <c r="BI195" s="60">
        <f ca="1">AVERAGE(OFFSET($BH$3,0,0,'Données projet'!$E$11+1,1))-AVERAGE(OFFSET($H$3,0,0,'Données projet'!$E$11+1,1))</f>
        <v>336.25341821407534</v>
      </c>
      <c r="BJ195" s="60">
        <f t="shared" si="146"/>
        <v>360.3246221345039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-8.7434273154940449E-13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469.67944008675863</v>
      </c>
      <c r="CE195" s="60">
        <f t="shared" si="148"/>
        <v>266.11908070867173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8.8675733422860506E-14</v>
      </c>
      <c r="CV195" s="14">
        <f t="shared" si="173"/>
        <v>1.3509285393066301E-12</v>
      </c>
      <c r="CW195" s="22">
        <f t="shared" si="174"/>
        <v>2.5073107750038623E-12</v>
      </c>
      <c r="CX195" s="60">
        <f t="shared" si="122"/>
        <v>290.14926793006816</v>
      </c>
      <c r="CY195" s="60">
        <f ca="1">AVERAGE(OFFSET($CX$3,0,0,'Données projet'!$E$13+1,1))-AVERAGE(OFFSET($H$3,0,0,'Données projet'!$E$13+1,1))</f>
        <v>312.59632808777332</v>
      </c>
      <c r="CZ195" s="60">
        <f t="shared" si="150"/>
        <v>302.59481222418219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1.0818439477588981E-13</v>
      </c>
      <c r="DQ195" s="14">
        <f t="shared" si="176"/>
        <v>1.6104228458716316E-12</v>
      </c>
      <c r="DR195" s="22">
        <f t="shared" si="177"/>
        <v>2.9932409441277661E-12</v>
      </c>
      <c r="DS195" s="60">
        <f t="shared" si="125"/>
        <v>290.14926793006867</v>
      </c>
      <c r="DT195" s="60">
        <f ca="1">AVERAGE(OFFSET($DS$3,0,0,'Données projet'!$E$14+1,1))-AVERAGE(OFFSET($H$3,0,0,'Données projet'!$E$14+1,1))</f>
        <v>398.29746143975166</v>
      </c>
      <c r="DU195" s="60">
        <f t="shared" si="152"/>
        <v>300.63705521148802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-9.6633812063373625E-13</v>
      </c>
      <c r="EK195" s="18">
        <f>EJ195*VLOOKUP('Données projet'!$B$15,Paramètres!$A$1:$I$89,3,0)*VLOOKUP('Données projet'!$B$15,Paramètres!$A$1:$I$89,5,0)</f>
        <v>-9.3464223027694966E-13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496.33873798282525</v>
      </c>
      <c r="EP195" s="60">
        <f t="shared" si="154"/>
        <v>280.25465074992246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3.4106051316484809E-13</v>
      </c>
      <c r="FF195" s="18">
        <f>FE195*VLOOKUP('Données projet'!$B$16,Paramètres!$A$1:$I$89,3,0)*VLOOKUP('Données projet'!$B$16,Paramètres!$A$1:$I$89,5,0)</f>
        <v>2.9795046430081134E-13</v>
      </c>
      <c r="FG195" s="14">
        <f t="shared" si="182"/>
        <v>3.9419014464513778E-12</v>
      </c>
      <c r="FH195" s="22">
        <f t="shared" si="183"/>
        <v>7.384408744560063E-12</v>
      </c>
      <c r="FI195" s="60">
        <f t="shared" si="131"/>
        <v>290.14926793007305</v>
      </c>
      <c r="FJ195" s="60">
        <f ca="1">AVERAGE(OFFSET($FI$3,0,0,'Données projet'!$E$16+1,1))-AVERAGE(OFFSET($H$3,0,0,'Données projet'!$E$16+1,1))</f>
        <v>363.28611056308665</v>
      </c>
      <c r="FK195" s="60">
        <f t="shared" si="156"/>
        <v>389.43647559455974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1.7053025658242404E-13</v>
      </c>
      <c r="GA195" s="18">
        <f>FZ195*VLOOKUP('Données projet'!$B$17,Paramètres!$A$1:$I$89,3,0)*VLOOKUP('Données projet'!$B$17,Paramètres!$A$1:$I$89,5,0)</f>
        <v>1.1439169611549005E-13</v>
      </c>
      <c r="GB195" s="14">
        <f t="shared" si="185"/>
        <v>1.6918016515029816E-12</v>
      </c>
      <c r="GC195" s="22">
        <f t="shared" si="186"/>
        <v>3.1457867471021712E-12</v>
      </c>
      <c r="GD195" s="60">
        <f t="shared" si="134"/>
        <v>290.14926793006879</v>
      </c>
      <c r="GE195" s="60">
        <f ca="1">AVERAGE(OFFSET($GD$3,0,0,'Données projet'!$E$17+1,1))-AVERAGE(OFFSET($H$3,0,0,'Données projet'!$E$17+1,1))</f>
        <v>344.62096650402731</v>
      </c>
      <c r="GF195" s="60">
        <f t="shared" si="158"/>
        <v>277.30931495079346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-6.8212102632969618E-13</v>
      </c>
      <c r="O196" s="14">
        <f>N196*VLOOKUP('Données projet'!$B$9,Paramètres!$A$1:$I$89,3,0)*VLOOKUP('Données projet'!$B$9,Paramètres!$A$1:$I$89,5,0)</f>
        <v>-5.8525984059087939E-13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632.26350546340541</v>
      </c>
      <c r="T196" s="60">
        <f t="shared" si="142"/>
        <v>340.45335016367915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2.7134774427395314E-13</v>
      </c>
      <c r="AK196" s="14">
        <f t="shared" si="164"/>
        <v>3.6292411711343559E-12</v>
      </c>
      <c r="AL196" s="22">
        <f t="shared" si="165"/>
        <v>6.7935256943361388E-12</v>
      </c>
      <c r="AM196" s="60">
        <f t="shared" ref="AM196:AM203" si="193">AL196+(AD196+AE196)*44/12</f>
        <v>290.20450434631533</v>
      </c>
      <c r="AN196" s="60">
        <f ca="1">AVERAGE(OFFSET($AM$3,0,0,'Données projet'!$E$10+1,1))-AVERAGE(OFFSET($H$3,0,0,'Données projet'!$E$10+1,1))</f>
        <v>336.25341821407534</v>
      </c>
      <c r="AO196" s="60">
        <f t="shared" si="144"/>
        <v>360.3246221345039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2.7134774427395314E-13</v>
      </c>
      <c r="BF196" s="14">
        <f t="shared" si="167"/>
        <v>3.6292411711343559E-12</v>
      </c>
      <c r="BG196" s="22">
        <f t="shared" si="168"/>
        <v>6.7935256943361388E-12</v>
      </c>
      <c r="BH196" s="60">
        <f t="shared" ref="BH196:BH203" si="194">BG196+(AY196+AZ196)*44/12</f>
        <v>290.20450434631533</v>
      </c>
      <c r="BI196" s="60">
        <f ca="1">AVERAGE(OFFSET($BH$3,0,0,'Données projet'!$E$11+1,1))-AVERAGE(OFFSET($H$3,0,0,'Données projet'!$E$11+1,1))</f>
        <v>336.25341821407534</v>
      </c>
      <c r="BJ196" s="60">
        <f t="shared" si="146"/>
        <v>360.3246221345039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-8.7434273154940449E-13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469.67944008675863</v>
      </c>
      <c r="CE196" s="60">
        <f t="shared" si="148"/>
        <v>266.11908070867173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8.8675733422860506E-14</v>
      </c>
      <c r="CV196" s="14">
        <f t="shared" si="173"/>
        <v>1.3509285393066301E-12</v>
      </c>
      <c r="CW196" s="22">
        <f t="shared" si="174"/>
        <v>2.5073107750038623E-12</v>
      </c>
      <c r="CX196" s="60">
        <f t="shared" ref="CX196:CX203" si="196">CW196+(CO196+CP196)*44/12</f>
        <v>290.20450434631101</v>
      </c>
      <c r="CY196" s="60">
        <f ca="1">AVERAGE(OFFSET($CX$3,0,0,'Données projet'!$E$13+1,1))-AVERAGE(OFFSET($H$3,0,0,'Données projet'!$E$13+1,1))</f>
        <v>312.59632808777332</v>
      </c>
      <c r="CZ196" s="60">
        <f t="shared" si="150"/>
        <v>302.59481222418219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1.0818439477588981E-13</v>
      </c>
      <c r="DQ196" s="14">
        <f t="shared" si="176"/>
        <v>1.6104228458716316E-12</v>
      </c>
      <c r="DR196" s="22">
        <f t="shared" si="177"/>
        <v>2.9932409441277661E-12</v>
      </c>
      <c r="DS196" s="60">
        <f t="shared" ref="DS196:DS203" si="197">DR196+(DJ196+DK196)*44/12</f>
        <v>290.20450434631152</v>
      </c>
      <c r="DT196" s="60">
        <f ca="1">AVERAGE(OFFSET($DS$3,0,0,'Données projet'!$E$14+1,1))-AVERAGE(OFFSET($H$3,0,0,'Données projet'!$E$14+1,1))</f>
        <v>398.29746143975166</v>
      </c>
      <c r="DU196" s="60">
        <f t="shared" si="152"/>
        <v>300.63705521148802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-9.6633812063373625E-13</v>
      </c>
      <c r="EK196" s="18">
        <f>EJ196*VLOOKUP('Données projet'!$B$15,Paramètres!$A$1:$I$89,3,0)*VLOOKUP('Données projet'!$B$15,Paramètres!$A$1:$I$89,5,0)</f>
        <v>-9.3464223027694966E-13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496.33873798282525</v>
      </c>
      <c r="EP196" s="60">
        <f t="shared" si="154"/>
        <v>280.25465074992246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3.4106051316484809E-13</v>
      </c>
      <c r="FF196" s="18">
        <f>FE196*VLOOKUP('Données projet'!$B$16,Paramètres!$A$1:$I$89,3,0)*VLOOKUP('Données projet'!$B$16,Paramètres!$A$1:$I$89,5,0)</f>
        <v>2.9795046430081134E-13</v>
      </c>
      <c r="FG196" s="14">
        <f t="shared" si="182"/>
        <v>3.9419014464513778E-12</v>
      </c>
      <c r="FH196" s="22">
        <f t="shared" si="183"/>
        <v>7.384408744560063E-12</v>
      </c>
      <c r="FI196" s="60">
        <f t="shared" ref="FI196:FI203" si="199">FH196+(EZ196+FA196)*44/12</f>
        <v>290.2045043463159</v>
      </c>
      <c r="FJ196" s="60">
        <f ca="1">AVERAGE(OFFSET($FI$3,0,0,'Données projet'!$E$16+1,1))-AVERAGE(OFFSET($H$3,0,0,'Données projet'!$E$16+1,1))</f>
        <v>363.28611056308665</v>
      </c>
      <c r="FK196" s="60">
        <f t="shared" si="156"/>
        <v>389.43647559455974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1.7053025658242404E-13</v>
      </c>
      <c r="GA196" s="18">
        <f>FZ196*VLOOKUP('Données projet'!$B$17,Paramètres!$A$1:$I$89,3,0)*VLOOKUP('Données projet'!$B$17,Paramètres!$A$1:$I$89,5,0)</f>
        <v>1.1439169611549005E-13</v>
      </c>
      <c r="GB196" s="14">
        <f t="shared" si="185"/>
        <v>1.6918016515029816E-12</v>
      </c>
      <c r="GC196" s="22">
        <f t="shared" si="186"/>
        <v>3.1457867471021712E-12</v>
      </c>
      <c r="GD196" s="60">
        <f t="shared" ref="GD196:GD203" si="200">GC196+(FU196+FV196)*44/12</f>
        <v>290.20450434631164</v>
      </c>
      <c r="GE196" s="60">
        <f ca="1">AVERAGE(OFFSET($GD$3,0,0,'Données projet'!$E$17+1,1))-AVERAGE(OFFSET($H$3,0,0,'Données projet'!$E$17+1,1))</f>
        <v>344.62096650402731</v>
      </c>
      <c r="GF196" s="60">
        <f t="shared" si="158"/>
        <v>277.30931495079346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-6.8212102632969618E-13</v>
      </c>
      <c r="O197" s="14">
        <f>N197*VLOOKUP('Données projet'!$B$9,Paramètres!$A$1:$I$89,3,0)*VLOOKUP('Données projet'!$B$9,Paramètres!$A$1:$I$89,5,0)</f>
        <v>-5.8525984059087939E-13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632.26350546340541</v>
      </c>
      <c r="T197" s="60">
        <f t="shared" ref="T197:T203" si="204">$T$3</f>
        <v>340.45335016367915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2.7134774427395314E-13</v>
      </c>
      <c r="AK197" s="14">
        <f t="shared" si="164"/>
        <v>3.6292411711343559E-12</v>
      </c>
      <c r="AL197" s="22">
        <f t="shared" si="165"/>
        <v>6.7935256943361388E-12</v>
      </c>
      <c r="AM197" s="60">
        <f t="shared" si="193"/>
        <v>290.25878253422655</v>
      </c>
      <c r="AN197" s="60">
        <f ca="1">AVERAGE(OFFSET($AM$3,0,0,'Données projet'!$E$10+1,1))-AVERAGE(OFFSET($H$3,0,0,'Données projet'!$E$10+1,1))</f>
        <v>336.25341821407534</v>
      </c>
      <c r="AO197" s="60">
        <f t="shared" ref="AO197:AO203" si="205">$AO$3</f>
        <v>360.3246221345039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2.7134774427395314E-13</v>
      </c>
      <c r="BF197" s="14">
        <f t="shared" si="167"/>
        <v>3.6292411711343559E-12</v>
      </c>
      <c r="BG197" s="22">
        <f t="shared" si="168"/>
        <v>6.7935256943361388E-12</v>
      </c>
      <c r="BH197" s="60">
        <f t="shared" si="194"/>
        <v>290.25878253422655</v>
      </c>
      <c r="BI197" s="60">
        <f ca="1">AVERAGE(OFFSET($BH$3,0,0,'Données projet'!$E$11+1,1))-AVERAGE(OFFSET($H$3,0,0,'Données projet'!$E$11+1,1))</f>
        <v>336.25341821407534</v>
      </c>
      <c r="BJ197" s="60">
        <f t="shared" ref="BJ197:BJ203" si="206">$BJ$3</f>
        <v>360.3246221345039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-8.7434273154940449E-13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469.67944008675863</v>
      </c>
      <c r="CE197" s="60">
        <f t="shared" ref="CE197:CE203" si="207">$CE$3</f>
        <v>266.11908070867173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8.8675733422860506E-14</v>
      </c>
      <c r="CV197" s="14">
        <f t="shared" si="173"/>
        <v>1.3509285393066301E-12</v>
      </c>
      <c r="CW197" s="22">
        <f t="shared" si="174"/>
        <v>2.5073107750038623E-12</v>
      </c>
      <c r="CX197" s="60">
        <f t="shared" si="196"/>
        <v>290.25878253422223</v>
      </c>
      <c r="CY197" s="60">
        <f ca="1">AVERAGE(OFFSET($CX$3,0,0,'Données projet'!$E$13+1,1))-AVERAGE(OFFSET($H$3,0,0,'Données projet'!$E$13+1,1))</f>
        <v>312.59632808777332</v>
      </c>
      <c r="CZ197" s="60">
        <f t="shared" ref="CZ197:CZ203" si="208">$CZ$3</f>
        <v>302.59481222418219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1.0818439477588981E-13</v>
      </c>
      <c r="DQ197" s="14">
        <f t="shared" si="176"/>
        <v>1.6104228458716316E-12</v>
      </c>
      <c r="DR197" s="22">
        <f t="shared" si="177"/>
        <v>2.9932409441277661E-12</v>
      </c>
      <c r="DS197" s="60">
        <f t="shared" si="197"/>
        <v>290.25878253422275</v>
      </c>
      <c r="DT197" s="60">
        <f ca="1">AVERAGE(OFFSET($DS$3,0,0,'Données projet'!$E$14+1,1))-AVERAGE(OFFSET($H$3,0,0,'Données projet'!$E$14+1,1))</f>
        <v>398.29746143975166</v>
      </c>
      <c r="DU197" s="60">
        <f t="shared" ref="DU197:DU203" si="209">$DU$3</f>
        <v>300.63705521148802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-9.6633812063373625E-13</v>
      </c>
      <c r="EK197" s="18">
        <f>EJ197*VLOOKUP('Données projet'!$B$15,Paramètres!$A$1:$I$89,3,0)*VLOOKUP('Données projet'!$B$15,Paramètres!$A$1:$I$89,5,0)</f>
        <v>-9.3464223027694966E-13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496.33873798282525</v>
      </c>
      <c r="EP197" s="60">
        <f t="shared" ref="EP197:EP203" si="210">$EP$3</f>
        <v>280.25465074992246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3.4106051316484809E-13</v>
      </c>
      <c r="FF197" s="18">
        <f>FE197*VLOOKUP('Données projet'!$B$16,Paramètres!$A$1:$I$89,3,0)*VLOOKUP('Données projet'!$B$16,Paramètres!$A$1:$I$89,5,0)</f>
        <v>2.9795046430081134E-13</v>
      </c>
      <c r="FG197" s="14">
        <f t="shared" si="182"/>
        <v>3.9419014464513778E-12</v>
      </c>
      <c r="FH197" s="22">
        <f t="shared" si="183"/>
        <v>7.384408744560063E-12</v>
      </c>
      <c r="FI197" s="60">
        <f t="shared" si="199"/>
        <v>290.25878253422712</v>
      </c>
      <c r="FJ197" s="60">
        <f ca="1">AVERAGE(OFFSET($FI$3,0,0,'Données projet'!$E$16+1,1))-AVERAGE(OFFSET($H$3,0,0,'Données projet'!$E$16+1,1))</f>
        <v>363.28611056308665</v>
      </c>
      <c r="FK197" s="60">
        <f t="shared" ref="FK197:FK203" si="211">$FK$3</f>
        <v>389.43647559455974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1.7053025658242404E-13</v>
      </c>
      <c r="GA197" s="18">
        <f>FZ197*VLOOKUP('Données projet'!$B$17,Paramètres!$A$1:$I$89,3,0)*VLOOKUP('Données projet'!$B$17,Paramètres!$A$1:$I$89,5,0)</f>
        <v>1.1439169611549005E-13</v>
      </c>
      <c r="GB197" s="14">
        <f t="shared" si="185"/>
        <v>1.6918016515029816E-12</v>
      </c>
      <c r="GC197" s="22">
        <f t="shared" si="186"/>
        <v>3.1457867471021712E-12</v>
      </c>
      <c r="GD197" s="60">
        <f t="shared" si="200"/>
        <v>290.25878253422286</v>
      </c>
      <c r="GE197" s="60">
        <f ca="1">AVERAGE(OFFSET($GD$3,0,0,'Données projet'!$E$17+1,1))-AVERAGE(OFFSET($H$3,0,0,'Données projet'!$E$17+1,1))</f>
        <v>344.62096650402731</v>
      </c>
      <c r="GF197" s="60">
        <f t="shared" ref="GF197:GF203" si="212">$GF$3</f>
        <v>277.30931495079346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-6.8212102632969618E-13</v>
      </c>
      <c r="O198" s="14">
        <f>N198*VLOOKUP('Données projet'!$B$9,Paramètres!$A$1:$I$89,3,0)*VLOOKUP('Données projet'!$B$9,Paramètres!$A$1:$I$89,5,0)</f>
        <v>-5.8525984059087939E-13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632.26350546340541</v>
      </c>
      <c r="T198" s="60">
        <f t="shared" si="204"/>
        <v>340.45335016367915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2.7134774427395314E-13</v>
      </c>
      <c r="AK198" s="14">
        <f t="shared" si="164"/>
        <v>3.6292411711343559E-12</v>
      </c>
      <c r="AL198" s="22">
        <f t="shared" si="165"/>
        <v>6.7935256943361388E-12</v>
      </c>
      <c r="AM198" s="60">
        <f t="shared" si="193"/>
        <v>290.31211911692532</v>
      </c>
      <c r="AN198" s="60">
        <f ca="1">AVERAGE(OFFSET($AM$3,0,0,'Données projet'!$E$10+1,1))-AVERAGE(OFFSET($H$3,0,0,'Données projet'!$E$10+1,1))</f>
        <v>336.25341821407534</v>
      </c>
      <c r="AO198" s="60">
        <f t="shared" si="205"/>
        <v>360.3246221345039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2.7134774427395314E-13</v>
      </c>
      <c r="BF198" s="14">
        <f t="shared" si="167"/>
        <v>3.6292411711343559E-12</v>
      </c>
      <c r="BG198" s="22">
        <f t="shared" si="168"/>
        <v>6.7935256943361388E-12</v>
      </c>
      <c r="BH198" s="60">
        <f t="shared" si="194"/>
        <v>290.31211911692532</v>
      </c>
      <c r="BI198" s="60">
        <f ca="1">AVERAGE(OFFSET($BH$3,0,0,'Données projet'!$E$11+1,1))-AVERAGE(OFFSET($H$3,0,0,'Données projet'!$E$11+1,1))</f>
        <v>336.25341821407534</v>
      </c>
      <c r="BJ198" s="60">
        <f t="shared" si="206"/>
        <v>360.3246221345039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-8.7434273154940449E-13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469.67944008675863</v>
      </c>
      <c r="CE198" s="60">
        <f t="shared" si="207"/>
        <v>266.11908070867173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8.8675733422860506E-14</v>
      </c>
      <c r="CV198" s="14">
        <f t="shared" si="173"/>
        <v>1.3509285393066301E-12</v>
      </c>
      <c r="CW198" s="22">
        <f t="shared" si="174"/>
        <v>2.5073107750038623E-12</v>
      </c>
      <c r="CX198" s="60">
        <f t="shared" si="196"/>
        <v>290.312119116921</v>
      </c>
      <c r="CY198" s="60">
        <f ca="1">AVERAGE(OFFSET($CX$3,0,0,'Données projet'!$E$13+1,1))-AVERAGE(OFFSET($H$3,0,0,'Données projet'!$E$13+1,1))</f>
        <v>312.59632808777332</v>
      </c>
      <c r="CZ198" s="60">
        <f t="shared" si="208"/>
        <v>302.59481222418219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1.0818439477588981E-13</v>
      </c>
      <c r="DQ198" s="14">
        <f t="shared" si="176"/>
        <v>1.6104228458716316E-12</v>
      </c>
      <c r="DR198" s="22">
        <f t="shared" si="177"/>
        <v>2.9932409441277661E-12</v>
      </c>
      <c r="DS198" s="60">
        <f t="shared" si="197"/>
        <v>290.31211911692151</v>
      </c>
      <c r="DT198" s="60">
        <f ca="1">AVERAGE(OFFSET($DS$3,0,0,'Données projet'!$E$14+1,1))-AVERAGE(OFFSET($H$3,0,0,'Données projet'!$E$14+1,1))</f>
        <v>398.29746143975166</v>
      </c>
      <c r="DU198" s="60">
        <f t="shared" si="209"/>
        <v>300.63705521148802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-9.6633812063373625E-13</v>
      </c>
      <c r="EK198" s="18">
        <f>EJ198*VLOOKUP('Données projet'!$B$15,Paramètres!$A$1:$I$89,3,0)*VLOOKUP('Données projet'!$B$15,Paramètres!$A$1:$I$89,5,0)</f>
        <v>-9.3464223027694966E-13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496.33873798282525</v>
      </c>
      <c r="EP198" s="60">
        <f t="shared" si="210"/>
        <v>280.25465074992246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3.4106051316484809E-13</v>
      </c>
      <c r="FF198" s="18">
        <f>FE198*VLOOKUP('Données projet'!$B$16,Paramètres!$A$1:$I$89,3,0)*VLOOKUP('Données projet'!$B$16,Paramètres!$A$1:$I$89,5,0)</f>
        <v>2.9795046430081134E-13</v>
      </c>
      <c r="FG198" s="14">
        <f t="shared" si="182"/>
        <v>3.9419014464513778E-12</v>
      </c>
      <c r="FH198" s="22">
        <f t="shared" si="183"/>
        <v>7.384408744560063E-12</v>
      </c>
      <c r="FI198" s="60">
        <f t="shared" si="199"/>
        <v>290.31211911692589</v>
      </c>
      <c r="FJ198" s="60">
        <f ca="1">AVERAGE(OFFSET($FI$3,0,0,'Données projet'!$E$16+1,1))-AVERAGE(OFFSET($H$3,0,0,'Données projet'!$E$16+1,1))</f>
        <v>363.28611056308665</v>
      </c>
      <c r="FK198" s="60">
        <f t="shared" si="211"/>
        <v>389.43647559455974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1.7053025658242404E-13</v>
      </c>
      <c r="GA198" s="18">
        <f>FZ198*VLOOKUP('Données projet'!$B$17,Paramètres!$A$1:$I$89,3,0)*VLOOKUP('Données projet'!$B$17,Paramètres!$A$1:$I$89,5,0)</f>
        <v>1.1439169611549005E-13</v>
      </c>
      <c r="GB198" s="14">
        <f t="shared" si="185"/>
        <v>1.6918016515029816E-12</v>
      </c>
      <c r="GC198" s="22">
        <f t="shared" si="186"/>
        <v>3.1457867471021712E-12</v>
      </c>
      <c r="GD198" s="60">
        <f t="shared" si="200"/>
        <v>290.31211911692162</v>
      </c>
      <c r="GE198" s="60">
        <f ca="1">AVERAGE(OFFSET($GD$3,0,0,'Données projet'!$E$17+1,1))-AVERAGE(OFFSET($H$3,0,0,'Données projet'!$E$17+1,1))</f>
        <v>344.62096650402731</v>
      </c>
      <c r="GF198" s="60">
        <f t="shared" si="212"/>
        <v>277.30931495079346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-6.8212102632969618E-13</v>
      </c>
      <c r="O199" s="14">
        <f>N199*VLOOKUP('Données projet'!$B$9,Paramètres!$A$1:$I$89,3,0)*VLOOKUP('Données projet'!$B$9,Paramètres!$A$1:$I$89,5,0)</f>
        <v>-5.8525984059087939E-13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632.26350546340541</v>
      </c>
      <c r="T199" s="60">
        <f t="shared" si="204"/>
        <v>340.45335016367915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2.7134774427395314E-13</v>
      </c>
      <c r="AK199" s="14">
        <f t="shared" si="164"/>
        <v>3.6292411711343559E-12</v>
      </c>
      <c r="AL199" s="22">
        <f t="shared" si="165"/>
        <v>6.7935256943361388E-12</v>
      </c>
      <c r="AM199" s="60">
        <f t="shared" si="193"/>
        <v>290.36453042915701</v>
      </c>
      <c r="AN199" s="60">
        <f ca="1">AVERAGE(OFFSET($AM$3,0,0,'Données projet'!$E$10+1,1))-AVERAGE(OFFSET($H$3,0,0,'Données projet'!$E$10+1,1))</f>
        <v>336.25341821407534</v>
      </c>
      <c r="AO199" s="60">
        <f t="shared" si="205"/>
        <v>360.3246221345039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2.7134774427395314E-13</v>
      </c>
      <c r="BF199" s="14">
        <f t="shared" si="167"/>
        <v>3.6292411711343559E-12</v>
      </c>
      <c r="BG199" s="22">
        <f t="shared" si="168"/>
        <v>6.7935256943361388E-12</v>
      </c>
      <c r="BH199" s="60">
        <f t="shared" si="194"/>
        <v>290.36453042915701</v>
      </c>
      <c r="BI199" s="60">
        <f ca="1">AVERAGE(OFFSET($BH$3,0,0,'Données projet'!$E$11+1,1))-AVERAGE(OFFSET($H$3,0,0,'Données projet'!$E$11+1,1))</f>
        <v>336.25341821407534</v>
      </c>
      <c r="BJ199" s="60">
        <f t="shared" si="206"/>
        <v>360.3246221345039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-8.7434273154940449E-13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469.67944008675863</v>
      </c>
      <c r="CE199" s="60">
        <f t="shared" si="207"/>
        <v>266.11908070867173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8.8675733422860506E-14</v>
      </c>
      <c r="CV199" s="14">
        <f t="shared" si="173"/>
        <v>1.3509285393066301E-12</v>
      </c>
      <c r="CW199" s="22">
        <f t="shared" si="174"/>
        <v>2.5073107750038623E-12</v>
      </c>
      <c r="CX199" s="60">
        <f t="shared" si="196"/>
        <v>290.36453042915269</v>
      </c>
      <c r="CY199" s="60">
        <f ca="1">AVERAGE(OFFSET($CX$3,0,0,'Données projet'!$E$13+1,1))-AVERAGE(OFFSET($H$3,0,0,'Données projet'!$E$13+1,1))</f>
        <v>312.59632808777332</v>
      </c>
      <c r="CZ199" s="60">
        <f t="shared" si="208"/>
        <v>302.59481222418219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1.0818439477588981E-13</v>
      </c>
      <c r="DQ199" s="14">
        <f t="shared" si="176"/>
        <v>1.6104228458716316E-12</v>
      </c>
      <c r="DR199" s="22">
        <f t="shared" si="177"/>
        <v>2.9932409441277661E-12</v>
      </c>
      <c r="DS199" s="60">
        <f t="shared" si="197"/>
        <v>290.36453042915321</v>
      </c>
      <c r="DT199" s="60">
        <f ca="1">AVERAGE(OFFSET($DS$3,0,0,'Données projet'!$E$14+1,1))-AVERAGE(OFFSET($H$3,0,0,'Données projet'!$E$14+1,1))</f>
        <v>398.29746143975166</v>
      </c>
      <c r="DU199" s="60">
        <f t="shared" si="209"/>
        <v>300.63705521148802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-9.6633812063373625E-13</v>
      </c>
      <c r="EK199" s="18">
        <f>EJ199*VLOOKUP('Données projet'!$B$15,Paramètres!$A$1:$I$89,3,0)*VLOOKUP('Données projet'!$B$15,Paramètres!$A$1:$I$89,5,0)</f>
        <v>-9.3464223027694966E-13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496.33873798282525</v>
      </c>
      <c r="EP199" s="60">
        <f t="shared" si="210"/>
        <v>280.25465074992246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3.4106051316484809E-13</v>
      </c>
      <c r="FF199" s="18">
        <f>FE199*VLOOKUP('Données projet'!$B$16,Paramètres!$A$1:$I$89,3,0)*VLOOKUP('Données projet'!$B$16,Paramètres!$A$1:$I$89,5,0)</f>
        <v>2.9795046430081134E-13</v>
      </c>
      <c r="FG199" s="14">
        <f t="shared" si="182"/>
        <v>3.9419014464513778E-12</v>
      </c>
      <c r="FH199" s="22">
        <f t="shared" si="183"/>
        <v>7.384408744560063E-12</v>
      </c>
      <c r="FI199" s="60">
        <f t="shared" si="199"/>
        <v>290.36453042915758</v>
      </c>
      <c r="FJ199" s="60">
        <f ca="1">AVERAGE(OFFSET($FI$3,0,0,'Données projet'!$E$16+1,1))-AVERAGE(OFFSET($H$3,0,0,'Données projet'!$E$16+1,1))</f>
        <v>363.28611056308665</v>
      </c>
      <c r="FK199" s="60">
        <f t="shared" si="211"/>
        <v>389.43647559455974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1.7053025658242404E-13</v>
      </c>
      <c r="GA199" s="18">
        <f>FZ199*VLOOKUP('Données projet'!$B$17,Paramètres!$A$1:$I$89,3,0)*VLOOKUP('Données projet'!$B$17,Paramètres!$A$1:$I$89,5,0)</f>
        <v>1.1439169611549005E-13</v>
      </c>
      <c r="GB199" s="14">
        <f t="shared" si="185"/>
        <v>1.6918016515029816E-12</v>
      </c>
      <c r="GC199" s="22">
        <f t="shared" si="186"/>
        <v>3.1457867471021712E-12</v>
      </c>
      <c r="GD199" s="60">
        <f t="shared" si="200"/>
        <v>290.36453042915332</v>
      </c>
      <c r="GE199" s="60">
        <f ca="1">AVERAGE(OFFSET($GD$3,0,0,'Données projet'!$E$17+1,1))-AVERAGE(OFFSET($H$3,0,0,'Données projet'!$E$17+1,1))</f>
        <v>344.62096650402731</v>
      </c>
      <c r="GF199" s="60">
        <f t="shared" si="212"/>
        <v>277.30931495079346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-6.8212102632969618E-13</v>
      </c>
      <c r="O200" s="14">
        <f>N200*VLOOKUP('Données projet'!$B$9,Paramètres!$A$1:$I$89,3,0)*VLOOKUP('Données projet'!$B$9,Paramètres!$A$1:$I$89,5,0)</f>
        <v>-5.8525984059087939E-13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632.26350546340541</v>
      </c>
      <c r="T200" s="60">
        <f t="shared" si="204"/>
        <v>340.45335016367915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2.7134774427395314E-13</v>
      </c>
      <c r="AK200" s="14">
        <f t="shared" si="164"/>
        <v>3.6292411711343559E-12</v>
      </c>
      <c r="AL200" s="22">
        <f t="shared" si="165"/>
        <v>6.7935256943361388E-12</v>
      </c>
      <c r="AM200" s="60">
        <f t="shared" si="193"/>
        <v>290.41603252229561</v>
      </c>
      <c r="AN200" s="60">
        <f ca="1">AVERAGE(OFFSET($AM$3,0,0,'Données projet'!$E$10+1,1))-AVERAGE(OFFSET($H$3,0,0,'Données projet'!$E$10+1,1))</f>
        <v>336.25341821407534</v>
      </c>
      <c r="AO200" s="60">
        <f t="shared" si="205"/>
        <v>360.3246221345039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2.7134774427395314E-13</v>
      </c>
      <c r="BF200" s="14">
        <f t="shared" si="167"/>
        <v>3.6292411711343559E-12</v>
      </c>
      <c r="BG200" s="22">
        <f t="shared" si="168"/>
        <v>6.7935256943361388E-12</v>
      </c>
      <c r="BH200" s="60">
        <f t="shared" si="194"/>
        <v>290.41603252229561</v>
      </c>
      <c r="BI200" s="60">
        <f ca="1">AVERAGE(OFFSET($BH$3,0,0,'Données projet'!$E$11+1,1))-AVERAGE(OFFSET($H$3,0,0,'Données projet'!$E$11+1,1))</f>
        <v>336.25341821407534</v>
      </c>
      <c r="BJ200" s="60">
        <f t="shared" si="206"/>
        <v>360.3246221345039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-8.7434273154940449E-13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469.67944008675863</v>
      </c>
      <c r="CE200" s="60">
        <f t="shared" si="207"/>
        <v>266.11908070867173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8.8675733422860506E-14</v>
      </c>
      <c r="CV200" s="14">
        <f t="shared" si="173"/>
        <v>1.3509285393066301E-12</v>
      </c>
      <c r="CW200" s="22">
        <f t="shared" si="174"/>
        <v>2.5073107750038623E-12</v>
      </c>
      <c r="CX200" s="60">
        <f t="shared" si="196"/>
        <v>290.41603252229129</v>
      </c>
      <c r="CY200" s="60">
        <f ca="1">AVERAGE(OFFSET($CX$3,0,0,'Données projet'!$E$13+1,1))-AVERAGE(OFFSET($H$3,0,0,'Données projet'!$E$13+1,1))</f>
        <v>312.59632808777332</v>
      </c>
      <c r="CZ200" s="60">
        <f t="shared" si="208"/>
        <v>302.59481222418219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1.0818439477588981E-13</v>
      </c>
      <c r="DQ200" s="14">
        <f t="shared" si="176"/>
        <v>1.6104228458716316E-12</v>
      </c>
      <c r="DR200" s="22">
        <f t="shared" si="177"/>
        <v>2.9932409441277661E-12</v>
      </c>
      <c r="DS200" s="60">
        <f t="shared" si="197"/>
        <v>290.4160325222918</v>
      </c>
      <c r="DT200" s="60">
        <f ca="1">AVERAGE(OFFSET($DS$3,0,0,'Données projet'!$E$14+1,1))-AVERAGE(OFFSET($H$3,0,0,'Données projet'!$E$14+1,1))</f>
        <v>398.29746143975166</v>
      </c>
      <c r="DU200" s="60">
        <f t="shared" si="209"/>
        <v>300.63705521148802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-9.6633812063373625E-13</v>
      </c>
      <c r="EK200" s="18">
        <f>EJ200*VLOOKUP('Données projet'!$B$15,Paramètres!$A$1:$I$89,3,0)*VLOOKUP('Données projet'!$B$15,Paramètres!$A$1:$I$89,5,0)</f>
        <v>-9.3464223027694966E-13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496.33873798282525</v>
      </c>
      <c r="EP200" s="60">
        <f t="shared" si="210"/>
        <v>280.25465074992246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3.4106051316484809E-13</v>
      </c>
      <c r="FF200" s="18">
        <f>FE200*VLOOKUP('Données projet'!$B$16,Paramètres!$A$1:$I$89,3,0)*VLOOKUP('Données projet'!$B$16,Paramètres!$A$1:$I$89,5,0)</f>
        <v>2.9795046430081134E-13</v>
      </c>
      <c r="FG200" s="14">
        <f t="shared" si="182"/>
        <v>3.9419014464513778E-12</v>
      </c>
      <c r="FH200" s="22">
        <f t="shared" si="183"/>
        <v>7.384408744560063E-12</v>
      </c>
      <c r="FI200" s="60">
        <f t="shared" si="199"/>
        <v>290.41603252229618</v>
      </c>
      <c r="FJ200" s="60">
        <f ca="1">AVERAGE(OFFSET($FI$3,0,0,'Données projet'!$E$16+1,1))-AVERAGE(OFFSET($H$3,0,0,'Données projet'!$E$16+1,1))</f>
        <v>363.28611056308665</v>
      </c>
      <c r="FK200" s="60">
        <f t="shared" si="211"/>
        <v>389.43647559455974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1.7053025658242404E-13</v>
      </c>
      <c r="GA200" s="18">
        <f>FZ200*VLOOKUP('Données projet'!$B$17,Paramètres!$A$1:$I$89,3,0)*VLOOKUP('Données projet'!$B$17,Paramètres!$A$1:$I$89,5,0)</f>
        <v>1.1439169611549005E-13</v>
      </c>
      <c r="GB200" s="14">
        <f t="shared" si="185"/>
        <v>1.6918016515029816E-12</v>
      </c>
      <c r="GC200" s="22">
        <f t="shared" si="186"/>
        <v>3.1457867471021712E-12</v>
      </c>
      <c r="GD200" s="60">
        <f t="shared" si="200"/>
        <v>290.41603252229191</v>
      </c>
      <c r="GE200" s="60">
        <f ca="1">AVERAGE(OFFSET($GD$3,0,0,'Données projet'!$E$17+1,1))-AVERAGE(OFFSET($H$3,0,0,'Données projet'!$E$17+1,1))</f>
        <v>344.62096650402731</v>
      </c>
      <c r="GF200" s="60">
        <f t="shared" si="212"/>
        <v>277.30931495079346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-6.8212102632969618E-13</v>
      </c>
      <c r="O201" s="14">
        <f>N201*VLOOKUP('Données projet'!$B$9,Paramètres!$A$1:$I$89,3,0)*VLOOKUP('Données projet'!$B$9,Paramètres!$A$1:$I$89,5,0)</f>
        <v>-5.8525984059087939E-13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632.26350546340541</v>
      </c>
      <c r="T201" s="60">
        <f t="shared" si="204"/>
        <v>340.45335016367915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2.7134774427395314E-13</v>
      </c>
      <c r="AK201" s="14">
        <f t="shared" si="164"/>
        <v>3.6292411711343559E-12</v>
      </c>
      <c r="AL201" s="22">
        <f t="shared" si="165"/>
        <v>6.7935256943361388E-12</v>
      </c>
      <c r="AM201" s="60">
        <f t="shared" si="193"/>
        <v>290.46664116925973</v>
      </c>
      <c r="AN201" s="60">
        <f ca="1">AVERAGE(OFFSET($AM$3,0,0,'Données projet'!$E$10+1,1))-AVERAGE(OFFSET($H$3,0,0,'Données projet'!$E$10+1,1))</f>
        <v>336.25341821407534</v>
      </c>
      <c r="AO201" s="60">
        <f t="shared" si="205"/>
        <v>360.3246221345039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2.7134774427395314E-13</v>
      </c>
      <c r="BF201" s="14">
        <f t="shared" si="167"/>
        <v>3.6292411711343559E-12</v>
      </c>
      <c r="BG201" s="22">
        <f t="shared" si="168"/>
        <v>6.7935256943361388E-12</v>
      </c>
      <c r="BH201" s="60">
        <f t="shared" si="194"/>
        <v>290.46664116925973</v>
      </c>
      <c r="BI201" s="60">
        <f ca="1">AVERAGE(OFFSET($BH$3,0,0,'Données projet'!$E$11+1,1))-AVERAGE(OFFSET($H$3,0,0,'Données projet'!$E$11+1,1))</f>
        <v>336.25341821407534</v>
      </c>
      <c r="BJ201" s="60">
        <f t="shared" si="206"/>
        <v>360.3246221345039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-8.7434273154940449E-13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469.67944008675863</v>
      </c>
      <c r="CE201" s="60">
        <f t="shared" si="207"/>
        <v>266.11908070867173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8.8675733422860506E-14</v>
      </c>
      <c r="CV201" s="14">
        <f t="shared" si="173"/>
        <v>1.3509285393066301E-12</v>
      </c>
      <c r="CW201" s="22">
        <f t="shared" si="174"/>
        <v>2.5073107750038623E-12</v>
      </c>
      <c r="CX201" s="60">
        <f t="shared" si="196"/>
        <v>290.46664116925541</v>
      </c>
      <c r="CY201" s="60">
        <f ca="1">AVERAGE(OFFSET($CX$3,0,0,'Données projet'!$E$13+1,1))-AVERAGE(OFFSET($H$3,0,0,'Données projet'!$E$13+1,1))</f>
        <v>312.59632808777332</v>
      </c>
      <c r="CZ201" s="60">
        <f t="shared" si="208"/>
        <v>302.59481222418219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1.0818439477588981E-13</v>
      </c>
      <c r="DQ201" s="14">
        <f t="shared" si="176"/>
        <v>1.6104228458716316E-12</v>
      </c>
      <c r="DR201" s="22">
        <f t="shared" si="177"/>
        <v>2.9932409441277661E-12</v>
      </c>
      <c r="DS201" s="60">
        <f t="shared" si="197"/>
        <v>290.46664116925592</v>
      </c>
      <c r="DT201" s="60">
        <f ca="1">AVERAGE(OFFSET($DS$3,0,0,'Données projet'!$E$14+1,1))-AVERAGE(OFFSET($H$3,0,0,'Données projet'!$E$14+1,1))</f>
        <v>398.29746143975166</v>
      </c>
      <c r="DU201" s="60">
        <f t="shared" si="209"/>
        <v>300.63705521148802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-9.6633812063373625E-13</v>
      </c>
      <c r="EK201" s="18">
        <f>EJ201*VLOOKUP('Données projet'!$B$15,Paramètres!$A$1:$I$89,3,0)*VLOOKUP('Données projet'!$B$15,Paramètres!$A$1:$I$89,5,0)</f>
        <v>-9.3464223027694966E-13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496.33873798282525</v>
      </c>
      <c r="EP201" s="60">
        <f t="shared" si="210"/>
        <v>280.25465074992246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3.4106051316484809E-13</v>
      </c>
      <c r="FF201" s="18">
        <f>FE201*VLOOKUP('Données projet'!$B$16,Paramètres!$A$1:$I$89,3,0)*VLOOKUP('Données projet'!$B$16,Paramètres!$A$1:$I$89,5,0)</f>
        <v>2.9795046430081134E-13</v>
      </c>
      <c r="FG201" s="14">
        <f t="shared" si="182"/>
        <v>3.9419014464513778E-12</v>
      </c>
      <c r="FH201" s="22">
        <f t="shared" si="183"/>
        <v>7.384408744560063E-12</v>
      </c>
      <c r="FI201" s="60">
        <f t="shared" si="199"/>
        <v>290.4666411692603</v>
      </c>
      <c r="FJ201" s="60">
        <f ca="1">AVERAGE(OFFSET($FI$3,0,0,'Données projet'!$E$16+1,1))-AVERAGE(OFFSET($H$3,0,0,'Données projet'!$E$16+1,1))</f>
        <v>363.28611056308665</v>
      </c>
      <c r="FK201" s="60">
        <f t="shared" si="211"/>
        <v>389.43647559455974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1.7053025658242404E-13</v>
      </c>
      <c r="GA201" s="18">
        <f>FZ201*VLOOKUP('Données projet'!$B$17,Paramètres!$A$1:$I$89,3,0)*VLOOKUP('Données projet'!$B$17,Paramètres!$A$1:$I$89,5,0)</f>
        <v>1.1439169611549005E-13</v>
      </c>
      <c r="GB201" s="14">
        <f t="shared" si="185"/>
        <v>1.6918016515029816E-12</v>
      </c>
      <c r="GC201" s="22">
        <f t="shared" si="186"/>
        <v>3.1457867471021712E-12</v>
      </c>
      <c r="GD201" s="60">
        <f t="shared" si="200"/>
        <v>290.46664116925604</v>
      </c>
      <c r="GE201" s="60">
        <f ca="1">AVERAGE(OFFSET($GD$3,0,0,'Données projet'!$E$17+1,1))-AVERAGE(OFFSET($H$3,0,0,'Données projet'!$E$17+1,1))</f>
        <v>344.62096650402731</v>
      </c>
      <c r="GF201" s="60">
        <f t="shared" si="212"/>
        <v>277.30931495079346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-6.8212102632969618E-13</v>
      </c>
      <c r="O202" s="14">
        <f>N202*VLOOKUP('Données projet'!$B$9,Paramètres!$A$1:$I$89,3,0)*VLOOKUP('Données projet'!$B$9,Paramètres!$A$1:$I$89,5,0)</f>
        <v>-5.8525984059087939E-13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632.26350546340541</v>
      </c>
      <c r="T202" s="60">
        <f t="shared" si="204"/>
        <v>340.45335016367915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2.7134774427395314E-13</v>
      </c>
      <c r="AK202" s="14">
        <f t="shared" si="164"/>
        <v>3.6292411711343559E-12</v>
      </c>
      <c r="AL202" s="22">
        <f t="shared" si="165"/>
        <v>6.7935256943361388E-12</v>
      </c>
      <c r="AM202" s="60">
        <f t="shared" si="193"/>
        <v>290.51637186934295</v>
      </c>
      <c r="AN202" s="60">
        <f ca="1">AVERAGE(OFFSET($AM$3,0,0,'Données projet'!$E$10+1,1))-AVERAGE(OFFSET($H$3,0,0,'Données projet'!$E$10+1,1))</f>
        <v>336.25341821407534</v>
      </c>
      <c r="AO202" s="60">
        <f t="shared" si="205"/>
        <v>360.3246221345039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2.7134774427395314E-13</v>
      </c>
      <c r="BF202" s="14">
        <f t="shared" si="167"/>
        <v>3.6292411711343559E-12</v>
      </c>
      <c r="BG202" s="22">
        <f t="shared" si="168"/>
        <v>6.7935256943361388E-12</v>
      </c>
      <c r="BH202" s="60">
        <f t="shared" si="194"/>
        <v>290.51637186934295</v>
      </c>
      <c r="BI202" s="60">
        <f ca="1">AVERAGE(OFFSET($BH$3,0,0,'Données projet'!$E$11+1,1))-AVERAGE(OFFSET($H$3,0,0,'Données projet'!$E$11+1,1))</f>
        <v>336.25341821407534</v>
      </c>
      <c r="BJ202" s="60">
        <f t="shared" si="206"/>
        <v>360.3246221345039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-8.7434273154940449E-13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469.67944008675863</v>
      </c>
      <c r="CE202" s="60">
        <f t="shared" si="207"/>
        <v>266.11908070867173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8.8675733422860506E-14</v>
      </c>
      <c r="CV202" s="14">
        <f t="shared" si="173"/>
        <v>1.3509285393066301E-12</v>
      </c>
      <c r="CW202" s="22">
        <f t="shared" si="174"/>
        <v>2.5073107750038623E-12</v>
      </c>
      <c r="CX202" s="60">
        <f t="shared" si="196"/>
        <v>290.51637186933863</v>
      </c>
      <c r="CY202" s="60">
        <f ca="1">AVERAGE(OFFSET($CX$3,0,0,'Données projet'!$E$13+1,1))-AVERAGE(OFFSET($H$3,0,0,'Données projet'!$E$13+1,1))</f>
        <v>312.59632808777332</v>
      </c>
      <c r="CZ202" s="60">
        <f t="shared" si="208"/>
        <v>302.59481222418219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1.0818439477588981E-13</v>
      </c>
      <c r="DQ202" s="14">
        <f t="shared" si="176"/>
        <v>1.6104228458716316E-12</v>
      </c>
      <c r="DR202" s="22">
        <f t="shared" si="177"/>
        <v>2.9932409441277661E-12</v>
      </c>
      <c r="DS202" s="60">
        <f t="shared" si="197"/>
        <v>290.51637186933914</v>
      </c>
      <c r="DT202" s="60">
        <f ca="1">AVERAGE(OFFSET($DS$3,0,0,'Données projet'!$E$14+1,1))-AVERAGE(OFFSET($H$3,0,0,'Données projet'!$E$14+1,1))</f>
        <v>398.29746143975166</v>
      </c>
      <c r="DU202" s="60">
        <f t="shared" si="209"/>
        <v>300.63705521148802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-9.6633812063373625E-13</v>
      </c>
      <c r="EK202" s="18">
        <f>EJ202*VLOOKUP('Données projet'!$B$15,Paramètres!$A$1:$I$89,3,0)*VLOOKUP('Données projet'!$B$15,Paramètres!$A$1:$I$89,5,0)</f>
        <v>-9.3464223027694966E-13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496.33873798282525</v>
      </c>
      <c r="EP202" s="60">
        <f t="shared" si="210"/>
        <v>280.25465074992246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3.4106051316484809E-13</v>
      </c>
      <c r="FF202" s="18">
        <f>FE202*VLOOKUP('Données projet'!$B$16,Paramètres!$A$1:$I$89,3,0)*VLOOKUP('Données projet'!$B$16,Paramètres!$A$1:$I$89,5,0)</f>
        <v>2.9795046430081134E-13</v>
      </c>
      <c r="FG202" s="14">
        <f t="shared" si="182"/>
        <v>3.9419014464513778E-12</v>
      </c>
      <c r="FH202" s="22">
        <f t="shared" si="183"/>
        <v>7.384408744560063E-12</v>
      </c>
      <c r="FI202" s="60">
        <f t="shared" si="199"/>
        <v>290.51637186934352</v>
      </c>
      <c r="FJ202" s="60">
        <f ca="1">AVERAGE(OFFSET($FI$3,0,0,'Données projet'!$E$16+1,1))-AVERAGE(OFFSET($H$3,0,0,'Données projet'!$E$16+1,1))</f>
        <v>363.28611056308665</v>
      </c>
      <c r="FK202" s="60">
        <f t="shared" si="211"/>
        <v>389.43647559455974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1.7053025658242404E-13</v>
      </c>
      <c r="GA202" s="18">
        <f>FZ202*VLOOKUP('Données projet'!$B$17,Paramètres!$A$1:$I$89,3,0)*VLOOKUP('Données projet'!$B$17,Paramètres!$A$1:$I$89,5,0)</f>
        <v>1.1439169611549005E-13</v>
      </c>
      <c r="GB202" s="14">
        <f t="shared" si="185"/>
        <v>1.6918016515029816E-12</v>
      </c>
      <c r="GC202" s="22">
        <f t="shared" si="186"/>
        <v>3.1457867471021712E-12</v>
      </c>
      <c r="GD202" s="60">
        <f t="shared" si="200"/>
        <v>290.51637186933925</v>
      </c>
      <c r="GE202" s="60">
        <f ca="1">AVERAGE(OFFSET($GD$3,0,0,'Données projet'!$E$17+1,1))-AVERAGE(OFFSET($H$3,0,0,'Données projet'!$E$17+1,1))</f>
        <v>344.62096650402731</v>
      </c>
      <c r="GF202" s="60">
        <f t="shared" si="212"/>
        <v>277.30931495079346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-6.8212102632969618E-13</v>
      </c>
      <c r="O203" s="14">
        <f>N203*VLOOKUP('Données projet'!$B$9,Paramètres!$A$1:$I$89,3,0)*VLOOKUP('Données projet'!$B$9,Paramètres!$A$1:$I$89,5,0)</f>
        <v>-5.8525984059087939E-13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632.26350546340541</v>
      </c>
      <c r="T203" s="60">
        <f t="shared" si="204"/>
        <v>340.45335016367915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2.7134774427395314E-13</v>
      </c>
      <c r="AK203" s="14">
        <f t="shared" si="164"/>
        <v>3.6292411711343559E-12</v>
      </c>
      <c r="AL203" s="22">
        <f t="shared" si="165"/>
        <v>6.7935256943361388E-12</v>
      </c>
      <c r="AM203" s="60">
        <f t="shared" si="193"/>
        <v>290.56523985296093</v>
      </c>
      <c r="AN203" s="60">
        <f ca="1">AVERAGE(OFFSET($AM$3,0,0,'Données projet'!$E$10+1,1))-AVERAGE(OFFSET($H$3,0,0,'Données projet'!$E$10+1,1))</f>
        <v>336.25341821407534</v>
      </c>
      <c r="AO203" s="60">
        <f t="shared" si="205"/>
        <v>360.3246221345039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2.7134774427395314E-13</v>
      </c>
      <c r="BF203" s="14">
        <f t="shared" si="167"/>
        <v>3.6292411711343559E-12</v>
      </c>
      <c r="BG203" s="22">
        <f t="shared" si="168"/>
        <v>6.7935256943361388E-12</v>
      </c>
      <c r="BH203" s="60">
        <f t="shared" si="194"/>
        <v>290.56523985296093</v>
      </c>
      <c r="BI203" s="60">
        <f ca="1">AVERAGE(OFFSET($BH$3,0,0,'Données projet'!$E$11+1,1))-AVERAGE(OFFSET($H$3,0,0,'Données projet'!$E$11+1,1))</f>
        <v>336.25341821407534</v>
      </c>
      <c r="BJ203" s="60">
        <f t="shared" si="206"/>
        <v>360.3246221345039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-8.7434273154940449E-13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469.67944008675863</v>
      </c>
      <c r="CE203" s="60">
        <f t="shared" si="207"/>
        <v>266.11908070867173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8.8675733422860506E-14</v>
      </c>
      <c r="CV203" s="14">
        <f t="shared" si="173"/>
        <v>1.3509285393066301E-12</v>
      </c>
      <c r="CW203" s="22">
        <f t="shared" si="174"/>
        <v>2.5073107750038623E-12</v>
      </c>
      <c r="CX203" s="60">
        <f t="shared" si="196"/>
        <v>290.56523985295661</v>
      </c>
      <c r="CY203" s="60">
        <f ca="1">AVERAGE(OFFSET($CX$3,0,0,'Données projet'!$E$13+1,1))-AVERAGE(OFFSET($H$3,0,0,'Données projet'!$E$13+1,1))</f>
        <v>312.59632808777332</v>
      </c>
      <c r="CZ203" s="60">
        <f t="shared" si="208"/>
        <v>302.59481222418219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1.0818439477588981E-13</v>
      </c>
      <c r="DQ203" s="14">
        <f t="shared" si="176"/>
        <v>1.6104228458716316E-12</v>
      </c>
      <c r="DR203" s="22">
        <f t="shared" si="177"/>
        <v>2.9932409441277661E-12</v>
      </c>
      <c r="DS203" s="60">
        <f t="shared" si="197"/>
        <v>290.56523985295712</v>
      </c>
      <c r="DT203" s="60">
        <f ca="1">AVERAGE(OFFSET($DS$3,0,0,'Données projet'!$E$14+1,1))-AVERAGE(OFFSET($H$3,0,0,'Données projet'!$E$14+1,1))</f>
        <v>398.29746143975166</v>
      </c>
      <c r="DU203" s="60">
        <f t="shared" si="209"/>
        <v>300.63705521148802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-9.6633812063373625E-13</v>
      </c>
      <c r="EK203" s="18">
        <f>EJ203*VLOOKUP('Données projet'!$B$15,Paramètres!$A$1:$I$89,3,0)*VLOOKUP('Données projet'!$B$15,Paramètres!$A$1:$I$89,5,0)</f>
        <v>-9.3464223027694966E-13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496.33873798282525</v>
      </c>
      <c r="EP203" s="60">
        <f t="shared" si="210"/>
        <v>280.25465074992246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3.4106051316484809E-13</v>
      </c>
      <c r="FF203" s="18">
        <f>FE203*VLOOKUP('Données projet'!$B$16,Paramètres!$A$1:$I$89,3,0)*VLOOKUP('Données projet'!$B$16,Paramètres!$A$1:$I$89,5,0)</f>
        <v>2.9795046430081134E-13</v>
      </c>
      <c r="FG203" s="14">
        <f t="shared" si="182"/>
        <v>3.9419014464513778E-12</v>
      </c>
      <c r="FH203" s="22">
        <f t="shared" si="183"/>
        <v>7.384408744560063E-12</v>
      </c>
      <c r="FI203" s="60">
        <f t="shared" si="199"/>
        <v>290.5652398529615</v>
      </c>
      <c r="FJ203" s="60">
        <f ca="1">AVERAGE(OFFSET($FI$3,0,0,'Données projet'!$E$16+1,1))-AVERAGE(OFFSET($H$3,0,0,'Données projet'!$E$16+1,1))</f>
        <v>363.28611056308665</v>
      </c>
      <c r="FK203" s="60">
        <f t="shared" si="211"/>
        <v>389.43647559455974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1.7053025658242404E-13</v>
      </c>
      <c r="GA203" s="18">
        <f>FZ203*VLOOKUP('Données projet'!$B$17,Paramètres!$A$1:$I$89,3,0)*VLOOKUP('Données projet'!$B$17,Paramètres!$A$1:$I$89,5,0)</f>
        <v>1.1439169611549005E-13</v>
      </c>
      <c r="GB203" s="14">
        <f t="shared" si="185"/>
        <v>1.6918016515029816E-12</v>
      </c>
      <c r="GC203" s="22">
        <f t="shared" si="186"/>
        <v>3.1457867471021712E-12</v>
      </c>
      <c r="GD203" s="60">
        <f t="shared" si="200"/>
        <v>290.56523985295723</v>
      </c>
      <c r="GE203" s="60">
        <f ca="1">AVERAGE(OFFSET($GD$3,0,0,'Données projet'!$E$17+1,1))-AVERAGE(OFFSET($H$3,0,0,'Données projet'!$E$17+1,1))</f>
        <v>344.62096650402731</v>
      </c>
      <c r="GF203" s="60">
        <f t="shared" si="212"/>
        <v>277.30931495079346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1.189207115002721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1.2730870686066207</v>
      </c>
      <c r="BA205" s="86">
        <f>EXP(LN('Données projet'!B88)/'Données projet'!A88)</f>
        <v>1.2730870686066207</v>
      </c>
      <c r="BV205" s="86">
        <f>EXP(LN('Données projet'!B114)/'Données projet'!A114)</f>
        <v>1.2054868146447177</v>
      </c>
      <c r="CQ205" s="86">
        <f>EXP(LN('Données projet'!B140)/'Données projet'!A140)</f>
        <v>1.2788040393997409</v>
      </c>
      <c r="DL205" s="86">
        <f>EXP(LN('Données projet'!B166)/'Données projet'!A166)</f>
        <v>1.2711106295585217</v>
      </c>
      <c r="EG205" s="86">
        <f>EXP(LN('Données projet'!B192)/'Données projet'!A192)</f>
        <v>1.2054868146447177</v>
      </c>
      <c r="FB205" s="86">
        <f>EXP(LN('Données projet'!B218)/'Données projet'!A218)</f>
        <v>1.2730870686066207</v>
      </c>
      <c r="FW205" s="86">
        <f>EXP(LN('Données projet'!B244)/'Données projet'!A244)</f>
        <v>1.2979700365523266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D10" sqref="D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Hêtre</v>
      </c>
      <c r="B6" s="153">
        <f>'Données projet'!D9</f>
        <v>2.0699999999999998</v>
      </c>
      <c r="C6" s="154">
        <f ca="1">IF(OR('Données projet'!B9="",'Données projet'!C9="",'Données projet'!C9=0%),0,Calculateur!S3)</f>
        <v>632.26350546340541</v>
      </c>
      <c r="D6" s="154">
        <f>IF(OR('Données projet'!B9="",'Données projet'!C9="",'Données projet'!C9=0%),0,Calculateur!T3)</f>
        <v>340.45335016367915</v>
      </c>
      <c r="E6" s="154">
        <f ca="1">MIN(C6,D6)</f>
        <v>340.45335016367915</v>
      </c>
      <c r="F6" s="154">
        <f ca="1">E6*B6</f>
        <v>704.73843483881581</v>
      </c>
      <c r="G6" s="154">
        <f ca="1">F6*(100%-'Données projet'!$C$24)*(100%-'Données projet'!$C$25)*(100%-'Données projet'!$C$26)*(100%-'Données projet'!$C$27)</f>
        <v>634.26459135493428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18.112499999999997</v>
      </c>
      <c r="K6" s="158">
        <f>J6*(100%-'Données projet'!$C$24)*(100%-'Données projet'!$C$25)*(100%-'Données projet'!$C$26)*(100%-'Données projet'!$C$27)</f>
        <v>16.30125</v>
      </c>
      <c r="L6" s="159">
        <f ca="1">G6+I6+K6</f>
        <v>650.56584135493426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Erable sycomore</v>
      </c>
      <c r="B7" s="161">
        <f>'Données projet'!D10</f>
        <v>1.6559999999999999</v>
      </c>
      <c r="C7" s="154">
        <f ca="1">IF(OR('Données projet'!B10="",'Données projet'!C10="",'Données projet'!C10=0%),0,Calculateur!AN3)</f>
        <v>336.25341821407534</v>
      </c>
      <c r="D7" s="154">
        <f>IF(OR('Données projet'!B10="",'Données projet'!C10="",'Données projet'!C10=0%),0,Calculateur!AO3)</f>
        <v>360.3246221345039</v>
      </c>
      <c r="E7" s="154">
        <f t="shared" ref="E7:E15" ca="1" si="0">MIN(C7,D7)</f>
        <v>336.25341821407534</v>
      </c>
      <c r="F7" s="154">
        <f t="shared" ref="F7:F15" ca="1" si="1">E7*B7</f>
        <v>556.83566056250868</v>
      </c>
      <c r="G7" s="154">
        <f ca="1">F7*(100%-'Données projet'!$C$24)*(100%-'Données projet'!$C$25)*(100%-'Données projet'!$C$26)*(100%-'Données projet'!$C$27)</f>
        <v>501.15209450625781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41.027399999999993</v>
      </c>
      <c r="K7" s="158">
        <f>J7*(100%-'Données projet'!$C$24)*(100%-'Données projet'!$C$25)*(100%-'Données projet'!$C$26)*(100%-'Données projet'!$C$27)</f>
        <v>36.924659999999996</v>
      </c>
      <c r="L7" s="159">
        <f t="shared" ref="L7:L15" ca="1" si="2">G7+I7+K7</f>
        <v>538.07675450625777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Erable plane</v>
      </c>
      <c r="B8" s="161">
        <f>'Données projet'!D11</f>
        <v>0.82799999999999996</v>
      </c>
      <c r="C8" s="154">
        <f ca="1">IF(OR('Données projet'!B11="",'Données projet'!C11="",'Données projet'!C11=0%),0,Calculateur!BI3)</f>
        <v>336.25341821407534</v>
      </c>
      <c r="D8" s="154">
        <f>IF(OR('Données projet'!B11="",'Données projet'!C11="",'Données projet'!C11=0%),0,Calculateur!BJ3)</f>
        <v>360.3246221345039</v>
      </c>
      <c r="E8" s="154">
        <f t="shared" ca="1" si="0"/>
        <v>336.25341821407534</v>
      </c>
      <c r="F8" s="154">
        <f t="shared" ca="1" si="1"/>
        <v>278.41783028125434</v>
      </c>
      <c r="G8" s="154">
        <f ca="1">F8*(100%-'Données projet'!$C$24)*(100%-'Données projet'!$C$25)*(100%-'Données projet'!$C$26)*(100%-'Données projet'!$C$27)</f>
        <v>250.57604725312891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20.513699999999996</v>
      </c>
      <c r="K8" s="158">
        <f>J8*(100%-'Données projet'!$C$24)*(100%-'Données projet'!$C$25)*(100%-'Données projet'!$C$26)*(100%-'Données projet'!$C$27)</f>
        <v>18.462329999999998</v>
      </c>
      <c r="L8" s="159">
        <f t="shared" ca="1" si="2"/>
        <v>269.03837725312889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Chêne sessile</v>
      </c>
      <c r="B9" s="161">
        <f>'Données projet'!D12</f>
        <v>0.82799999999999996</v>
      </c>
      <c r="C9" s="154">
        <f ca="1">IF(OR('Données projet'!B12="",'Données projet'!C12="",'Données projet'!C12=0%),0,Calculateur!CD3)</f>
        <v>469.67944008675863</v>
      </c>
      <c r="D9" s="154">
        <f>IF(OR('Données projet'!B12="",'Données projet'!C12="",'Données projet'!C12=0%),0,Calculateur!CE3)</f>
        <v>266.11908070867173</v>
      </c>
      <c r="E9" s="154">
        <f t="shared" ca="1" si="0"/>
        <v>266.11908070867173</v>
      </c>
      <c r="F9" s="154">
        <f t="shared" ca="1" si="1"/>
        <v>220.34659882678019</v>
      </c>
      <c r="G9" s="154">
        <f ca="1">F9*(100%-'Données projet'!$C$24)*(100%-'Données projet'!$C$25)*(100%-'Données projet'!$C$26)*(100%-'Données projet'!$C$27)</f>
        <v>198.31193894410217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6.0030000000000001</v>
      </c>
      <c r="K9" s="158">
        <f>J9*(100%-'Données projet'!$C$24)*(100%-'Données projet'!$C$25)*(100%-'Données projet'!$C$26)*(100%-'Données projet'!$C$27)</f>
        <v>5.4027000000000003</v>
      </c>
      <c r="L9" s="159">
        <f t="shared" ca="1" si="2"/>
        <v>203.71463894410218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Merisier</v>
      </c>
      <c r="B10" s="161">
        <f>'Données projet'!D13</f>
        <v>0.82799999999999996</v>
      </c>
      <c r="C10" s="154">
        <f ca="1">IF(OR('Données projet'!B13="",'Données projet'!C13="",'Données projet'!C13=0%),0,Calculateur!CY3)</f>
        <v>312.59632808777332</v>
      </c>
      <c r="D10" s="154">
        <f>IF(OR('Données projet'!B13="",'Données projet'!C13="",'Données projet'!C13=0%),0,Calculateur!CZ3)</f>
        <v>302.59481222418219</v>
      </c>
      <c r="E10" s="154">
        <f t="shared" ca="1" si="0"/>
        <v>302.59481222418219</v>
      </c>
      <c r="F10" s="154">
        <f t="shared" ca="1" si="1"/>
        <v>250.54850452162285</v>
      </c>
      <c r="G10" s="154">
        <f ca="1">F10*(100%-'Données projet'!$C$24)*(100%-'Données projet'!$C$25)*(100%-'Données projet'!$C$26)*(100%-'Données projet'!$C$27)</f>
        <v>225.49365406946058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11.385</v>
      </c>
      <c r="K10" s="158">
        <f>J10*(100%-'Données projet'!$C$24)*(100%-'Données projet'!$C$25)*(100%-'Données projet'!$C$26)*(100%-'Données projet'!$C$27)</f>
        <v>10.246499999999999</v>
      </c>
      <c r="L10" s="159">
        <f t="shared" ca="1" si="2"/>
        <v>235.74015406946057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Charme</v>
      </c>
      <c r="B11" s="161">
        <f>'Données projet'!D14</f>
        <v>0.82799999999999996</v>
      </c>
      <c r="C11" s="154">
        <f ca="1">IF(OR('Données projet'!B14="",'Données projet'!C14="",'Données projet'!C14=0%),0,Calculateur!DT3)</f>
        <v>398.29746143975166</v>
      </c>
      <c r="D11" s="154">
        <f>IF(OR('Données projet'!B14="",'Données projet'!C14="",'Données projet'!C14=0%),0,Calculateur!DU3)</f>
        <v>300.63705521148802</v>
      </c>
      <c r="E11" s="154">
        <f t="shared" ca="1" si="0"/>
        <v>300.63705521148802</v>
      </c>
      <c r="F11" s="154">
        <f t="shared" ca="1" si="1"/>
        <v>248.92748171511207</v>
      </c>
      <c r="G11" s="154">
        <f ca="1">F11*(100%-'Données projet'!$C$24)*(100%-'Données projet'!$C$25)*(100%-'Données projet'!$C$26)*(100%-'Données projet'!$C$27)</f>
        <v>224.03473354360085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8.7576923076923077</v>
      </c>
      <c r="K11" s="158">
        <f>J11*(100%-'Données projet'!$C$24)*(100%-'Données projet'!$C$25)*(100%-'Données projet'!$C$26)*(100%-'Données projet'!$C$27)</f>
        <v>7.8819230769230773</v>
      </c>
      <c r="L11" s="159">
        <f t="shared" ca="1" si="2"/>
        <v>231.91665662052392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Alisier torminal</v>
      </c>
      <c r="B12" s="161">
        <f>'Données projet'!D15</f>
        <v>0.41399999999999998</v>
      </c>
      <c r="C12" s="154">
        <f ca="1">IF(OR('Données projet'!B15="",'Données projet'!C15="",'Données projet'!C15=0%),0,Calculateur!EO3)</f>
        <v>496.33873798282525</v>
      </c>
      <c r="D12" s="154">
        <f>IF(OR('Données projet'!B15="",'Données projet'!C15="",'Données projet'!C15=0%),0,Calculateur!EP3)</f>
        <v>280.25465074992246</v>
      </c>
      <c r="E12" s="154">
        <f t="shared" ca="1" si="0"/>
        <v>280.25465074992246</v>
      </c>
      <c r="F12" s="154">
        <f t="shared" ca="1" si="1"/>
        <v>116.02542541046789</v>
      </c>
      <c r="G12" s="154">
        <f ca="1">F12*(100%-'Données projet'!$C$24)*(100%-'Données projet'!$C$25)*(100%-'Données projet'!$C$26)*(100%-'Données projet'!$C$27)</f>
        <v>104.4228828694211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3.0015000000000001</v>
      </c>
      <c r="K12" s="158">
        <f>J12*(100%-'Données projet'!$C$24)*(100%-'Données projet'!$C$25)*(100%-'Données projet'!$C$26)*(100%-'Données projet'!$C$27)</f>
        <v>2.7013500000000001</v>
      </c>
      <c r="L12" s="159">
        <f t="shared" ca="1" si="2"/>
        <v>107.12423286942111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Erable champêtre</v>
      </c>
      <c r="B13" s="161">
        <f>'Données projet'!D16</f>
        <v>0.41399999999999998</v>
      </c>
      <c r="C13" s="154">
        <f ca="1">IF(OR('Données projet'!B16="",'Données projet'!C16="",'Données projet'!C16=0%),0,Calculateur!FJ3)</f>
        <v>363.28611056308665</v>
      </c>
      <c r="D13" s="154">
        <f>IF(OR('Données projet'!B16="",'Données projet'!C16="",'Données projet'!C16=0%),0,Calculateur!FK3)</f>
        <v>389.43647559455974</v>
      </c>
      <c r="E13" s="154">
        <f t="shared" ca="1" si="0"/>
        <v>363.28611056308665</v>
      </c>
      <c r="F13" s="154">
        <f t="shared" ca="1" si="1"/>
        <v>150.40044977311786</v>
      </c>
      <c r="G13" s="154">
        <f ca="1">F13*(100%-'Données projet'!$C$24)*(100%-'Données projet'!$C$25)*(100%-'Données projet'!$C$26)*(100%-'Données projet'!$C$27)</f>
        <v>135.36040479580606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10.256849999999998</v>
      </c>
      <c r="K13" s="158">
        <f>J13*(100%-'Données projet'!$C$24)*(100%-'Données projet'!$C$25)*(100%-'Données projet'!$C$26)*(100%-'Données projet'!$C$27)</f>
        <v>9.231164999999999</v>
      </c>
      <c r="L13" s="159">
        <f t="shared" ca="1" si="2"/>
        <v>144.59156979580607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>Tilleul</v>
      </c>
      <c r="B14" s="161">
        <f>'Données projet'!D17</f>
        <v>0.24839999999999998</v>
      </c>
      <c r="C14" s="154">
        <f ca="1">IF(OR('Données projet'!B17="",'Données projet'!C17="",'Données projet'!C17=0%),0,Calculateur!GE3)</f>
        <v>344.62096650402731</v>
      </c>
      <c r="D14" s="154">
        <f>IF(OR('Données projet'!B17="",'Données projet'!C17="",'Données projet'!C17=0%),0,Calculateur!GF3)</f>
        <v>277.30931495079346</v>
      </c>
      <c r="E14" s="154">
        <f t="shared" ca="1" si="0"/>
        <v>277.30931495079346</v>
      </c>
      <c r="F14" s="154">
        <f t="shared" ca="1" si="1"/>
        <v>68.883633833777097</v>
      </c>
      <c r="G14" s="154">
        <f ca="1">F14*(100%-'Données projet'!$C$24)*(100%-'Données projet'!$C$25)*(100%-'Données projet'!$C$26)*(100%-'Données projet'!$C$27)</f>
        <v>61.995270450399389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3.5428846153846152</v>
      </c>
      <c r="K14" s="158">
        <f>J14*(100%-'Données projet'!$C$24)*(100%-'Données projet'!$C$25)*(100%-'Données projet'!$C$26)*(100%-'Données projet'!$C$27)</f>
        <v>3.1885961538461536</v>
      </c>
      <c r="L14" s="159">
        <f t="shared" ca="1" si="2"/>
        <v>65.183866604245537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2595.1240197634565</v>
      </c>
      <c r="G16" s="173">
        <f t="shared" ca="1" si="3"/>
        <v>2335.6116177871113</v>
      </c>
      <c r="H16" s="174">
        <f t="shared" si="3"/>
        <v>0</v>
      </c>
      <c r="I16" s="174">
        <f t="shared" si="3"/>
        <v>0</v>
      </c>
      <c r="J16" s="175">
        <f t="shared" si="3"/>
        <v>122.6005269230769</v>
      </c>
      <c r="K16" s="175">
        <f t="shared" si="3"/>
        <v>110.34047423076922</v>
      </c>
      <c r="L16" s="176">
        <f t="shared" ca="1" si="3"/>
        <v>2445.9520920178807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Hêtre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Erable sycomore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Erable plane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Chêne sessile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Merisier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Charme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Alisier torminal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Erable champêtre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>Tilleul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N7" zoomScale="80" zoomScaleNormal="80" workbookViewId="0">
      <selection activeCell="U20" sqref="U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Hêtre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575.12739752600623</v>
      </c>
      <c r="U10" s="188">
        <f>'Données projet'!D9</f>
        <v>2.0699999999999998</v>
      </c>
      <c r="V10" s="187">
        <f>U10*T10</f>
        <v>1190.5137128788328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Erable sycomore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1505.1383069326889</v>
      </c>
      <c r="U11" s="188">
        <f>'Données projet'!D10</f>
        <v>1.6559999999999999</v>
      </c>
      <c r="V11" s="187">
        <f t="shared" ref="V11" si="0">U11*T11</f>
        <v>2492.5090362805327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Erable plane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1683.8493794567451</v>
      </c>
      <c r="U12" s="188">
        <f>'Données projet'!D11</f>
        <v>0.82799999999999996</v>
      </c>
      <c r="V12" s="187">
        <f t="shared" ref="V12:V19" si="1">U12*T12</f>
        <v>1394.2272861901849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sessile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730.58923669376043</v>
      </c>
      <c r="U13" s="188">
        <f>'Données projet'!D12</f>
        <v>0.82799999999999996</v>
      </c>
      <c r="V13" s="187">
        <f t="shared" si="1"/>
        <v>604.92788798243362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Hêtre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Merisier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1615.8273039719511</v>
      </c>
      <c r="U14" s="188">
        <f>'Données projet'!D13</f>
        <v>0.82799999999999996</v>
      </c>
      <c r="V14" s="187">
        <f t="shared" si="1"/>
        <v>1337.9050076887754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39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Charme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465.29602392191629</v>
      </c>
      <c r="U15" s="188">
        <f>'Données projet'!D14</f>
        <v>0.82799999999999996</v>
      </c>
      <c r="V15" s="187">
        <f t="shared" si="1"/>
        <v>385.26510780734668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9"/>
      <c r="H16" s="201"/>
      <c r="I16" s="202"/>
      <c r="J16" s="214"/>
      <c r="K16" s="223"/>
      <c r="L16" s="335" t="s">
        <v>254</v>
      </c>
      <c r="M16" s="336"/>
      <c r="N16" s="2"/>
      <c r="O16" s="25"/>
      <c r="P16" s="25"/>
      <c r="Q16" s="263"/>
      <c r="R16" s="25"/>
      <c r="S16" s="183" t="str">
        <f>B200</f>
        <v>Alisier torminal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730.58923669376043</v>
      </c>
      <c r="U16" s="188">
        <f>'Données projet'!D15</f>
        <v>0.41399999999999998</v>
      </c>
      <c r="V16" s="187">
        <f t="shared" si="1"/>
        <v>302.46394399121681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9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Erable champêtre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1515.596829214463</v>
      </c>
      <c r="U17" s="188">
        <f>'Données projet'!D16</f>
        <v>0.41399999999999998</v>
      </c>
      <c r="V17" s="187">
        <f t="shared" si="1"/>
        <v>627.4570872947877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9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>Tilleul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625.18423058082499</v>
      </c>
      <c r="U18" s="188">
        <f>'Données projet'!D17</f>
        <v>0.24839999999999998</v>
      </c>
      <c r="V18" s="187">
        <f t="shared" si="1"/>
        <v>155.29576287627691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9"/>
      <c r="H19" s="230" t="s">
        <v>178</v>
      </c>
      <c r="I19" s="230" t="s">
        <v>287</v>
      </c>
      <c r="J19" s="258"/>
      <c r="K19" s="181"/>
      <c r="L19" s="335" t="s">
        <v>288</v>
      </c>
      <c r="M19" s="336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9"/>
      <c r="H20" s="201">
        <v>0</v>
      </c>
      <c r="I20" s="202">
        <v>7000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7" t="s">
        <v>260</v>
      </c>
      <c r="M23" s="337"/>
      <c r="N23" s="337"/>
      <c r="O23" s="25"/>
      <c r="P23" s="25"/>
      <c r="Q23" s="263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-49469.435167009608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0</v>
      </c>
      <c r="C24" s="202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142910.1932756321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35</v>
      </c>
      <c r="C25" s="202">
        <v>10</v>
      </c>
      <c r="D25" s="192">
        <f t="shared" si="2"/>
        <v>350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779</v>
      </c>
      <c r="Q25" s="263"/>
      <c r="R25" s="25"/>
      <c r="S25" s="196" t="s">
        <v>266</v>
      </c>
      <c r="T25" s="334">
        <f ca="1">T23-T24</f>
        <v>-192379.6284426417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0</v>
      </c>
      <c r="C26" s="202"/>
      <c r="D26" s="192">
        <f t="shared" si="2"/>
        <v>0</v>
      </c>
      <c r="E26" s="204"/>
      <c r="F26" s="262"/>
      <c r="G26" s="257"/>
      <c r="H26" s="201"/>
      <c r="I26" s="202"/>
      <c r="K26" s="223"/>
      <c r="L26" s="321" t="s">
        <v>258</v>
      </c>
      <c r="M26" s="322"/>
      <c r="N26" s="322"/>
      <c r="O26" s="322"/>
      <c r="P26" s="323"/>
      <c r="Q26" s="263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56</v>
      </c>
      <c r="C27" s="202">
        <v>10</v>
      </c>
      <c r="D27" s="192">
        <f t="shared" si="2"/>
        <v>560</v>
      </c>
      <c r="E27" s="204"/>
      <c r="F27" s="262"/>
      <c r="G27" s="257"/>
      <c r="H27" s="201"/>
      <c r="I27" s="202"/>
      <c r="K27" s="223"/>
      <c r="L27" s="324"/>
      <c r="M27" s="325"/>
      <c r="N27" s="325"/>
      <c r="O27" s="325"/>
      <c r="P27" s="326"/>
      <c r="Q27" s="263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0</v>
      </c>
      <c r="C28" s="202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56</v>
      </c>
      <c r="C29" s="202">
        <v>15</v>
      </c>
      <c r="D29" s="192">
        <f t="shared" si="2"/>
        <v>840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0</v>
      </c>
      <c r="C30" s="202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17259.685178216438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56</v>
      </c>
      <c r="C31" s="202">
        <v>15</v>
      </c>
      <c r="D31" s="192">
        <f t="shared" si="2"/>
        <v>840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0</v>
      </c>
      <c r="C32" s="202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56</v>
      </c>
      <c r="C33" s="202">
        <v>20</v>
      </c>
      <c r="D33" s="192">
        <f t="shared" si="2"/>
        <v>1120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779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0</v>
      </c>
      <c r="C34" s="202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745.4545454545455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56</v>
      </c>
      <c r="C35" s="202">
        <v>25</v>
      </c>
      <c r="D35" s="192">
        <f t="shared" si="2"/>
        <v>1400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713.3536320139192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53</v>
      </c>
      <c r="C36" s="204">
        <v>30</v>
      </c>
      <c r="D36" s="192">
        <f t="shared" si="2"/>
        <v>1590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682.63505455877441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100</v>
      </c>
      <c r="B37" s="191">
        <f>'Données projet'!D50</f>
        <v>49</v>
      </c>
      <c r="C37" s="204">
        <v>35</v>
      </c>
      <c r="D37" s="192">
        <f t="shared" si="2"/>
        <v>1715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653.23928665911444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45</v>
      </c>
      <c r="C38" s="204">
        <v>40</v>
      </c>
      <c r="D38" s="192">
        <f t="shared" si="2"/>
        <v>1800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625.1093652240329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43</v>
      </c>
      <c r="C39" s="204">
        <v>45</v>
      </c>
      <c r="D39" s="192">
        <f t="shared" si="2"/>
        <v>1935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598.19078011869192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130</v>
      </c>
      <c r="B40" s="191">
        <f>'Données projet'!D53</f>
        <v>41</v>
      </c>
      <c r="C40" s="204">
        <v>50</v>
      </c>
      <c r="D40" s="192">
        <f t="shared" si="2"/>
        <v>2050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572.43136853463341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140</v>
      </c>
      <c r="B41" s="191">
        <f>'Données projet'!D54</f>
        <v>39</v>
      </c>
      <c r="C41" s="204">
        <v>60</v>
      </c>
      <c r="D41" s="192">
        <f t="shared" si="2"/>
        <v>2340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547.78121390874026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486</v>
      </c>
      <c r="C42" s="204">
        <v>80</v>
      </c>
      <c r="D42" s="192">
        <f t="shared" si="2"/>
        <v>38880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524.19254919496677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501.6196643014037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480.01881751330501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Erable sycomore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459.34815073043552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439.5676083544837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420.63885966936249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402.52522456398322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385.19160245357261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368.60440426179196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352.73148733185843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337.5420931405344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323.00678769429135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309.09740449214479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20</v>
      </c>
      <c r="B55" s="191">
        <f>'Données projet'!D63</f>
        <v>43.1</v>
      </c>
      <c r="C55" s="202">
        <v>10</v>
      </c>
      <c r="D55" s="189">
        <f t="shared" ref="D55:D73" si="4">B55*C55</f>
        <v>431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295.78698994463628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25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283.04975114319262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30</v>
      </c>
      <c r="B57" s="191">
        <f>'Données projet'!D65</f>
        <v>56</v>
      </c>
      <c r="C57" s="202">
        <v>15</v>
      </c>
      <c r="D57" s="189">
        <f t="shared" si="4"/>
        <v>840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270.86100587865326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35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259.1971348121084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40</v>
      </c>
      <c r="B59" s="191">
        <f>'Données projet'!D67</f>
        <v>56</v>
      </c>
      <c r="C59" s="202">
        <v>20</v>
      </c>
      <c r="D59" s="189">
        <f t="shared" si="4"/>
        <v>1120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248.03553570536695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45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237.35457962236072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50</v>
      </c>
      <c r="B61" s="191">
        <f>'Données projet'!D69</f>
        <v>38.299999999999997</v>
      </c>
      <c r="C61" s="202">
        <v>30</v>
      </c>
      <c r="D61" s="189">
        <f t="shared" si="4"/>
        <v>1149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227.13356901661319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55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217.35269762355324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60</v>
      </c>
      <c r="B63" s="191">
        <f>'Données projet'!D71</f>
        <v>25.200000000000003</v>
      </c>
      <c r="C63" s="202">
        <v>40</v>
      </c>
      <c r="D63" s="189">
        <f t="shared" si="4"/>
        <v>1008.0000000000001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207.99301207995535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65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199.03637519612948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70</v>
      </c>
      <c r="B65" s="191">
        <f>'Données projet'!D73</f>
        <v>20.9</v>
      </c>
      <c r="C65" s="202">
        <v>50</v>
      </c>
      <c r="D65" s="189">
        <f t="shared" si="4"/>
        <v>1045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190.46543080969337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75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182.26357015281667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80</v>
      </c>
      <c r="B67" s="191">
        <f>'Données projet'!D75</f>
        <v>284.60000000000002</v>
      </c>
      <c r="C67" s="204">
        <v>100</v>
      </c>
      <c r="D67" s="189">
        <f t="shared" si="4"/>
        <v>28460.000000000004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174.41489966776714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166.90421020838963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159.716947567837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152.83918427544211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146.2575926080786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139.95941876371157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133.93245814709243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128.16503171970569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122.64596336813945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Erable plane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117.3645582470234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112.31058205456786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107.4742412005434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102.84616382827123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98.417381653848054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94.179312587414444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90.123744102788933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86.242817323243031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82.529011792577066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78.975130901987626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20</v>
      </c>
      <c r="B86" s="191">
        <f>'Données projet'!D89</f>
        <v>43.1</v>
      </c>
      <c r="C86" s="202">
        <v>10</v>
      </c>
      <c r="D86" s="189">
        <f t="shared" ref="D86:D104" si="6">B86*C86</f>
        <v>431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75.574287944485775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25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72.319892769842866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30</v>
      </c>
      <c r="B88" s="191">
        <f>'Données projet'!D91</f>
        <v>56</v>
      </c>
      <c r="C88" s="202">
        <v>15</v>
      </c>
      <c r="D88" s="189">
        <f t="shared" si="6"/>
        <v>840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69.205639014203697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35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66.225491879620776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40</v>
      </c>
      <c r="B90" s="191">
        <f>'Données projet'!D93</f>
        <v>56</v>
      </c>
      <c r="C90" s="202">
        <v>20</v>
      </c>
      <c r="D90" s="189">
        <f t="shared" si="6"/>
        <v>1120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63.3736764398285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45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60.644666449596663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50</v>
      </c>
      <c r="B92" s="191">
        <f>'Données projet'!D95</f>
        <v>38.299999999999997</v>
      </c>
      <c r="C92" s="202">
        <v>30</v>
      </c>
      <c r="D92" s="189">
        <f t="shared" si="6"/>
        <v>1149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58.033173635977668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55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55.534137450696342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60</v>
      </c>
      <c r="B94" s="191">
        <f>'Données projet'!D97</f>
        <v>25.200000000000003</v>
      </c>
      <c r="C94" s="202">
        <v>40</v>
      </c>
      <c r="D94" s="189">
        <f t="shared" si="6"/>
        <v>1008.0000000000001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53.142715263824243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65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50.854272979736137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70</v>
      </c>
      <c r="B96" s="191">
        <f>'Données projet'!D99</f>
        <v>20.9</v>
      </c>
      <c r="C96" s="202">
        <v>50</v>
      </c>
      <c r="D96" s="189">
        <f t="shared" si="6"/>
        <v>1045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48.664376057163764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75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46.568780915946213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80</v>
      </c>
      <c r="B98" s="191">
        <f>'Données projet'!D101</f>
        <v>284.60000000000002</v>
      </c>
      <c r="C98" s="204">
        <v>100</v>
      </c>
      <c r="D98" s="189">
        <f t="shared" si="6"/>
        <v>28460.000000000004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44.563426713824121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4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42.644427477343669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40.808064571620733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39.050779494373913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37.369166980262122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str">
        <f>IF(O102+1&lt;=MIN('Données projet'!$E$9:$E$18),O102+1,"STOP")</f>
        <v>STOP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Chêne sessile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29</v>
      </c>
      <c r="C118" s="202">
        <v>10</v>
      </c>
      <c r="D118" s="189">
        <f t="shared" si="8"/>
        <v>290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42</v>
      </c>
      <c r="C120" s="202">
        <v>15</v>
      </c>
      <c r="D120" s="189">
        <f t="shared" si="8"/>
        <v>630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42</v>
      </c>
      <c r="C122" s="202">
        <v>20</v>
      </c>
      <c r="D122" s="189">
        <f t="shared" si="8"/>
        <v>840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42</v>
      </c>
      <c r="C124" s="202">
        <v>30</v>
      </c>
      <c r="D124" s="189">
        <f t="shared" si="8"/>
        <v>1260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42</v>
      </c>
      <c r="C126" s="202">
        <v>40</v>
      </c>
      <c r="D126" s="189">
        <f t="shared" si="8"/>
        <v>1680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42</v>
      </c>
      <c r="C128" s="202">
        <v>50</v>
      </c>
      <c r="D128" s="189">
        <f t="shared" si="8"/>
        <v>2100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90</v>
      </c>
      <c r="B129" s="191">
        <f>'Données projet'!D127</f>
        <v>42</v>
      </c>
      <c r="C129" s="202">
        <v>60</v>
      </c>
      <c r="D129" s="189">
        <f t="shared" si="8"/>
        <v>2520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100</v>
      </c>
      <c r="B130" s="191">
        <f>'Données projet'!D128</f>
        <v>42</v>
      </c>
      <c r="C130" s="202">
        <v>70</v>
      </c>
      <c r="D130" s="189">
        <f t="shared" si="8"/>
        <v>2940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110</v>
      </c>
      <c r="B131" s="191">
        <f>'Données projet'!D129</f>
        <v>39</v>
      </c>
      <c r="C131" s="202">
        <v>80</v>
      </c>
      <c r="D131" s="189">
        <f t="shared" si="8"/>
        <v>3120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120</v>
      </c>
      <c r="B132" s="191">
        <f>'Données projet'!D130</f>
        <v>35</v>
      </c>
      <c r="C132" s="202">
        <v>90</v>
      </c>
      <c r="D132" s="189">
        <f t="shared" si="8"/>
        <v>3150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130</v>
      </c>
      <c r="B133" s="191">
        <f>'Données projet'!D131</f>
        <v>31</v>
      </c>
      <c r="C133" s="202">
        <v>100</v>
      </c>
      <c r="D133" s="189">
        <f t="shared" si="8"/>
        <v>3100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140</v>
      </c>
      <c r="B134" s="191">
        <f>'Données projet'!D132</f>
        <v>27</v>
      </c>
      <c r="C134" s="202">
        <v>150</v>
      </c>
      <c r="D134" s="189">
        <f t="shared" si="8"/>
        <v>4050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150</v>
      </c>
      <c r="B135" s="191">
        <f>'Données projet'!D133</f>
        <v>293</v>
      </c>
      <c r="C135" s="202">
        <v>200</v>
      </c>
      <c r="D135" s="189">
        <f t="shared" si="8"/>
        <v>58600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Merisier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5">
        <f>'Données projet'!D142</f>
        <v>55</v>
      </c>
      <c r="C149" s="202">
        <v>10</v>
      </c>
      <c r="D149" s="192">
        <f t="shared" si="10"/>
        <v>550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31</v>
      </c>
      <c r="B150" s="185">
        <f>'Données projet'!D143</f>
        <v>36</v>
      </c>
      <c r="C150" s="202">
        <v>10</v>
      </c>
      <c r="D150" s="192">
        <f t="shared" si="10"/>
        <v>360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37</v>
      </c>
      <c r="B151" s="185">
        <f>'Données projet'!D144</f>
        <v>36</v>
      </c>
      <c r="C151" s="202">
        <v>15</v>
      </c>
      <c r="D151" s="192">
        <f t="shared" si="10"/>
        <v>540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44</v>
      </c>
      <c r="B152" s="185">
        <f>'Données projet'!D145</f>
        <v>43</v>
      </c>
      <c r="C152" s="202">
        <v>15</v>
      </c>
      <c r="D152" s="192">
        <f t="shared" si="10"/>
        <v>645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52</v>
      </c>
      <c r="B153" s="185">
        <f>'Données projet'!D146</f>
        <v>48</v>
      </c>
      <c r="C153" s="202">
        <v>20</v>
      </c>
      <c r="D153" s="192">
        <f t="shared" si="10"/>
        <v>960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5">
        <f>'Données projet'!D147</f>
        <v>47</v>
      </c>
      <c r="C154" s="202">
        <v>30</v>
      </c>
      <c r="D154" s="192">
        <f t="shared" si="10"/>
        <v>1410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69</v>
      </c>
      <c r="B155" s="185">
        <f>'Données projet'!D148</f>
        <v>328</v>
      </c>
      <c r="C155" s="202">
        <v>60</v>
      </c>
      <c r="D155" s="192">
        <f t="shared" si="10"/>
        <v>19680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Charme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20</v>
      </c>
      <c r="B179" s="191">
        <f>'Données projet'!D167</f>
        <v>16.666666666666668</v>
      </c>
      <c r="C179" s="204">
        <v>10</v>
      </c>
      <c r="D179" s="189">
        <f t="shared" ref="D179:D197" si="11">B179*C179</f>
        <v>166.66666666666669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25</v>
      </c>
      <c r="B180" s="191">
        <f>'Données projet'!D168</f>
        <v>0</v>
      </c>
      <c r="C180" s="202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30</v>
      </c>
      <c r="B181" s="191">
        <f>'Données projet'!D169</f>
        <v>25.641025641025639</v>
      </c>
      <c r="C181" s="202">
        <v>10</v>
      </c>
      <c r="D181" s="189">
        <f t="shared" si="11"/>
        <v>256.41025641025641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35</v>
      </c>
      <c r="B182" s="191">
        <f>'Données projet'!D170</f>
        <v>0</v>
      </c>
      <c r="C182" s="202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40</v>
      </c>
      <c r="B183" s="191">
        <f>'Données projet'!D171</f>
        <v>28.846153846153847</v>
      </c>
      <c r="C183" s="202">
        <v>15</v>
      </c>
      <c r="D183" s="189">
        <f t="shared" si="11"/>
        <v>432.69230769230768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45</v>
      </c>
      <c r="B184" s="191">
        <f>'Données projet'!D172</f>
        <v>0</v>
      </c>
      <c r="C184" s="202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50</v>
      </c>
      <c r="B185" s="191">
        <f>'Données projet'!D173</f>
        <v>30.769230769230766</v>
      </c>
      <c r="C185" s="202">
        <v>15</v>
      </c>
      <c r="D185" s="189">
        <f t="shared" si="11"/>
        <v>461.53846153846149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55</v>
      </c>
      <c r="B186" s="191">
        <f>'Données projet'!D174</f>
        <v>0</v>
      </c>
      <c r="C186" s="202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60</v>
      </c>
      <c r="B187" s="191">
        <f>'Données projet'!D175</f>
        <v>29.487179487179485</v>
      </c>
      <c r="C187" s="204">
        <v>20</v>
      </c>
      <c r="D187" s="189">
        <f t="shared" si="11"/>
        <v>589.74358974358972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65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70</v>
      </c>
      <c r="B189" s="191">
        <f>'Données projet'!D177</f>
        <v>28.846153846153847</v>
      </c>
      <c r="C189" s="204">
        <v>25</v>
      </c>
      <c r="D189" s="189">
        <f t="shared" si="11"/>
        <v>721.15384615384619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75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80</v>
      </c>
      <c r="B191" s="191">
        <f>'Données projet'!D179</f>
        <v>27.564102564102562</v>
      </c>
      <c r="C191" s="204">
        <v>30</v>
      </c>
      <c r="D191" s="189">
        <f t="shared" si="11"/>
        <v>826.92307692307691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85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90</v>
      </c>
      <c r="B193" s="191">
        <f>'Données projet'!D181</f>
        <v>25.641025641025639</v>
      </c>
      <c r="C193" s="204">
        <v>35</v>
      </c>
      <c r="D193" s="189">
        <f t="shared" si="11"/>
        <v>897.43589743589735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95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100</v>
      </c>
      <c r="B195" s="191">
        <f>'Données projet'!D183</f>
        <v>23.717948717948715</v>
      </c>
      <c r="C195" s="204">
        <v>40</v>
      </c>
      <c r="D195" s="189">
        <f t="shared" si="11"/>
        <v>948.71794871794862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110</v>
      </c>
      <c r="B196" s="191">
        <f>'Données projet'!D184</f>
        <v>22.435897435897434</v>
      </c>
      <c r="C196" s="204">
        <v>45</v>
      </c>
      <c r="D196" s="189">
        <f t="shared" si="11"/>
        <v>1009.6153846153845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120</v>
      </c>
      <c r="B197" s="191">
        <f>'Données projet'!D185</f>
        <v>259.61538461538458</v>
      </c>
      <c r="C197" s="204">
        <v>50</v>
      </c>
      <c r="D197" s="189">
        <f t="shared" si="11"/>
        <v>12980.769230769229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Alisier torminal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20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25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30</v>
      </c>
      <c r="B211" s="191">
        <f>'Données projet'!D194</f>
        <v>29</v>
      </c>
      <c r="C211" s="202">
        <v>10</v>
      </c>
      <c r="D211" s="189">
        <f t="shared" si="12"/>
        <v>290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35</v>
      </c>
      <c r="B212" s="191">
        <f>'Données projet'!D195</f>
        <v>0</v>
      </c>
      <c r="C212" s="202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40</v>
      </c>
      <c r="B213" s="191">
        <f>'Données projet'!D196</f>
        <v>42</v>
      </c>
      <c r="C213" s="202">
        <v>15</v>
      </c>
      <c r="D213" s="189">
        <f t="shared" si="12"/>
        <v>630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45</v>
      </c>
      <c r="B214" s="191">
        <f>'Données projet'!D197</f>
        <v>0</v>
      </c>
      <c r="C214" s="202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50</v>
      </c>
      <c r="B215" s="191">
        <f>'Données projet'!D198</f>
        <v>42</v>
      </c>
      <c r="C215" s="202">
        <v>20</v>
      </c>
      <c r="D215" s="189">
        <f t="shared" si="12"/>
        <v>840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55</v>
      </c>
      <c r="B216" s="191">
        <f>'Données projet'!D199</f>
        <v>0</v>
      </c>
      <c r="C216" s="202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60</v>
      </c>
      <c r="B217" s="191">
        <f>'Données projet'!D200</f>
        <v>42</v>
      </c>
      <c r="C217" s="202">
        <v>30</v>
      </c>
      <c r="D217" s="189">
        <f t="shared" si="12"/>
        <v>1260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65</v>
      </c>
      <c r="B218" s="191">
        <f>'Données projet'!D201</f>
        <v>0</v>
      </c>
      <c r="C218" s="202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70</v>
      </c>
      <c r="B219" s="191">
        <f>'Données projet'!D202</f>
        <v>42</v>
      </c>
      <c r="C219" s="202">
        <v>40</v>
      </c>
      <c r="D219" s="189">
        <f t="shared" si="12"/>
        <v>1680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75</v>
      </c>
      <c r="B220" s="191">
        <f>'Données projet'!D203</f>
        <v>0</v>
      </c>
      <c r="C220" s="202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80</v>
      </c>
      <c r="B221" s="191">
        <f>'Données projet'!D204</f>
        <v>42</v>
      </c>
      <c r="C221" s="202">
        <v>50</v>
      </c>
      <c r="D221" s="189">
        <f t="shared" si="12"/>
        <v>2100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90</v>
      </c>
      <c r="B222" s="191">
        <f>'Données projet'!D205</f>
        <v>42</v>
      </c>
      <c r="C222" s="202">
        <v>60</v>
      </c>
      <c r="D222" s="189">
        <f t="shared" si="12"/>
        <v>2520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100</v>
      </c>
      <c r="B223" s="191">
        <f>'Données projet'!D206</f>
        <v>42</v>
      </c>
      <c r="C223" s="202">
        <v>70</v>
      </c>
      <c r="D223" s="189">
        <f t="shared" si="12"/>
        <v>2940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110</v>
      </c>
      <c r="B224" s="191">
        <f>'Données projet'!D207</f>
        <v>39</v>
      </c>
      <c r="C224" s="202">
        <v>80</v>
      </c>
      <c r="D224" s="189">
        <f t="shared" si="12"/>
        <v>3120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120</v>
      </c>
      <c r="B225" s="191">
        <f>'Données projet'!D208</f>
        <v>35</v>
      </c>
      <c r="C225" s="202">
        <v>90</v>
      </c>
      <c r="D225" s="189">
        <f t="shared" si="12"/>
        <v>3150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130</v>
      </c>
      <c r="B226" s="191">
        <f>'Données projet'!D209</f>
        <v>31</v>
      </c>
      <c r="C226" s="202">
        <v>100</v>
      </c>
      <c r="D226" s="189">
        <f t="shared" si="12"/>
        <v>3100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140</v>
      </c>
      <c r="B227" s="191">
        <f>'Données projet'!D210</f>
        <v>27</v>
      </c>
      <c r="C227" s="202">
        <v>150</v>
      </c>
      <c r="D227" s="189">
        <f t="shared" si="12"/>
        <v>4050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150</v>
      </c>
      <c r="B228" s="191">
        <f>'Données projet'!D211</f>
        <v>293</v>
      </c>
      <c r="C228" s="202">
        <v>200</v>
      </c>
      <c r="D228" s="189">
        <f t="shared" si="12"/>
        <v>58600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Erable champêtre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15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20</v>
      </c>
      <c r="B241" s="191">
        <f>'Données projet'!D219</f>
        <v>43.1</v>
      </c>
      <c r="C241" s="204">
        <v>10</v>
      </c>
      <c r="D241" s="189">
        <f t="shared" ref="D241:D259" si="13">B241*C241</f>
        <v>431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25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30</v>
      </c>
      <c r="B243" s="191">
        <f>'Données projet'!D221</f>
        <v>56</v>
      </c>
      <c r="C243" s="204">
        <v>15</v>
      </c>
      <c r="D243" s="189">
        <f t="shared" si="13"/>
        <v>840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35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40</v>
      </c>
      <c r="B245" s="191">
        <f>'Données projet'!D223</f>
        <v>56</v>
      </c>
      <c r="C245" s="204">
        <v>20</v>
      </c>
      <c r="D245" s="189">
        <f t="shared" si="13"/>
        <v>1120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45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50</v>
      </c>
      <c r="B247" s="191">
        <f>'Données projet'!D225</f>
        <v>38.299999999999997</v>
      </c>
      <c r="C247" s="204">
        <v>30</v>
      </c>
      <c r="D247" s="189">
        <f t="shared" si="13"/>
        <v>1149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55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60</v>
      </c>
      <c r="B249" s="191">
        <f>'Données projet'!D227</f>
        <v>25.200000000000003</v>
      </c>
      <c r="C249" s="204">
        <v>40</v>
      </c>
      <c r="D249" s="189">
        <f t="shared" si="13"/>
        <v>1008.0000000000001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65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70</v>
      </c>
      <c r="B251" s="191">
        <f>'Données projet'!D229</f>
        <v>20.9</v>
      </c>
      <c r="C251" s="204">
        <v>50</v>
      </c>
      <c r="D251" s="189">
        <f t="shared" si="13"/>
        <v>1045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75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80</v>
      </c>
      <c r="B253" s="191">
        <f>'Données projet'!D231</f>
        <v>284.60000000000002</v>
      </c>
      <c r="C253" s="204">
        <v>80</v>
      </c>
      <c r="D253" s="189">
        <f t="shared" si="13"/>
        <v>22768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>Tilleul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15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20</v>
      </c>
      <c r="B272" s="191">
        <f>'Données projet'!D245</f>
        <v>24.358974358974358</v>
      </c>
      <c r="C272" s="204">
        <v>10</v>
      </c>
      <c r="D272" s="189">
        <f t="shared" ref="D272:D290" si="14">B272*C272</f>
        <v>243.58974358974359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25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30</v>
      </c>
      <c r="B274" s="191">
        <f>'Données projet'!D247</f>
        <v>32.692307692307693</v>
      </c>
      <c r="C274" s="204">
        <v>10</v>
      </c>
      <c r="D274" s="189">
        <f t="shared" si="14"/>
        <v>326.92307692307691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35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40</v>
      </c>
      <c r="B276" s="191">
        <f>'Données projet'!D249</f>
        <v>34.615384615384613</v>
      </c>
      <c r="C276" s="204">
        <v>15</v>
      </c>
      <c r="D276" s="189">
        <f t="shared" si="14"/>
        <v>519.23076923076917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45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50</v>
      </c>
      <c r="B278" s="191">
        <f>'Données projet'!D251</f>
        <v>32.692307692307693</v>
      </c>
      <c r="C278" s="204">
        <v>20</v>
      </c>
      <c r="D278" s="189">
        <f t="shared" si="14"/>
        <v>653.84615384615381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55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60</v>
      </c>
      <c r="B280" s="191">
        <f>'Données projet'!D253</f>
        <v>30.128205128205128</v>
      </c>
      <c r="C280" s="204">
        <v>25</v>
      </c>
      <c r="D280" s="189">
        <f t="shared" si="14"/>
        <v>753.20512820512818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65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70</v>
      </c>
      <c r="B282" s="191">
        <f>'Données projet'!D255</f>
        <v>27.564102564102562</v>
      </c>
      <c r="C282" s="204">
        <v>30</v>
      </c>
      <c r="D282" s="189">
        <f t="shared" si="14"/>
        <v>826.92307692307691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75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80</v>
      </c>
      <c r="B284" s="191">
        <f>'Données projet'!D257</f>
        <v>26.282051282051281</v>
      </c>
      <c r="C284" s="204">
        <v>35</v>
      </c>
      <c r="D284" s="189">
        <f t="shared" si="14"/>
        <v>919.8717948717948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85</v>
      </c>
      <c r="B285" s="191">
        <f>'Données projet'!D258</f>
        <v>0</v>
      </c>
      <c r="C285" s="202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90</v>
      </c>
      <c r="B286" s="191">
        <f>'Données projet'!D259</f>
        <v>24.358974358974358</v>
      </c>
      <c r="C286" s="202">
        <v>40</v>
      </c>
      <c r="D286" s="189">
        <f t="shared" si="14"/>
        <v>974.35897435897436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95</v>
      </c>
      <c r="B287" s="191">
        <f>'Données projet'!D260</f>
        <v>0</v>
      </c>
      <c r="C287" s="202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100</v>
      </c>
      <c r="B288" s="191">
        <f>'Données projet'!D261</f>
        <v>22.435897435897434</v>
      </c>
      <c r="C288" s="202">
        <v>45</v>
      </c>
      <c r="D288" s="189">
        <f t="shared" si="14"/>
        <v>1009.6153846153845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105</v>
      </c>
      <c r="B289" s="191">
        <f>'Données projet'!D262</f>
        <v>0</v>
      </c>
      <c r="C289" s="202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110</v>
      </c>
      <c r="B290" s="191">
        <f>'Données projet'!D263</f>
        <v>317.94871794871796</v>
      </c>
      <c r="C290" s="202">
        <v>50</v>
      </c>
      <c r="D290" s="189">
        <f t="shared" si="14"/>
        <v>15897.435897435898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2024-09-13T08:31:01Z</dcterms:modified>
</cp:coreProperties>
</file>