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\\FDI_FICHIERS\Zensolutions$\doc\24\299\Z009K679\"/>
    </mc:Choice>
  </mc:AlternateContent>
  <xr:revisionPtr revIDLastSave="0" documentId="13_ncr:1_{64B8F7BA-D395-488A-8952-3B2770E41B29}" xr6:coauthVersionLast="47" xr6:coauthVersionMax="47" xr10:uidLastSave="{00000000-0000-0000-0000-000000000000}"/>
  <bookViews>
    <workbookView xWindow="675" yWindow="690" windowWidth="16545" windowHeight="958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1" l="1"/>
  <c r="I21" i="6"/>
  <c r="I20" i="6"/>
  <c r="I22" i="6"/>
  <c r="I23" i="6"/>
  <c r="D70" i="1"/>
  <c r="B44" i="1"/>
  <c r="D44" i="1" s="1"/>
  <c r="B43" i="1"/>
  <c r="B42" i="1"/>
  <c r="B41" i="1"/>
  <c r="B40" i="1"/>
  <c r="B39" i="1"/>
  <c r="B38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<sst xmlns="http://schemas.openxmlformats.org/spreadsheetml/2006/main" count="1175" uniqueCount="325">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</sst>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96.124766497065238</c:v>
                </c:pt>
                <c:pt idx="7">
                  <c:v>121.9232778531174</c:v>
                </c:pt>
                <c:pt idx="8">
                  <c:v>147.58838420434714</c:v>
                </c:pt>
                <c:pt idx="9">
                  <c:v>173.14664675554295</c:v>
                </c:pt>
                <c:pt idx="10">
                  <c:v>198.6160880113396</c:v>
                </c:pt>
                <c:pt idx="11">
                  <c:v>214.64175691513142</c:v>
                </c:pt>
                <c:pt idx="12">
                  <c:v>230.63988637237389</c:v>
                </c:pt>
                <c:pt idx="13">
                  <c:v>246.61265582803745</c:v>
                </c:pt>
                <c:pt idx="14">
                  <c:v>262.56193918616879</c:v>
                </c:pt>
                <c:pt idx="15">
                  <c:v>278.48936400091264</c:v>
                </c:pt>
                <c:pt idx="16">
                  <c:v>294.00861390700948</c:v>
                </c:pt>
                <c:pt idx="17">
                  <c:v>309.50958762804532</c:v>
                </c:pt>
                <c:pt idx="18">
                  <c:v>324.99332932034093</c:v>
                </c:pt>
                <c:pt idx="19">
                  <c:v>340.46077551603139</c:v>
                </c:pt>
                <c:pt idx="20">
                  <c:v>355.91277070439509</c:v>
                </c:pt>
                <c:pt idx="21">
                  <c:v>257.5072889074288</c:v>
                </c:pt>
                <c:pt idx="22">
                  <c:v>298.66077524812391</c:v>
                </c:pt>
                <c:pt idx="23">
                  <c:v>339.68777684695175</c:v>
                </c:pt>
                <c:pt idx="24">
                  <c:v>380.60570876556659</c:v>
                </c:pt>
                <c:pt idx="25">
                  <c:v>421.42793186976087</c:v>
                </c:pt>
                <c:pt idx="26">
                  <c:v>411.03827995947967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460.62919798538456</c:v>
                </c:pt>
                <c:pt idx="30">
                  <c:v>477.13349754486757</c:v>
                </c:pt>
                <c:pt idx="31">
                  <c:v>469.45861841140703</c:v>
                </c:pt>
                <c:pt idx="32">
                  <c:v>482.88793138454997</c:v>
                </c:pt>
                <c:pt idx="33">
                  <c:v>496.30931275327686</c:v>
                </c:pt>
                <c:pt idx="34">
                  <c:v>509.72300718239154</c:v>
                </c:pt>
                <c:pt idx="35">
                  <c:v>523.12924541243797</c:v>
                </c:pt>
                <c:pt idx="36">
                  <c:v>517.76763064124964</c:v>
                </c:pt>
                <c:pt idx="37">
                  <c:v>529.63822214325558</c:v>
                </c:pt>
                <c:pt idx="38">
                  <c:v>541.50321514451991</c:v>
                </c:pt>
                <c:pt idx="39">
                  <c:v>553.36274958383808</c:v>
                </c:pt>
                <c:pt idx="40">
                  <c:v>565.21695891368051</c:v>
                </c:pt>
                <c:pt idx="41">
                  <c:v>563.30534449457014</c:v>
                </c:pt>
                <c:pt idx="42">
                  <c:v>574.77301329675186</c:v>
                </c:pt>
                <c:pt idx="43">
                  <c:v>586.23590668718793</c:v>
                </c:pt>
                <c:pt idx="44">
                  <c:v>597.69413118158775</c:v>
                </c:pt>
                <c:pt idx="45">
                  <c:v>609.1477888796602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4" zoomScale="80" zoomScaleNormal="80" workbookViewId="0">
      <selection activeCell="D66" sqref="D6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10.69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0.33329999999999999</v>
      </c>
      <c r="D9" s="33">
        <f t="shared" ref="D9:D18" si="0">C9*$C$5</f>
        <v>3.5629769999999996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44</v>
      </c>
      <c r="C10" s="32">
        <v>0.33329999999999999</v>
      </c>
      <c r="D10" s="33">
        <f t="shared" si="0"/>
        <v>3.5629769999999996</v>
      </c>
      <c r="E10" s="34">
        <v>45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27</v>
      </c>
      <c r="C11" s="32">
        <v>0.33339999999999997</v>
      </c>
      <c r="D11" s="33">
        <f t="shared" si="0"/>
        <v>3.5640459999999994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10.689999999999998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19</v>
      </c>
      <c r="B36" s="60">
        <v>162</v>
      </c>
      <c r="C36" s="60">
        <v>0</v>
      </c>
      <c r="D36" s="60">
        <v>0</v>
      </c>
      <c r="E36" s="51">
        <v>0</v>
      </c>
      <c r="F36" s="51">
        <v>0.6</v>
      </c>
      <c r="G36" s="51">
        <v>0.4</v>
      </c>
      <c r="H36" s="51">
        <v>0</v>
      </c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25</v>
      </c>
      <c r="B37" s="60">
        <f>281+D37</f>
        <v>335</v>
      </c>
      <c r="C37" s="60">
        <v>1</v>
      </c>
      <c r="D37" s="60">
        <v>54</v>
      </c>
      <c r="E37" s="51">
        <v>0</v>
      </c>
      <c r="F37" s="51">
        <v>0.6</v>
      </c>
      <c r="G37" s="51">
        <v>0.4</v>
      </c>
      <c r="H37" s="51">
        <v>0</v>
      </c>
      <c r="I37" s="53">
        <f t="shared" ref="I37:I55" si="1">IF(A37&lt;&gt;0,(B37-(B36-D36))/(A37-A36),"")</f>
        <v>28.833333333333332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f>367+D38</f>
        <v>421</v>
      </c>
      <c r="C38" s="60">
        <v>2</v>
      </c>
      <c r="D38" s="60">
        <v>54</v>
      </c>
      <c r="E38" s="51">
        <v>0</v>
      </c>
      <c r="F38" s="51">
        <v>0.6</v>
      </c>
      <c r="G38" s="51">
        <v>0.4</v>
      </c>
      <c r="H38" s="51">
        <v>0</v>
      </c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35</v>
      </c>
      <c r="B39" s="60">
        <f>436+D39</f>
        <v>505</v>
      </c>
      <c r="C39" s="60">
        <v>3</v>
      </c>
      <c r="D39" s="60">
        <v>69</v>
      </c>
      <c r="E39" s="51">
        <v>0.2</v>
      </c>
      <c r="F39" s="51">
        <v>0.4</v>
      </c>
      <c r="G39" s="51">
        <v>0.4</v>
      </c>
      <c r="H39" s="51">
        <v>0</v>
      </c>
      <c r="I39" s="49">
        <f t="shared" si="1"/>
        <v>27.6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40</v>
      </c>
      <c r="B40" s="60">
        <f>492+D40</f>
        <v>564</v>
      </c>
      <c r="C40" s="60">
        <v>4</v>
      </c>
      <c r="D40" s="60">
        <v>72</v>
      </c>
      <c r="E40" s="51">
        <v>0.4</v>
      </c>
      <c r="F40" s="51">
        <v>0.3</v>
      </c>
      <c r="G40" s="51">
        <v>0.3</v>
      </c>
      <c r="H40" s="51">
        <v>0</v>
      </c>
      <c r="I40" s="49">
        <f t="shared" si="1"/>
        <v>25.6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45</v>
      </c>
      <c r="B41" s="60">
        <f>540+D41</f>
        <v>606</v>
      </c>
      <c r="C41" s="60">
        <v>5</v>
      </c>
      <c r="D41" s="60">
        <v>66</v>
      </c>
      <c r="E41" s="51">
        <v>0.5</v>
      </c>
      <c r="F41" s="51">
        <v>0.3</v>
      </c>
      <c r="G41" s="51">
        <v>0.2</v>
      </c>
      <c r="H41" s="51">
        <v>0</v>
      </c>
      <c r="I41" s="53">
        <f t="shared" si="1"/>
        <v>22.8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50</v>
      </c>
      <c r="B42" s="60">
        <f>581+D42</f>
        <v>629</v>
      </c>
      <c r="C42" s="60">
        <v>6</v>
      </c>
      <c r="D42" s="60">
        <v>48</v>
      </c>
      <c r="E42" s="51">
        <v>0.5</v>
      </c>
      <c r="F42" s="51">
        <v>0.3</v>
      </c>
      <c r="G42" s="51">
        <v>0.2</v>
      </c>
      <c r="H42" s="51">
        <v>0</v>
      </c>
      <c r="I42" s="53">
        <f t="shared" si="1"/>
        <v>17.8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55</v>
      </c>
      <c r="B43" s="60">
        <f>615+D43</f>
        <v>650</v>
      </c>
      <c r="C43" s="60">
        <v>7</v>
      </c>
      <c r="D43" s="60">
        <v>35</v>
      </c>
      <c r="E43" s="51">
        <v>0.6</v>
      </c>
      <c r="F43" s="51">
        <v>0.2</v>
      </c>
      <c r="G43" s="51">
        <v>0.2</v>
      </c>
      <c r="H43" s="51">
        <v>0</v>
      </c>
      <c r="I43" s="49">
        <f t="shared" si="1"/>
        <v>13.8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60</v>
      </c>
      <c r="B44" s="60">
        <f>637+29</f>
        <v>666</v>
      </c>
      <c r="C44" s="60" t="s">
        <v>324</v>
      </c>
      <c r="D44" s="60">
        <f>B44</f>
        <v>666</v>
      </c>
      <c r="E44" s="51">
        <v>0.8</v>
      </c>
      <c r="F44" s="51">
        <v>0.1</v>
      </c>
      <c r="G44" s="51">
        <v>0.1</v>
      </c>
      <c r="H44" s="51">
        <v>0</v>
      </c>
      <c r="I44" s="49">
        <f t="shared" si="1"/>
        <v>10.199999999999999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Robinier faux-acacia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5</v>
      </c>
      <c r="B62" s="60">
        <v>34</v>
      </c>
      <c r="C62" s="60">
        <v>0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6.8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10</v>
      </c>
      <c r="B63" s="60">
        <v>99</v>
      </c>
      <c r="C63" s="60">
        <v>0</v>
      </c>
      <c r="D63" s="60">
        <v>0</v>
      </c>
      <c r="E63" s="51">
        <v>0</v>
      </c>
      <c r="F63" s="51">
        <v>0</v>
      </c>
      <c r="G63" s="51">
        <v>0</v>
      </c>
      <c r="H63" s="51">
        <v>0</v>
      </c>
      <c r="I63" s="49">
        <f>IF(A63&lt;&gt;0,(B63-(B62-D62))/(A63-A62),"")</f>
        <v>13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15</v>
      </c>
      <c r="B64" s="60">
        <v>140</v>
      </c>
      <c r="C64" s="60">
        <v>0</v>
      </c>
      <c r="D64" s="60">
        <v>0</v>
      </c>
      <c r="E64" s="51">
        <v>0</v>
      </c>
      <c r="F64" s="51">
        <v>0</v>
      </c>
      <c r="G64" s="51">
        <v>0</v>
      </c>
      <c r="H64" s="51">
        <v>0</v>
      </c>
      <c r="I64" s="49">
        <f>IF(A64&lt;&gt;0,(B64-(B63-D63))/(A64-A63),"")</f>
        <v>8.1999999999999993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20</v>
      </c>
      <c r="B65" s="60">
        <v>180</v>
      </c>
      <c r="C65" s="60">
        <v>1</v>
      </c>
      <c r="D65" s="60">
        <f>18+23+28+3</f>
        <v>72</v>
      </c>
      <c r="E65" s="51">
        <v>0</v>
      </c>
      <c r="F65" s="51">
        <v>0</v>
      </c>
      <c r="G65" s="51">
        <v>0</v>
      </c>
      <c r="H65" s="51">
        <v>1</v>
      </c>
      <c r="I65" s="49">
        <f>IF(A65&lt;&gt;0,(B65-(B64-D64))/(A65-A64),"")</f>
        <v>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25</v>
      </c>
      <c r="B66" s="60">
        <v>214</v>
      </c>
      <c r="C66" s="60">
        <v>2</v>
      </c>
      <c r="D66" s="60">
        <v>14</v>
      </c>
      <c r="E66" s="51">
        <v>0.3</v>
      </c>
      <c r="F66" s="51">
        <v>0</v>
      </c>
      <c r="G66" s="51">
        <v>0</v>
      </c>
      <c r="H66" s="51">
        <v>0.7</v>
      </c>
      <c r="I66" s="49">
        <f t="shared" ref="I66:I81" si="2">IF(A66&lt;&gt;0,(B66-(B65-D65))/(A66-A65),"")</f>
        <v>21.2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30</v>
      </c>
      <c r="B67" s="60">
        <v>243</v>
      </c>
      <c r="C67" s="60">
        <v>3</v>
      </c>
      <c r="D67" s="60">
        <v>11</v>
      </c>
      <c r="E67" s="51">
        <v>0.5</v>
      </c>
      <c r="F67" s="51">
        <v>0</v>
      </c>
      <c r="G67" s="51">
        <v>0</v>
      </c>
      <c r="H67" s="51">
        <v>0.5</v>
      </c>
      <c r="I67" s="49">
        <f t="shared" si="2"/>
        <v>8.6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35</v>
      </c>
      <c r="B68" s="60">
        <v>267</v>
      </c>
      <c r="C68" s="60">
        <v>4</v>
      </c>
      <c r="D68" s="60">
        <v>9</v>
      </c>
      <c r="E68" s="51">
        <v>0.5</v>
      </c>
      <c r="F68" s="51">
        <v>0</v>
      </c>
      <c r="G68" s="51">
        <v>0</v>
      </c>
      <c r="H68" s="51">
        <v>0.5</v>
      </c>
      <c r="I68" s="49">
        <f t="shared" si="2"/>
        <v>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40</v>
      </c>
      <c r="B69" s="50">
        <v>289</v>
      </c>
      <c r="C69" s="50">
        <v>5</v>
      </c>
      <c r="D69" s="50">
        <v>7</v>
      </c>
      <c r="E69" s="51">
        <v>0.7</v>
      </c>
      <c r="F69" s="51">
        <v>0</v>
      </c>
      <c r="G69" s="51">
        <v>0</v>
      </c>
      <c r="H69" s="51">
        <v>0.3</v>
      </c>
      <c r="I69" s="49">
        <f t="shared" si="2"/>
        <v>6.2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45</v>
      </c>
      <c r="B70" s="50">
        <v>312</v>
      </c>
      <c r="C70" s="50" t="s">
        <v>324</v>
      </c>
      <c r="D70" s="50">
        <f>B70</f>
        <v>312</v>
      </c>
      <c r="E70" s="51">
        <v>0.7</v>
      </c>
      <c r="F70" s="51">
        <v>0</v>
      </c>
      <c r="G70" s="51">
        <v>0</v>
      </c>
      <c r="H70" s="51">
        <v>0.3</v>
      </c>
      <c r="I70" s="49">
        <f t="shared" si="2"/>
        <v>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Mélèze d'Europe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18</v>
      </c>
      <c r="B88" s="60">
        <v>112</v>
      </c>
      <c r="C88" s="60">
        <v>1</v>
      </c>
      <c r="D88" s="60">
        <v>20</v>
      </c>
      <c r="E88" s="51">
        <v>0</v>
      </c>
      <c r="F88" s="51">
        <v>0.6</v>
      </c>
      <c r="G88" s="51">
        <v>0.4</v>
      </c>
      <c r="H88" s="87">
        <v>0</v>
      </c>
      <c r="I88" s="53">
        <f>IFERROR(B88/A88,"")</f>
        <v>6.2222222222222223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21</v>
      </c>
      <c r="B89" s="60">
        <v>146</v>
      </c>
      <c r="C89" s="60">
        <v>2</v>
      </c>
      <c r="D89" s="60">
        <v>26</v>
      </c>
      <c r="E89" s="51">
        <v>0</v>
      </c>
      <c r="F89" s="51">
        <v>0.6</v>
      </c>
      <c r="G89" s="51">
        <v>0.4</v>
      </c>
      <c r="H89" s="87">
        <v>0</v>
      </c>
      <c r="I89" s="53">
        <f t="shared" ref="I89:I107" si="3">IF(A89&lt;&gt;0,(B89-(B88-D88))/(A89-A88),"")</f>
        <v>18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24</v>
      </c>
      <c r="B90" s="60">
        <v>168</v>
      </c>
      <c r="C90" s="60">
        <v>3</v>
      </c>
      <c r="D90" s="60">
        <v>29</v>
      </c>
      <c r="E90" s="87">
        <v>0</v>
      </c>
      <c r="F90" s="87">
        <v>0.6</v>
      </c>
      <c r="G90" s="87">
        <v>0.4</v>
      </c>
      <c r="H90" s="87">
        <v>0</v>
      </c>
      <c r="I90" s="53">
        <f t="shared" si="3"/>
        <v>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30</v>
      </c>
      <c r="B91" s="60">
        <v>224</v>
      </c>
      <c r="C91" s="60">
        <v>4</v>
      </c>
      <c r="D91" s="60">
        <v>53</v>
      </c>
      <c r="E91" s="87">
        <v>0.2</v>
      </c>
      <c r="F91" s="87">
        <v>0.4</v>
      </c>
      <c r="G91" s="87">
        <v>0.4</v>
      </c>
      <c r="H91" s="87">
        <v>0</v>
      </c>
      <c r="I91" s="53">
        <f t="shared" si="3"/>
        <v>14.166666666666666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36</v>
      </c>
      <c r="B92" s="60">
        <v>248</v>
      </c>
      <c r="C92" s="60">
        <v>5</v>
      </c>
      <c r="D92" s="60">
        <v>62</v>
      </c>
      <c r="E92" s="87">
        <v>0.4</v>
      </c>
      <c r="F92" s="87">
        <v>0.3</v>
      </c>
      <c r="G92" s="87">
        <v>0.3</v>
      </c>
      <c r="H92" s="87">
        <v>0</v>
      </c>
      <c r="I92" s="53">
        <f t="shared" si="3"/>
        <v>12.833333333333334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42</v>
      </c>
      <c r="B93" s="60">
        <v>255</v>
      </c>
      <c r="C93" s="60">
        <v>6</v>
      </c>
      <c r="D93" s="60">
        <v>67</v>
      </c>
      <c r="E93" s="87">
        <v>0.6</v>
      </c>
      <c r="F93" s="87">
        <v>0.2</v>
      </c>
      <c r="G93" s="87">
        <v>0.2</v>
      </c>
      <c r="H93" s="87">
        <v>0</v>
      </c>
      <c r="I93" s="53">
        <f t="shared" si="3"/>
        <v>11.5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48</v>
      </c>
      <c r="B94" s="60">
        <v>252</v>
      </c>
      <c r="C94" s="60">
        <v>7</v>
      </c>
      <c r="D94" s="60">
        <v>65</v>
      </c>
      <c r="E94" s="87">
        <v>0.7</v>
      </c>
      <c r="F94" s="87">
        <v>0.2</v>
      </c>
      <c r="G94" s="87">
        <v>0.1</v>
      </c>
      <c r="H94" s="87">
        <v>0</v>
      </c>
      <c r="I94" s="53">
        <f t="shared" si="3"/>
        <v>10.666666666666666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60</v>
      </c>
      <c r="B95" s="60">
        <v>304</v>
      </c>
      <c r="C95" s="60" t="s">
        <v>324</v>
      </c>
      <c r="D95" s="60">
        <v>304</v>
      </c>
      <c r="E95" s="87">
        <v>0.8</v>
      </c>
      <c r="F95" s="87">
        <v>0.1</v>
      </c>
      <c r="G95" s="87">
        <v>0.1</v>
      </c>
      <c r="H95" s="87">
        <v>0</v>
      </c>
      <c r="I95" s="53">
        <f t="shared" si="3"/>
        <v>9.75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2" sqref="G1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Robinier faux-acacia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Mélèze d'Europe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459.83870442974046</v>
      </c>
      <c r="T3" s="59">
        <f>IF('Données projet'!E9&gt;30,$R$33-$H$33,LOOKUP('Données projet'!$E$9,$A$3:$A$203,R3:R203)-LOOKUP('Données projet'!$E$9,$A$3:$A$203,$H$3:$H$203))</f>
        <v>565.68976940602215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376.97234030481559</v>
      </c>
      <c r="AO3" s="59">
        <f>IF('Données projet'!E10&gt;30,$AM$33-$H$33,LOOKUP('Données projet'!$E$10,$A$3:$A$203,AM3:AM203)-LOOKUP('Données projet'!$E$10,$A$3:$A$203,$H$3:$H$203))</f>
        <v>532.90758914457615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256.72534545771862</v>
      </c>
      <c r="BJ3" s="59">
        <f>IF('Données projet'!E11&gt;30,$BH$33-$H$33,LOOKUP('Données projet'!$E$11,$A$3:$A$203,BH3:BH203)-LOOKUP('Données projet'!$E$11,$A$3:$A$203,$H$3:$H$203))</f>
        <v>362.34519377447361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9">
        <f t="shared" si="0"/>
        <v>169.69321425806925</v>
      </c>
      <c r="S4" s="59">
        <f ca="1">AVERAGE(OFFSET($R$3,0,0,'Données projet'!$E$9+1,1))-AVERAGE(OFFSET($H$3,0,0,'Données projet'!$E$9+1,1))</f>
        <v>459.83870442974046</v>
      </c>
      <c r="T4" s="59">
        <f>$T$3</f>
        <v>565.68976940602215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6.8</v>
      </c>
      <c r="AI4" s="13">
        <f>IF('Données projet'!$A$62&gt;35,AI3+AH4-AQ3,IF(A4&lt;'Données projet'!$A$62,$AF$205^A4,IF(A4='Données projet'!$A$62,'Données projet'!$B$62,AI3+AH4-AQ3)))</f>
        <v>2.0243974584998852</v>
      </c>
      <c r="AJ4" s="13">
        <f>AI4*VLOOKUP('Données projet'!$B$10,Paramètres!$A$1:$I$89,3,0)*VLOOKUP('Données projet'!$B$10,Paramètres!$A$1:$I$89,5,0)</f>
        <v>1.8316748204506961</v>
      </c>
      <c r="AK4" s="13">
        <f>EXP(-1.0587+0.8836*LN(AJ4)+0.284)</f>
        <v>0.78669228172688432</v>
      </c>
      <c r="AL4" s="20">
        <f t="shared" ref="AL4:AL67" si="4">(AJ4+AK4)*0.475*44/12</f>
        <v>4.5603227029592857</v>
      </c>
      <c r="AM4" s="59">
        <f t="shared" ref="AM4:AM67" si="5">AL4+(AD4+AE4)*44/12</f>
        <v>172.37275665588314</v>
      </c>
      <c r="AN4" s="59">
        <f ca="1">AVERAGE(OFFSET($AM$3,0,0,'Données projet'!$E$10+1,1))-AVERAGE(OFFSET($H$3,0,0,'Données projet'!$E$10+1,1))</f>
        <v>376.97234030481559</v>
      </c>
      <c r="AO4" s="59">
        <f>$AO$3</f>
        <v>532.90758914457615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6.2222222222222223</v>
      </c>
      <c r="BD4" s="12">
        <f>IF('Données projet'!$A$88&gt;35,BD3+BC4-BL3,IF(A4&lt;'Données projet'!$A$88,$BA$205^A4,IF(A4='Données projet'!$A$88,'Données projet'!$B$88,BD3+BC4-BL3)))</f>
        <v>1.2997069632623315</v>
      </c>
      <c r="BE4" s="13">
        <f>BD4*VLOOKUP('Données projet'!$B$11,Paramètres!$A$1:$I$89,3,0)*VLOOKUP('Données projet'!$B$11,Paramètres!$A$1:$I$89,5,0)</f>
        <v>0.81101714507569489</v>
      </c>
      <c r="BF4" s="13">
        <f>EXP(-1.0587+0.8836*LN(BE4)+0.284)</f>
        <v>0.38297551084354686</v>
      </c>
      <c r="BG4" s="20">
        <f t="shared" ref="BG4:BG67" si="7">(BE4+BF4)*0.475*44/12</f>
        <v>2.0795372090593456</v>
      </c>
      <c r="BH4" s="59">
        <f t="shared" ref="BH4:BH67" si="8">BG4+(AY4+AZ4)*44/12</f>
        <v>169.89197116198318</v>
      </c>
      <c r="BI4" s="59">
        <f ca="1">AVERAGE(OFFSET($BH$3,0,0,'Données projet'!$E$11+1,1))-AVERAGE(OFFSET($H$3,0,0,'Données projet'!$E$11+1,1))</f>
        <v>256.72534545771862</v>
      </c>
      <c r="BJ4" s="59">
        <f>$BJ$3</f>
        <v>362.34519377447361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9">
        <f t="shared" si="0"/>
        <v>173.03114724053935</v>
      </c>
      <c r="S5" s="59">
        <f ca="1">AVERAGE(OFFSET($R$3,0,0,'Données projet'!$E$9+1,1))-AVERAGE(OFFSET($H$3,0,0,'Données projet'!$E$9+1,1))</f>
        <v>459.83870442974046</v>
      </c>
      <c r="T5" s="59">
        <f t="shared" ref="T5:T68" si="34">$T$3</f>
        <v>565.68976940602215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6.8</v>
      </c>
      <c r="AI5" s="13">
        <f>IF('Données projet'!$A$62&gt;35,AI4+AH5-AQ4,IF(A5&lt;'Données projet'!$A$62,$AF$205^A5,IF(A5='Données projet'!$A$62,'Données projet'!$B$62,AI4+AH5-AQ4)))</f>
        <v>4.0981850699807945</v>
      </c>
      <c r="AJ5" s="13">
        <f>AI5*VLOOKUP('Données projet'!$B$10,Paramètres!$A$1:$I$89,3,0)*VLOOKUP('Données projet'!$B$10,Paramètres!$A$1:$I$89,5,0)</f>
        <v>3.7080378513186227</v>
      </c>
      <c r="AK5" s="13">
        <f t="shared" ref="AK5:AK68" si="35">EXP(-1.0587+0.8836*LN(AJ5)+0.284)</f>
        <v>1.4670598901857457</v>
      </c>
      <c r="AL5" s="20">
        <f t="shared" si="4"/>
        <v>9.0132952331201093</v>
      </c>
      <c r="AM5" s="59">
        <f t="shared" si="5"/>
        <v>179.61057652062095</v>
      </c>
      <c r="AN5" s="59">
        <f ca="1">AVERAGE(OFFSET($AM$3,0,0,'Données projet'!$E$10+1,1))-AVERAGE(OFFSET($H$3,0,0,'Données projet'!$E$10+1,1))</f>
        <v>376.97234030481559</v>
      </c>
      <c r="AO5" s="59">
        <f t="shared" ref="AO5:AO68" si="36">$AO$3</f>
        <v>532.90758914457615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6.2222222222222223</v>
      </c>
      <c r="BD5" s="12">
        <f>IF('Données projet'!$A$88&gt;35,BD4+BC5-BL4,IF(A5&lt;'Données projet'!$A$88,$BA$205^A5,IF(A5='Données projet'!$A$88,'Données projet'!$B$88,BD4+BC5-BL4)))</f>
        <v>1.6892381903525915</v>
      </c>
      <c r="BE5" s="13">
        <f>BD5*VLOOKUP('Données projet'!$B$11,Paramètres!$A$1:$I$89,3,0)*VLOOKUP('Données projet'!$B$11,Paramètres!$A$1:$I$89,5,0)</f>
        <v>1.0540846307800171</v>
      </c>
      <c r="BF5" s="13">
        <f t="shared" ref="BF5:BF68" si="37">EXP(-1.0587+0.8836*LN(BE5)+0.284)</f>
        <v>0.48279730809434274</v>
      </c>
      <c r="BG5" s="20">
        <f t="shared" si="7"/>
        <v>2.6767360435395098</v>
      </c>
      <c r="BH5" s="59">
        <f t="shared" si="8"/>
        <v>173.27401733104034</v>
      </c>
      <c r="BI5" s="59">
        <f ca="1">AVERAGE(OFFSET($BH$3,0,0,'Données projet'!$E$11+1,1))-AVERAGE(OFFSET($H$3,0,0,'Données projet'!$E$11+1,1))</f>
        <v>256.72534545771862</v>
      </c>
      <c r="BJ5" s="59">
        <f t="shared" ref="BJ5:BJ68" si="38">$BJ$3</f>
        <v>362.34519377447361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9">
        <f t="shared" si="0"/>
        <v>176.50528150491647</v>
      </c>
      <c r="S6" s="59">
        <f ca="1">AVERAGE(OFFSET($R$3,0,0,'Données projet'!$E$9+1,1))-AVERAGE(OFFSET($H$3,0,0,'Données projet'!$E$9+1,1))</f>
        <v>459.83870442974046</v>
      </c>
      <c r="T6" s="59">
        <f t="shared" si="34"/>
        <v>565.68976940602215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6.8</v>
      </c>
      <c r="AI6" s="13">
        <f>IF('Données projet'!$A$62&gt;35,AI5+AH6-AQ5,IF(A6&lt;'Données projet'!$A$62,$AF$205^A6,IF(A6='Données projet'!$A$62,'Données projet'!$B$62,AI5+AH6-AQ5)))</f>
        <v>8.2963554401312951</v>
      </c>
      <c r="AJ6" s="13">
        <f>AI6*VLOOKUP('Données projet'!$B$10,Paramètres!$A$1:$I$89,3,0)*VLOOKUP('Données projet'!$B$10,Paramètres!$A$1:$I$89,5,0)</f>
        <v>7.5065424022307949</v>
      </c>
      <c r="AK6" s="13">
        <f t="shared" si="35"/>
        <v>2.7358406474604431</v>
      </c>
      <c r="AL6" s="20">
        <f t="shared" si="4"/>
        <v>17.838817144878906</v>
      </c>
      <c r="AM6" s="59">
        <f t="shared" si="5"/>
        <v>191.19383771476379</v>
      </c>
      <c r="AN6" s="59">
        <f ca="1">AVERAGE(OFFSET($AM$3,0,0,'Données projet'!$E$10+1,1))-AVERAGE(OFFSET($H$3,0,0,'Données projet'!$E$10+1,1))</f>
        <v>376.97234030481559</v>
      </c>
      <c r="AO6" s="59">
        <f t="shared" si="36"/>
        <v>532.90758914457615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6.2222222222222223</v>
      </c>
      <c r="BD6" s="12">
        <f>IF('Données projet'!$A$88&gt;35,BD5+BC6-BL5,IF(A6&lt;'Données projet'!$A$88,$BA$205^A6,IF(A6='Données projet'!$A$88,'Données projet'!$B$88,BD5+BC6-BL5)))</f>
        <v>2.1955146386099229</v>
      </c>
      <c r="BE6" s="13">
        <f>BD6*VLOOKUP('Données projet'!$B$11,Paramètres!$A$1:$I$89,3,0)*VLOOKUP('Données projet'!$B$11,Paramètres!$A$1:$I$89,5,0)</f>
        <v>1.3700011344925918</v>
      </c>
      <c r="BF6" s="13">
        <f t="shared" si="37"/>
        <v>0.60863745619068288</v>
      </c>
      <c r="BG6" s="20">
        <f t="shared" si="7"/>
        <v>3.4461288787733699</v>
      </c>
      <c r="BH6" s="59">
        <f t="shared" si="8"/>
        <v>176.80114944865826</v>
      </c>
      <c r="BI6" s="59">
        <f ca="1">AVERAGE(OFFSET($BH$3,0,0,'Données projet'!$E$11+1,1))-AVERAGE(OFFSET($H$3,0,0,'Données projet'!$E$11+1,1))</f>
        <v>256.72534545771862</v>
      </c>
      <c r="BJ6" s="59">
        <f t="shared" si="38"/>
        <v>362.34519377447361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9">
        <f t="shared" si="0"/>
        <v>180.164492114388</v>
      </c>
      <c r="S7" s="59">
        <f ca="1">AVERAGE(OFFSET($R$3,0,0,'Données projet'!$E$9+1,1))-AVERAGE(OFFSET($H$3,0,0,'Données projet'!$E$9+1,1))</f>
        <v>459.83870442974046</v>
      </c>
      <c r="T7" s="59">
        <f t="shared" si="34"/>
        <v>565.68976940602215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6.8</v>
      </c>
      <c r="AI7" s="13">
        <f>IF('Données projet'!$A$62&gt;35,AI6+AH7-AQ6,IF(A7&lt;'Données projet'!$A$62,$AF$205^A7,IF(A7='Données projet'!$A$62,'Données projet'!$B$62,AI6+AH7-AQ6)))</f>
        <v>16.795120867813488</v>
      </c>
      <c r="AJ7" s="13">
        <f>AI7*VLOOKUP('Données projet'!$B$10,Paramètres!$A$1:$I$89,3,0)*VLOOKUP('Données projet'!$B$10,Paramètres!$A$1:$I$89,5,0)</f>
        <v>15.196225361197643</v>
      </c>
      <c r="AK7" s="13">
        <f t="shared" si="35"/>
        <v>5.1019212633160578</v>
      </c>
      <c r="AL7" s="20">
        <f t="shared" si="4"/>
        <v>35.352605371028027</v>
      </c>
      <c r="AM7" s="59">
        <f t="shared" si="5"/>
        <v>211.43872743520498</v>
      </c>
      <c r="AN7" s="59">
        <f ca="1">AVERAGE(OFFSET($AM$3,0,0,'Données projet'!$E$10+1,1))-AVERAGE(OFFSET($H$3,0,0,'Données projet'!$E$10+1,1))</f>
        <v>376.97234030481559</v>
      </c>
      <c r="AO7" s="59">
        <f t="shared" si="36"/>
        <v>532.90758914457615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6.2222222222222223</v>
      </c>
      <c r="BD7" s="12">
        <f>IF('Données projet'!$A$88&gt;35,BD6+BC7-BL6,IF(A7&lt;'Données projet'!$A$88,$BA$205^A7,IF(A7='Données projet'!$A$88,'Données projet'!$B$88,BD6+BC7-BL6)))</f>
        <v>2.8535256637456983</v>
      </c>
      <c r="BE7" s="13">
        <f>BD7*VLOOKUP('Données projet'!$B$11,Paramètres!$A$1:$I$89,3,0)*VLOOKUP('Données projet'!$B$11,Paramètres!$A$1:$I$89,5,0)</f>
        <v>1.7806000141773157</v>
      </c>
      <c r="BF7" s="13">
        <f t="shared" si="37"/>
        <v>0.76727758599241935</v>
      </c>
      <c r="BG7" s="20">
        <f t="shared" si="7"/>
        <v>4.4375534869622877</v>
      </c>
      <c r="BH7" s="59">
        <f t="shared" si="8"/>
        <v>180.52367555113923</v>
      </c>
      <c r="BI7" s="59">
        <f ca="1">AVERAGE(OFFSET($BH$3,0,0,'Données projet'!$E$11+1,1))-AVERAGE(OFFSET($H$3,0,0,'Données projet'!$E$11+1,1))</f>
        <v>256.72534545771862</v>
      </c>
      <c r="BJ7" s="59">
        <f t="shared" si="38"/>
        <v>362.34519377447361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9">
        <f t="shared" si="0"/>
        <v>184.07204435234064</v>
      </c>
      <c r="S8" s="59">
        <f ca="1">AVERAGE(OFFSET($R$3,0,0,'Données projet'!$E$9+1,1))-AVERAGE(OFFSET($H$3,0,0,'Données projet'!$E$9+1,1))</f>
        <v>459.83870442974046</v>
      </c>
      <c r="T8" s="59">
        <f t="shared" si="34"/>
        <v>565.68976940602215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34</v>
      </c>
      <c r="AG8" s="12">
        <f>VLOOKUP(A8,'Données projet'!$A$61:$I$81,9,0)</f>
        <v>6.8</v>
      </c>
      <c r="AH8" s="12">
        <f t="array" ref="AH8">INDEX(AG:AG,MIN(IF(ISNUMBER(AG8:AG204),ROW(AG8:AG204),"")))</f>
        <v>6.8</v>
      </c>
      <c r="AI8" s="13">
        <f>IF('Données projet'!$A$62&gt;35,AI7+AH8-AQ7,IF(A8&lt;'Données projet'!$A$62,$AF$205^A8,IF(A8='Données projet'!$A$62,'Données projet'!$B$62,AI7+AH8-AQ7)))</f>
        <v>34</v>
      </c>
      <c r="AJ8" s="13">
        <f>AI8*VLOOKUP('Données projet'!$B$10,Paramètres!$A$1:$I$89,3,0)*VLOOKUP('Données projet'!$B$10,Paramètres!$A$1:$I$89,5,0)</f>
        <v>30.763199999999998</v>
      </c>
      <c r="AK8" s="13">
        <f t="shared" si="35"/>
        <v>9.5142970411082253</v>
      </c>
      <c r="AL8" s="20">
        <f t="shared" si="4"/>
        <v>70.149974013263474</v>
      </c>
      <c r="AM8" s="59">
        <f t="shared" si="5"/>
        <v>248.94102188971084</v>
      </c>
      <c r="AN8" s="59">
        <f ca="1">AVERAGE(OFFSET($AM$3,0,0,'Données projet'!$E$10+1,1))-AVERAGE(OFFSET($H$3,0,0,'Données projet'!$E$10+1,1))</f>
        <v>376.97234030481559</v>
      </c>
      <c r="AO8" s="59">
        <f t="shared" si="36"/>
        <v>532.90758914457615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6.2222222222222223</v>
      </c>
      <c r="BD8" s="12">
        <f>IF('Données projet'!$A$88&gt;35,BD7+BC8-BL7,IF(A8&lt;'Données projet'!$A$88,$BA$205^A8,IF(A8='Données projet'!$A$88,'Données projet'!$B$88,BD7+BC8-BL7)))</f>
        <v>3.7087471750180505</v>
      </c>
      <c r="BE8" s="13">
        <f>BD8*VLOOKUP('Données projet'!$B$11,Paramètres!$A$1:$I$89,3,0)*VLOOKUP('Données projet'!$B$11,Paramètres!$A$1:$I$89,5,0)</f>
        <v>2.3142582372112632</v>
      </c>
      <c r="BF8" s="13">
        <f t="shared" si="37"/>
        <v>0.96726694681425085</v>
      </c>
      <c r="BG8" s="20">
        <f t="shared" si="7"/>
        <v>5.7153230288444377</v>
      </c>
      <c r="BH8" s="59">
        <f t="shared" si="8"/>
        <v>184.50637090529179</v>
      </c>
      <c r="BI8" s="59">
        <f ca="1">AVERAGE(OFFSET($BH$3,0,0,'Données projet'!$E$11+1,1))-AVERAGE(OFFSET($H$3,0,0,'Données projet'!$E$11+1,1))</f>
        <v>256.72534545771862</v>
      </c>
      <c r="BJ8" s="59">
        <f t="shared" si="38"/>
        <v>362.34519377447361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9">
        <f t="shared" si="0"/>
        <v>188.3098909356388</v>
      </c>
      <c r="S9" s="59">
        <f ca="1">AVERAGE(OFFSET($R$3,0,0,'Données projet'!$E$9+1,1))-AVERAGE(OFFSET($H$3,0,0,'Données projet'!$E$9+1,1))</f>
        <v>459.83870442974046</v>
      </c>
      <c r="T9" s="59">
        <f t="shared" si="34"/>
        <v>565.68976940602215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13</v>
      </c>
      <c r="AI9" s="13">
        <f>IF('Données projet'!$A$62&gt;35,AI8+AH9-AQ8,IF(A9&lt;'Données projet'!$A$62,$AF$205^A9,IF(A9='Données projet'!$A$62,'Données projet'!$B$62,AI8+AH9-AQ8)))</f>
        <v>47</v>
      </c>
      <c r="AJ9" s="13">
        <f>AI9*VLOOKUP('Données projet'!$B$10,Paramètres!$A$1:$I$89,3,0)*VLOOKUP('Données projet'!$B$10,Paramètres!$A$1:$I$89,5,0)</f>
        <v>42.525599999999997</v>
      </c>
      <c r="AK9" s="13">
        <f t="shared" si="35"/>
        <v>12.665653491137931</v>
      </c>
      <c r="AL9" s="20">
        <f t="shared" si="4"/>
        <v>96.124766497065238</v>
      </c>
      <c r="AM9" s="59">
        <f t="shared" si="5"/>
        <v>277.5950185933242</v>
      </c>
      <c r="AN9" s="59">
        <f ca="1">AVERAGE(OFFSET($AM$3,0,0,'Données projet'!$E$10+1,1))-AVERAGE(OFFSET($H$3,0,0,'Données projet'!$E$10+1,1))</f>
        <v>376.97234030481559</v>
      </c>
      <c r="AO9" s="59">
        <f t="shared" si="36"/>
        <v>532.90758914457615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6.2222222222222223</v>
      </c>
      <c r="BD9" s="12">
        <f>IF('Données projet'!$A$88&gt;35,BD8+BC9-BL8,IF(A9&lt;'Données projet'!$A$88,$BA$205^A9,IF(A9='Données projet'!$A$88,'Données projet'!$B$88,BD8+BC9-BL8)))</f>
        <v>4.8202845283504612</v>
      </c>
      <c r="BE9" s="13">
        <f>BD9*VLOOKUP('Données projet'!$B$11,Paramètres!$A$1:$I$89,3,0)*VLOOKUP('Données projet'!$B$11,Paramètres!$A$1:$I$89,5,0)</f>
        <v>3.0078575456906878</v>
      </c>
      <c r="BF9" s="13">
        <f t="shared" si="37"/>
        <v>1.2193831326236693</v>
      </c>
      <c r="BG9" s="20">
        <f t="shared" si="7"/>
        <v>7.3624441813975059</v>
      </c>
      <c r="BH9" s="59">
        <f t="shared" si="8"/>
        <v>188.83269627765648</v>
      </c>
      <c r="BI9" s="59">
        <f ca="1">AVERAGE(OFFSET($BH$3,0,0,'Données projet'!$E$11+1,1))-AVERAGE(OFFSET($H$3,0,0,'Données projet'!$E$11+1,1))</f>
        <v>256.72534545771862</v>
      </c>
      <c r="BJ9" s="59">
        <f t="shared" si="38"/>
        <v>362.34519377447361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9">
        <f t="shared" si="0"/>
        <v>192.98425555211116</v>
      </c>
      <c r="S10" s="59">
        <f ca="1">AVERAGE(OFFSET($R$3,0,0,'Données projet'!$E$9+1,1))-AVERAGE(OFFSET($H$3,0,0,'Données projet'!$E$9+1,1))</f>
        <v>459.83870442974046</v>
      </c>
      <c r="T10" s="59">
        <f t="shared" si="34"/>
        <v>565.68976940602215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13</v>
      </c>
      <c r="AI10" s="13">
        <f>IF('Données projet'!$A$62&gt;35,AI9+AH10-AQ9,IF(A10&lt;'Données projet'!$A$62,$AF$205^A10,IF(A10='Données projet'!$A$62,'Données projet'!$B$62,AI9+AH10-AQ9)))</f>
        <v>60</v>
      </c>
      <c r="AJ10" s="13">
        <f>AI10*VLOOKUP('Données projet'!$B$10,Paramètres!$A$1:$I$89,3,0)*VLOOKUP('Données projet'!$B$10,Paramètres!$A$1:$I$89,5,0)</f>
        <v>54.287999999999997</v>
      </c>
      <c r="AK10" s="13">
        <f t="shared" si="35"/>
        <v>15.715795896526746</v>
      </c>
      <c r="AL10" s="20">
        <f t="shared" si="4"/>
        <v>121.9232778531174</v>
      </c>
      <c r="AM10" s="59">
        <f t="shared" si="5"/>
        <v>306.04745878885365</v>
      </c>
      <c r="AN10" s="59">
        <f ca="1">AVERAGE(OFFSET($AM$3,0,0,'Données projet'!$E$10+1,1))-AVERAGE(OFFSET($H$3,0,0,'Données projet'!$E$10+1,1))</f>
        <v>376.97234030481559</v>
      </c>
      <c r="AO10" s="59">
        <f t="shared" si="36"/>
        <v>532.90758914457615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6.2222222222222223</v>
      </c>
      <c r="BD10" s="12">
        <f>IF('Données projet'!$A$88&gt;35,BD9+BC10-BL9,IF(A10&lt;'Données projet'!$A$88,$BA$205^A10,IF(A10='Données projet'!$A$88,'Données projet'!$B$88,BD9+BC10-BL9)))</f>
        <v>6.2649573664027773</v>
      </c>
      <c r="BE10" s="13">
        <f>BD10*VLOOKUP('Données projet'!$B$11,Paramètres!$A$1:$I$89,3,0)*VLOOKUP('Données projet'!$B$11,Paramètres!$A$1:$I$89,5,0)</f>
        <v>3.9093333966353332</v>
      </c>
      <c r="BF10" s="13">
        <f t="shared" si="37"/>
        <v>1.5372128955964925</v>
      </c>
      <c r="BG10" s="20">
        <f t="shared" si="7"/>
        <v>9.4860681256370967</v>
      </c>
      <c r="BH10" s="59">
        <f t="shared" si="8"/>
        <v>193.61024906137334</v>
      </c>
      <c r="BI10" s="59">
        <f ca="1">AVERAGE(OFFSET($BH$3,0,0,'Données projet'!$E$11+1,1))-AVERAGE(OFFSET($H$3,0,0,'Données projet'!$E$11+1,1))</f>
        <v>256.72534545771862</v>
      </c>
      <c r="BJ10" s="59">
        <f t="shared" si="38"/>
        <v>362.34519377447361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9">
        <f t="shared" si="0"/>
        <v>198.2328888554288</v>
      </c>
      <c r="S11" s="59">
        <f ca="1">AVERAGE(OFFSET($R$3,0,0,'Données projet'!$E$9+1,1))-AVERAGE(OFFSET($H$3,0,0,'Données projet'!$E$9+1,1))</f>
        <v>459.83870442974046</v>
      </c>
      <c r="T11" s="59">
        <f t="shared" si="34"/>
        <v>565.68976940602215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13</v>
      </c>
      <c r="AI11" s="13">
        <f>IF('Données projet'!$A$62&gt;35,AI10+AH11-AQ10,IF(A11&lt;'Données projet'!$A$62,$AF$205^A11,IF(A11='Données projet'!$A$62,'Données projet'!$B$62,AI10+AH11-AQ10)))</f>
        <v>73</v>
      </c>
      <c r="AJ11" s="13">
        <f>AI11*VLOOKUP('Données projet'!$B$10,Paramètres!$A$1:$I$89,3,0)*VLOOKUP('Données projet'!$B$10,Paramètres!$A$1:$I$89,5,0)</f>
        <v>66.050399999999996</v>
      </c>
      <c r="AK11" s="13">
        <f t="shared" si="35"/>
        <v>18.689342126897891</v>
      </c>
      <c r="AL11" s="20">
        <f t="shared" si="4"/>
        <v>147.58838420434714</v>
      </c>
      <c r="AM11" s="59">
        <f t="shared" si="5"/>
        <v>334.34165707056769</v>
      </c>
      <c r="AN11" s="59">
        <f ca="1">AVERAGE(OFFSET($AM$3,0,0,'Données projet'!$E$10+1,1))-AVERAGE(OFFSET($H$3,0,0,'Données projet'!$E$10+1,1))</f>
        <v>376.97234030481559</v>
      </c>
      <c r="AO11" s="59">
        <f t="shared" si="36"/>
        <v>532.90758914457615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6.2222222222222223</v>
      </c>
      <c r="BD11" s="12">
        <f>IF('Données projet'!$A$88&gt;35,BD10+BC11-BL10,IF(A11&lt;'Données projet'!$A$88,$BA$205^A11,IF(A11='Données projet'!$A$88,'Données projet'!$B$88,BD10+BC11-BL10)))</f>
        <v>8.1426087136553278</v>
      </c>
      <c r="BE11" s="13">
        <f>BD11*VLOOKUP('Données projet'!$B$11,Paramètres!$A$1:$I$89,3,0)*VLOOKUP('Données projet'!$B$11,Paramètres!$A$1:$I$89,5,0)</f>
        <v>5.080987837320925</v>
      </c>
      <c r="BF11" s="13">
        <f t="shared" si="37"/>
        <v>1.9378843475584122</v>
      </c>
      <c r="BG11" s="20">
        <f t="shared" si="7"/>
        <v>12.224535721998178</v>
      </c>
      <c r="BH11" s="59">
        <f t="shared" si="8"/>
        <v>198.97780858821872</v>
      </c>
      <c r="BI11" s="59">
        <f ca="1">AVERAGE(OFFSET($BH$3,0,0,'Données projet'!$E$11+1,1))-AVERAGE(OFFSET($H$3,0,0,'Données projet'!$E$11+1,1))</f>
        <v>256.72534545771862</v>
      </c>
      <c r="BJ11" s="59">
        <f t="shared" si="38"/>
        <v>362.34519377447361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9">
        <f t="shared" si="0"/>
        <v>204.23449925454133</v>
      </c>
      <c r="S12" s="59">
        <f ca="1">AVERAGE(OFFSET($R$3,0,0,'Données projet'!$E$9+1,1))-AVERAGE(OFFSET($H$3,0,0,'Données projet'!$E$9+1,1))</f>
        <v>459.83870442974046</v>
      </c>
      <c r="T12" s="59">
        <f t="shared" si="34"/>
        <v>565.68976940602215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13</v>
      </c>
      <c r="AI12" s="13">
        <f>IF('Données projet'!$A$62&gt;35,AI11+AH12-AQ11,IF(A12&lt;'Données projet'!$A$62,$AF$205^A12,IF(A12='Données projet'!$A$62,'Données projet'!$B$62,AI11+AH12-AQ11)))</f>
        <v>86</v>
      </c>
      <c r="AJ12" s="13">
        <f>AI12*VLOOKUP('Données projet'!$B$10,Paramètres!$A$1:$I$89,3,0)*VLOOKUP('Données projet'!$B$10,Paramètres!$A$1:$I$89,5,0)</f>
        <v>77.812799999999996</v>
      </c>
      <c r="AK12" s="13">
        <f t="shared" si="35"/>
        <v>21.601542634761511</v>
      </c>
      <c r="AL12" s="20">
        <f t="shared" si="4"/>
        <v>173.14664675554295</v>
      </c>
      <c r="AM12" s="59">
        <f t="shared" si="5"/>
        <v>362.50460550809902</v>
      </c>
      <c r="AN12" s="59">
        <f ca="1">AVERAGE(OFFSET($AM$3,0,0,'Données projet'!$E$10+1,1))-AVERAGE(OFFSET($H$3,0,0,'Données projet'!$E$10+1,1))</f>
        <v>376.97234030481559</v>
      </c>
      <c r="AO12" s="59">
        <f t="shared" si="36"/>
        <v>532.90758914457615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6.2222222222222223</v>
      </c>
      <c r="BD12" s="12">
        <f>IF('Données projet'!$A$88&gt;35,BD11+BC12-BL11,IF(A12&lt;'Données projet'!$A$88,$BA$205^A12,IF(A12='Données projet'!$A$88,'Données projet'!$B$88,BD11+BC12-BL11)))</f>
        <v>10.583005244258365</v>
      </c>
      <c r="BE12" s="13">
        <f>BD12*VLOOKUP('Données projet'!$B$11,Paramètres!$A$1:$I$89,3,0)*VLOOKUP('Données projet'!$B$11,Paramètres!$A$1:$I$89,5,0)</f>
        <v>6.6037952724172193</v>
      </c>
      <c r="BF12" s="13">
        <f t="shared" si="37"/>
        <v>2.4429900082608067</v>
      </c>
      <c r="BG12" s="20">
        <f t="shared" si="7"/>
        <v>15.75648436384756</v>
      </c>
      <c r="BH12" s="59">
        <f t="shared" si="8"/>
        <v>205.11444311640363</v>
      </c>
      <c r="BI12" s="59">
        <f ca="1">AVERAGE(OFFSET($BH$3,0,0,'Données projet'!$E$11+1,1))-AVERAGE(OFFSET($H$3,0,0,'Données projet'!$E$11+1,1))</f>
        <v>256.72534545771862</v>
      </c>
      <c r="BJ12" s="59">
        <f t="shared" si="38"/>
        <v>362.34519377447361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9">
        <f t="shared" si="0"/>
        <v>211.22101208968343</v>
      </c>
      <c r="S13" s="59">
        <f ca="1">AVERAGE(OFFSET($R$3,0,0,'Données projet'!$E$9+1,1))-AVERAGE(OFFSET($H$3,0,0,'Données projet'!$E$9+1,1))</f>
        <v>459.83870442974046</v>
      </c>
      <c r="T13" s="59">
        <f t="shared" si="34"/>
        <v>565.68976940602215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99</v>
      </c>
      <c r="AG13" s="12">
        <f>VLOOKUP(A13,'Données projet'!$A$61:$I$81,9,0)</f>
        <v>13</v>
      </c>
      <c r="AH13" s="12">
        <f t="array" ref="AH13">INDEX(AG:AG,MIN(IF(ISNUMBER(AG13:AG209),ROW(AG13:AG209),"")))</f>
        <v>13</v>
      </c>
      <c r="AI13" s="13">
        <f>IF('Données projet'!$A$62&gt;35,AI12+AH13-AQ12,IF(A13&lt;'Données projet'!$A$62,$AF$205^A13,IF(A13='Données projet'!$A$62,'Données projet'!$B$62,AI12+AH13-AQ12)))</f>
        <v>99</v>
      </c>
      <c r="AJ13" s="13">
        <f>AI13*VLOOKUP('Données projet'!$B$10,Paramètres!$A$1:$I$89,3,0)*VLOOKUP('Données projet'!$B$10,Paramètres!$A$1:$I$89,5,0)</f>
        <v>89.575199999999995</v>
      </c>
      <c r="AK13" s="13">
        <f t="shared" si="35"/>
        <v>24.462745269668691</v>
      </c>
      <c r="AL13" s="20">
        <f t="shared" si="4"/>
        <v>198.6160880113396</v>
      </c>
      <c r="AM13" s="59">
        <f t="shared" si="5"/>
        <v>390.55474999638449</v>
      </c>
      <c r="AN13" s="59">
        <f ca="1">AVERAGE(OFFSET($AM$3,0,0,'Données projet'!$E$10+1,1))-AVERAGE(OFFSET($H$3,0,0,'Données projet'!$E$10+1,1))</f>
        <v>376.97234030481559</v>
      </c>
      <c r="AO13" s="59">
        <f t="shared" si="36"/>
        <v>532.90758914457615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6.2222222222222223</v>
      </c>
      <c r="BD13" s="12">
        <f>IF('Données projet'!$A$88&gt;35,BD12+BC13-BL12,IF(A13&lt;'Données projet'!$A$88,$BA$205^A13,IF(A13='Données projet'!$A$88,'Données projet'!$B$88,BD12+BC13-BL12)))</f>
        <v>13.754805608204368</v>
      </c>
      <c r="BE13" s="13">
        <f>BD13*VLOOKUP('Données projet'!$B$11,Paramètres!$A$1:$I$89,3,0)*VLOOKUP('Données projet'!$B$11,Paramètres!$A$1:$I$89,5,0)</f>
        <v>8.5829986995195267</v>
      </c>
      <c r="BF13" s="13">
        <f t="shared" si="37"/>
        <v>3.0797504443346257</v>
      </c>
      <c r="BG13" s="20">
        <f t="shared" si="7"/>
        <v>20.312621425545984</v>
      </c>
      <c r="BH13" s="59">
        <f t="shared" si="8"/>
        <v>212.25128341059087</v>
      </c>
      <c r="BI13" s="59">
        <f ca="1">AVERAGE(OFFSET($BH$3,0,0,'Données projet'!$E$11+1,1))-AVERAGE(OFFSET($H$3,0,0,'Données projet'!$E$11+1,1))</f>
        <v>256.72534545771862</v>
      </c>
      <c r="BJ13" s="59">
        <f t="shared" si="38"/>
        <v>362.34519377447361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9">
        <f t="shared" si="0"/>
        <v>219.4935076869813</v>
      </c>
      <c r="S14" s="59">
        <f ca="1">AVERAGE(OFFSET($R$3,0,0,'Données projet'!$E$9+1,1))-AVERAGE(OFFSET($H$3,0,0,'Données projet'!$E$9+1,1))</f>
        <v>459.83870442974046</v>
      </c>
      <c r="T14" s="59">
        <f t="shared" si="34"/>
        <v>565.68976940602215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8.1999999999999993</v>
      </c>
      <c r="AI14" s="13">
        <f>IF('Données projet'!$A$62&gt;35,AI13+AH14-AQ13,IF(A14&lt;'Données projet'!$A$62,$AF$205^A14,IF(A14='Données projet'!$A$62,'Données projet'!$B$62,AI13+AH14-AQ13)))</f>
        <v>107.2</v>
      </c>
      <c r="AJ14" s="13">
        <f>AI14*VLOOKUP('Données projet'!$B$10,Paramètres!$A$1:$I$89,3,0)*VLOOKUP('Données projet'!$B$10,Paramètres!$A$1:$I$89,5,0)</f>
        <v>96.994559999999993</v>
      </c>
      <c r="AK14" s="13">
        <f t="shared" si="35"/>
        <v>26.244726267061132</v>
      </c>
      <c r="AL14" s="20">
        <f t="shared" si="4"/>
        <v>214.64175691513142</v>
      </c>
      <c r="AM14" s="59">
        <f t="shared" si="5"/>
        <v>409.13755552424556</v>
      </c>
      <c r="AN14" s="59">
        <f ca="1">AVERAGE(OFFSET($AM$3,0,0,'Données projet'!$E$10+1,1))-AVERAGE(OFFSET($H$3,0,0,'Données projet'!$E$10+1,1))</f>
        <v>376.97234030481559</v>
      </c>
      <c r="AO14" s="59">
        <f t="shared" si="36"/>
        <v>532.90758914457615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6.2222222222222223</v>
      </c>
      <c r="BD14" s="12">
        <f>IF('Données projet'!$A$88&gt;35,BD13+BC14-BL13,IF(A14&lt;'Données projet'!$A$88,$BA$205^A14,IF(A14='Données projet'!$A$88,'Données projet'!$B$88,BD13+BC14-BL13)))</f>
        <v>17.877216627302985</v>
      </c>
      <c r="BE14" s="13">
        <f>BD14*VLOOKUP('Données projet'!$B$11,Paramètres!$A$1:$I$89,3,0)*VLOOKUP('Données projet'!$B$11,Paramètres!$A$1:$I$89,5,0)</f>
        <v>11.155383175437063</v>
      </c>
      <c r="BF14" s="13">
        <f t="shared" si="37"/>
        <v>3.8824812083990929</v>
      </c>
      <c r="BG14" s="20">
        <f t="shared" si="7"/>
        <v>26.1909471351813</v>
      </c>
      <c r="BH14" s="59">
        <f t="shared" si="8"/>
        <v>220.68674574429542</v>
      </c>
      <c r="BI14" s="59">
        <f ca="1">AVERAGE(OFFSET($BH$3,0,0,'Données projet'!$E$11+1,1))-AVERAGE(OFFSET($H$3,0,0,'Données projet'!$E$11+1,1))</f>
        <v>256.72534545771862</v>
      </c>
      <c r="BJ14" s="59">
        <f t="shared" si="38"/>
        <v>362.34519377447361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9">
        <f t="shared" si="0"/>
        <v>229.44294513126707</v>
      </c>
      <c r="S15" s="59">
        <f ca="1">AVERAGE(OFFSET($R$3,0,0,'Données projet'!$E$9+1,1))-AVERAGE(OFFSET($H$3,0,0,'Données projet'!$E$9+1,1))</f>
        <v>459.83870442974046</v>
      </c>
      <c r="T15" s="59">
        <f t="shared" si="34"/>
        <v>565.68976940602215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8.1999999999999993</v>
      </c>
      <c r="AI15" s="13">
        <f>IF('Données projet'!$A$62&gt;35,AI14+AH15-AQ14,IF(A15&lt;'Données projet'!$A$62,$AF$205^A15,IF(A15='Données projet'!$A$62,'Données projet'!$B$62,AI14+AH15-AQ14)))</f>
        <v>115.4</v>
      </c>
      <c r="AJ15" s="13">
        <f>AI15*VLOOKUP('Données projet'!$B$10,Paramètres!$A$1:$I$89,3,0)*VLOOKUP('Données projet'!$B$10,Paramètres!$A$1:$I$89,5,0)</f>
        <v>104.41392</v>
      </c>
      <c r="AK15" s="13">
        <f t="shared" si="35"/>
        <v>28.010895142032854</v>
      </c>
      <c r="AL15" s="20">
        <f t="shared" si="4"/>
        <v>230.63988637237389</v>
      </c>
      <c r="AM15" s="59">
        <f t="shared" si="5"/>
        <v>427.6696638251068</v>
      </c>
      <c r="AN15" s="59">
        <f ca="1">AVERAGE(OFFSET($AM$3,0,0,'Données projet'!$E$10+1,1))-AVERAGE(OFFSET($H$3,0,0,'Données projet'!$E$10+1,1))</f>
        <v>376.97234030481559</v>
      </c>
      <c r="AO15" s="59">
        <f t="shared" si="36"/>
        <v>532.90758914457615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6.2222222222222223</v>
      </c>
      <c r="BD15" s="12">
        <f>IF('Données projet'!$A$88&gt;35,BD14+BC15-BL14,IF(A15&lt;'Données projet'!$A$88,$BA$205^A15,IF(A15='Données projet'!$A$88,'Données projet'!$B$88,BD14+BC15-BL14)))</f>
        <v>23.235142934254824</v>
      </c>
      <c r="BE15" s="13">
        <f>BD15*VLOOKUP('Données projet'!$B$11,Paramètres!$A$1:$I$89,3,0)*VLOOKUP('Données projet'!$B$11,Paramètres!$A$1:$I$89,5,0)</f>
        <v>14.498729190975009</v>
      </c>
      <c r="BF15" s="13">
        <f t="shared" si="37"/>
        <v>4.8944421329010357</v>
      </c>
      <c r="BG15" s="20">
        <f t="shared" si="7"/>
        <v>33.776440055750776</v>
      </c>
      <c r="BH15" s="59">
        <f t="shared" si="8"/>
        <v>230.80621750848366</v>
      </c>
      <c r="BI15" s="59">
        <f ca="1">AVERAGE(OFFSET($BH$3,0,0,'Données projet'!$E$11+1,1))-AVERAGE(OFFSET($H$3,0,0,'Données projet'!$E$11+1,1))</f>
        <v>256.72534545771862</v>
      </c>
      <c r="BJ15" s="59">
        <f t="shared" si="38"/>
        <v>362.34519377447361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9">
        <f t="shared" si="0"/>
        <v>241.57711237543259</v>
      </c>
      <c r="S16" s="59">
        <f ca="1">AVERAGE(OFFSET($R$3,0,0,'Données projet'!$E$9+1,1))-AVERAGE(OFFSET($H$3,0,0,'Données projet'!$E$9+1,1))</f>
        <v>459.83870442974046</v>
      </c>
      <c r="T16" s="59">
        <f t="shared" si="34"/>
        <v>565.68976940602215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8.1999999999999993</v>
      </c>
      <c r="AI16" s="13">
        <f>IF('Données projet'!$A$62&gt;35,AI15+AH16-AQ15,IF(A16&lt;'Données projet'!$A$62,$AF$205^A16,IF(A16='Données projet'!$A$62,'Données projet'!$B$62,AI15+AH16-AQ15)))</f>
        <v>123.60000000000001</v>
      </c>
      <c r="AJ16" s="13">
        <f>AI16*VLOOKUP('Données projet'!$B$10,Paramètres!$A$1:$I$89,3,0)*VLOOKUP('Données projet'!$B$10,Paramètres!$A$1:$I$89,5,0)</f>
        <v>111.83328</v>
      </c>
      <c r="AK16" s="13">
        <f t="shared" si="35"/>
        <v>29.762503250547802</v>
      </c>
      <c r="AL16" s="20">
        <f t="shared" si="4"/>
        <v>246.61265582803745</v>
      </c>
      <c r="AM16" s="59">
        <f t="shared" si="5"/>
        <v>446.15365607965623</v>
      </c>
      <c r="AN16" s="59">
        <f ca="1">AVERAGE(OFFSET($AM$3,0,0,'Données projet'!$E$10+1,1))-AVERAGE(OFFSET($H$3,0,0,'Données projet'!$E$10+1,1))</f>
        <v>376.97234030481559</v>
      </c>
      <c r="AO16" s="59">
        <f t="shared" si="36"/>
        <v>532.90758914457615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6.2222222222222223</v>
      </c>
      <c r="BD16" s="12">
        <f>IF('Données projet'!$A$88&gt;35,BD15+BC16-BL15,IF(A16&lt;'Données projet'!$A$88,$BA$205^A16,IF(A16='Données projet'!$A$88,'Données projet'!$B$88,BD15+BC16-BL15)))</f>
        <v>30.19887706404656</v>
      </c>
      <c r="BE16" s="13">
        <f>BD16*VLOOKUP('Données projet'!$B$11,Paramètres!$A$1:$I$89,3,0)*VLOOKUP('Données projet'!$B$11,Paramètres!$A$1:$I$89,5,0)</f>
        <v>18.844099287965054</v>
      </c>
      <c r="BF16" s="13">
        <f t="shared" si="37"/>
        <v>6.1701686386769925</v>
      </c>
      <c r="BG16" s="20">
        <f t="shared" si="7"/>
        <v>43.566516638901568</v>
      </c>
      <c r="BH16" s="59">
        <f t="shared" si="8"/>
        <v>243.10751689052037</v>
      </c>
      <c r="BI16" s="59">
        <f ca="1">AVERAGE(OFFSET($BH$3,0,0,'Données projet'!$E$11+1,1))-AVERAGE(OFFSET($H$3,0,0,'Données projet'!$E$11+1,1))</f>
        <v>256.72534545771862</v>
      </c>
      <c r="BJ16" s="59">
        <f t="shared" si="38"/>
        <v>362.34519377447361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9">
        <f t="shared" si="0"/>
        <v>256.55567794791892</v>
      </c>
      <c r="S17" s="59">
        <f ca="1">AVERAGE(OFFSET($R$3,0,0,'Données projet'!$E$9+1,1))-AVERAGE(OFFSET($H$3,0,0,'Données projet'!$E$9+1,1))</f>
        <v>459.83870442974046</v>
      </c>
      <c r="T17" s="59">
        <f t="shared" si="34"/>
        <v>565.68976940602215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8.1999999999999993</v>
      </c>
      <c r="AI17" s="13">
        <f>IF('Données projet'!$A$62&gt;35,AI16+AH17-AQ16,IF(A17&lt;'Données projet'!$A$62,$AF$205^A17,IF(A17='Données projet'!$A$62,'Données projet'!$B$62,AI16+AH17-AQ16)))</f>
        <v>131.80000000000001</v>
      </c>
      <c r="AJ17" s="13">
        <f>AI17*VLOOKUP('Données projet'!$B$10,Paramètres!$A$1:$I$89,3,0)*VLOOKUP('Données projet'!$B$10,Paramètres!$A$1:$I$89,5,0)</f>
        <v>119.25264000000001</v>
      </c>
      <c r="AK17" s="13">
        <f t="shared" si="35"/>
        <v>31.500626518374375</v>
      </c>
      <c r="AL17" s="20">
        <f t="shared" si="4"/>
        <v>262.56193918616879</v>
      </c>
      <c r="AM17" s="59">
        <f t="shared" si="5"/>
        <v>464.59180095844198</v>
      </c>
      <c r="AN17" s="59">
        <f ca="1">AVERAGE(OFFSET($AM$3,0,0,'Données projet'!$E$10+1,1))-AVERAGE(OFFSET($H$3,0,0,'Données projet'!$E$10+1,1))</f>
        <v>376.97234030481559</v>
      </c>
      <c r="AO17" s="59">
        <f t="shared" si="36"/>
        <v>532.90758914457615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6.2222222222222223</v>
      </c>
      <c r="BD17" s="12">
        <f>IF('Données projet'!$A$88&gt;35,BD16+BC17-BL16,IF(A17&lt;'Données projet'!$A$88,$BA$205^A17,IF(A17='Données projet'!$A$88,'Données projet'!$B$88,BD16+BC17-BL16)))</f>
        <v>39.249690802844427</v>
      </c>
      <c r="BE17" s="13">
        <f>BD17*VLOOKUP('Données projet'!$B$11,Paramètres!$A$1:$I$89,3,0)*VLOOKUP('Données projet'!$B$11,Paramètres!$A$1:$I$89,5,0)</f>
        <v>24.491807060974921</v>
      </c>
      <c r="BF17" s="13">
        <f t="shared" si="37"/>
        <v>7.7784106944068903</v>
      </c>
      <c r="BG17" s="20">
        <f t="shared" si="7"/>
        <v>56.203962590623313</v>
      </c>
      <c r="BH17" s="59">
        <f t="shared" si="8"/>
        <v>258.23382436289648</v>
      </c>
      <c r="BI17" s="59">
        <f ca="1">AVERAGE(OFFSET($BH$3,0,0,'Données projet'!$E$11+1,1))-AVERAGE(OFFSET($H$3,0,0,'Données projet'!$E$11+1,1))</f>
        <v>256.72534545771862</v>
      </c>
      <c r="BJ17" s="59">
        <f t="shared" si="38"/>
        <v>362.34519377447361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9">
        <f t="shared" si="0"/>
        <v>275.23578556510921</v>
      </c>
      <c r="S18" s="59">
        <f ca="1">AVERAGE(OFFSET($R$3,0,0,'Données projet'!$E$9+1,1))-AVERAGE(OFFSET($H$3,0,0,'Données projet'!$E$9+1,1))</f>
        <v>459.83870442974046</v>
      </c>
      <c r="T18" s="59">
        <f t="shared" si="34"/>
        <v>565.68976940602215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140</v>
      </c>
      <c r="AG18" s="12">
        <f>VLOOKUP(A18,'Données projet'!$A$61:$I$81,9,0)</f>
        <v>8.1999999999999993</v>
      </c>
      <c r="AH18" s="12">
        <f t="array" ref="AH18">INDEX(AG:AG,MIN(IF(ISNUMBER(AG18:AG214),ROW(AG18:AG214),"")))</f>
        <v>8.1999999999999993</v>
      </c>
      <c r="AI18" s="13">
        <f>IF('Données projet'!$A$62&gt;35,AI17+AH18-AQ17,IF(A18&lt;'Données projet'!$A$62,$AF$205^A18,IF(A18='Données projet'!$A$62,'Données projet'!$B$62,AI17+AH18-AQ17)))</f>
        <v>140</v>
      </c>
      <c r="AJ18" s="13">
        <f>AI18*VLOOKUP('Données projet'!$B$10,Paramètres!$A$1:$I$89,3,0)*VLOOKUP('Données projet'!$B$10,Paramètres!$A$1:$I$89,5,0)</f>
        <v>126.67199999999998</v>
      </c>
      <c r="AK18" s="13">
        <f t="shared" si="35"/>
        <v>33.226199426361347</v>
      </c>
      <c r="AL18" s="20">
        <f t="shared" si="4"/>
        <v>278.48936400091264</v>
      </c>
      <c r="AM18" s="59">
        <f t="shared" si="5"/>
        <v>482.98611393379372</v>
      </c>
      <c r="AN18" s="59">
        <f ca="1">AVERAGE(OFFSET($AM$3,0,0,'Données projet'!$E$10+1,1))-AVERAGE(OFFSET($H$3,0,0,'Données projet'!$E$10+1,1))</f>
        <v>376.97234030481559</v>
      </c>
      <c r="AO18" s="59">
        <f t="shared" si="36"/>
        <v>532.90758914457615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6.2222222222222223</v>
      </c>
      <c r="BD18" s="12">
        <f>IF('Données projet'!$A$88&gt;35,BD17+BC18-BL17,IF(A18&lt;'Données projet'!$A$88,$BA$205^A18,IF(A18='Données projet'!$A$88,'Données projet'!$B$88,BD17+BC18-BL17)))</f>
        <v>51.013096442350388</v>
      </c>
      <c r="BE18" s="13">
        <f>BD18*VLOOKUP('Données projet'!$B$11,Paramètres!$A$1:$I$89,3,0)*VLOOKUP('Données projet'!$B$11,Paramètres!$A$1:$I$89,5,0)</f>
        <v>31.832172180026642</v>
      </c>
      <c r="BF18" s="13">
        <f t="shared" si="37"/>
        <v>9.8058378099430179</v>
      </c>
      <c r="BG18" s="20">
        <f t="shared" si="7"/>
        <v>72.519534065863823</v>
      </c>
      <c r="BH18" s="59">
        <f t="shared" si="8"/>
        <v>277.01628399874488</v>
      </c>
      <c r="BI18" s="59">
        <f ca="1">AVERAGE(OFFSET($BH$3,0,0,'Données projet'!$E$11+1,1))-AVERAGE(OFFSET($H$3,0,0,'Données projet'!$E$11+1,1))</f>
        <v>256.72534545771862</v>
      </c>
      <c r="BJ18" s="59">
        <f t="shared" si="38"/>
        <v>362.34519377447361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9">
        <f t="shared" si="0"/>
        <v>298.73137020070885</v>
      </c>
      <c r="S19" s="59">
        <f ca="1">AVERAGE(OFFSET($R$3,0,0,'Données projet'!$E$9+1,1))-AVERAGE(OFFSET($H$3,0,0,'Données projet'!$E$9+1,1))</f>
        <v>459.83870442974046</v>
      </c>
      <c r="T19" s="59">
        <f t="shared" si="34"/>
        <v>565.68976940602215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8</v>
      </c>
      <c r="AI19" s="13">
        <f>IF('Données projet'!$A$62&gt;35,AI18+AH19-AQ18,IF(A19&lt;'Données projet'!$A$62,$AF$205^A19,IF(A19='Données projet'!$A$62,'Données projet'!$B$62,AI18+AH19-AQ18)))</f>
        <v>148</v>
      </c>
      <c r="AJ19" s="13">
        <f>AI19*VLOOKUP('Données projet'!$B$10,Paramètres!$A$1:$I$89,3,0)*VLOOKUP('Données projet'!$B$10,Paramètres!$A$1:$I$89,5,0)</f>
        <v>133.91039999999998</v>
      </c>
      <c r="AK19" s="13">
        <f t="shared" si="35"/>
        <v>34.898373535125089</v>
      </c>
      <c r="AL19" s="20">
        <f t="shared" si="4"/>
        <v>294.00861390700948</v>
      </c>
      <c r="AM19" s="59">
        <f t="shared" si="5"/>
        <v>500.95065982912354</v>
      </c>
      <c r="AN19" s="59">
        <f ca="1">AVERAGE(OFFSET($AM$3,0,0,'Données projet'!$E$10+1,1))-AVERAGE(OFFSET($H$3,0,0,'Données projet'!$E$10+1,1))</f>
        <v>376.97234030481559</v>
      </c>
      <c r="AO19" s="59">
        <f t="shared" si="36"/>
        <v>532.90758914457615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6.2222222222222223</v>
      </c>
      <c r="BD19" s="12">
        <f>IF('Données projet'!$A$88&gt;35,BD18+BC19-BL18,IF(A19&lt;'Données projet'!$A$88,$BA$205^A19,IF(A19='Données projet'!$A$88,'Données projet'!$B$88,BD18+BC19-BL18)))</f>
        <v>66.302076663695672</v>
      </c>
      <c r="BE19" s="13">
        <f>BD19*VLOOKUP('Données projet'!$B$11,Paramètres!$A$1:$I$89,3,0)*VLOOKUP('Données projet'!$B$11,Paramètres!$A$1:$I$89,5,0)</f>
        <v>41.372495838146101</v>
      </c>
      <c r="BF19" s="13">
        <f t="shared" si="37"/>
        <v>12.361709728704412</v>
      </c>
      <c r="BG19" s="20">
        <f t="shared" si="7"/>
        <v>93.587074695597963</v>
      </c>
      <c r="BH19" s="59">
        <f t="shared" si="8"/>
        <v>300.52912061771201</v>
      </c>
      <c r="BI19" s="59">
        <f ca="1">AVERAGE(OFFSET($BH$3,0,0,'Données projet'!$E$11+1,1))-AVERAGE(OFFSET($H$3,0,0,'Données projet'!$E$11+1,1))</f>
        <v>256.72534545771862</v>
      </c>
      <c r="BJ19" s="59">
        <f t="shared" si="38"/>
        <v>362.34519377447361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9">
        <f t="shared" si="0"/>
        <v>328.49033448143473</v>
      </c>
      <c r="S20" s="59">
        <f ca="1">AVERAGE(OFFSET($R$3,0,0,'Données projet'!$E$9+1,1))-AVERAGE(OFFSET($H$3,0,0,'Données projet'!$E$9+1,1))</f>
        <v>459.83870442974046</v>
      </c>
      <c r="T20" s="59">
        <f t="shared" si="34"/>
        <v>565.68976940602215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8</v>
      </c>
      <c r="AI20" s="13">
        <f>IF('Données projet'!$A$62&gt;35,AI19+AH20-AQ19,IF(A20&lt;'Données projet'!$A$62,$AF$205^A20,IF(A20='Données projet'!$A$62,'Données projet'!$B$62,AI19+AH20-AQ19)))</f>
        <v>156</v>
      </c>
      <c r="AJ20" s="13">
        <f>AI20*VLOOKUP('Données projet'!$B$10,Paramètres!$A$1:$I$89,3,0)*VLOOKUP('Données projet'!$B$10,Paramètres!$A$1:$I$89,5,0)</f>
        <v>141.14879999999999</v>
      </c>
      <c r="AK20" s="13">
        <f t="shared" si="35"/>
        <v>36.560054140504484</v>
      </c>
      <c r="AL20" s="20">
        <f t="shared" si="4"/>
        <v>309.50958762804532</v>
      </c>
      <c r="AM20" s="59">
        <f t="shared" si="5"/>
        <v>518.87571194391808</v>
      </c>
      <c r="AN20" s="59">
        <f ca="1">AVERAGE(OFFSET($AM$3,0,0,'Données projet'!$E$10+1,1))-AVERAGE(OFFSET($H$3,0,0,'Données projet'!$E$10+1,1))</f>
        <v>376.97234030481559</v>
      </c>
      <c r="AO20" s="59">
        <f t="shared" si="36"/>
        <v>532.90758914457615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6.2222222222222223</v>
      </c>
      <c r="BD20" s="12">
        <f>IF('Données projet'!$A$88&gt;35,BD19+BC20-BL19,IF(A20&lt;'Données projet'!$A$88,$BA$205^A20,IF(A20='Données projet'!$A$88,'Données projet'!$B$88,BD19+BC20-BL19)))</f>
        <v>86.1732707185582</v>
      </c>
      <c r="BE20" s="13">
        <f>BD20*VLOOKUP('Données projet'!$B$11,Paramètres!$A$1:$I$89,3,0)*VLOOKUP('Données projet'!$B$11,Paramètres!$A$1:$I$89,5,0)</f>
        <v>53.772120928380318</v>
      </c>
      <c r="BF20" s="13">
        <f t="shared" si="37"/>
        <v>15.583764526657339</v>
      </c>
      <c r="BG20" s="20">
        <f t="shared" si="7"/>
        <v>120.79483383419057</v>
      </c>
      <c r="BH20" s="59">
        <f t="shared" si="8"/>
        <v>330.16095815006327</v>
      </c>
      <c r="BI20" s="59">
        <f ca="1">AVERAGE(OFFSET($BH$3,0,0,'Données projet'!$E$11+1,1))-AVERAGE(OFFSET($H$3,0,0,'Données projet'!$E$11+1,1))</f>
        <v>256.72534545771862</v>
      </c>
      <c r="BJ20" s="59">
        <f t="shared" si="38"/>
        <v>362.34519377447361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9">
        <f t="shared" si="0"/>
        <v>366.39497528089498</v>
      </c>
      <c r="S21" s="59">
        <f ca="1">AVERAGE(OFFSET($R$3,0,0,'Données projet'!$E$9+1,1))-AVERAGE(OFFSET($H$3,0,0,'Données projet'!$E$9+1,1))</f>
        <v>459.83870442974046</v>
      </c>
      <c r="T21" s="59">
        <f t="shared" si="34"/>
        <v>565.68976940602215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8</v>
      </c>
      <c r="AI21" s="13">
        <f>IF('Données projet'!$A$62&gt;35,AI20+AH21-AQ20,IF(A21&lt;'Données projet'!$A$62,$AF$205^A21,IF(A21='Données projet'!$A$62,'Données projet'!$B$62,AI20+AH21-AQ20)))</f>
        <v>164</v>
      </c>
      <c r="AJ21" s="13">
        <f>AI21*VLOOKUP('Données projet'!$B$10,Paramètres!$A$1:$I$89,3,0)*VLOOKUP('Données projet'!$B$10,Paramètres!$A$1:$I$89,5,0)</f>
        <v>148.38719999999998</v>
      </c>
      <c r="AK21" s="13">
        <f t="shared" si="35"/>
        <v>38.211840758090553</v>
      </c>
      <c r="AL21" s="20">
        <f t="shared" si="4"/>
        <v>324.99332932034093</v>
      </c>
      <c r="AM21" s="59">
        <f t="shared" si="5"/>
        <v>536.7626825123441</v>
      </c>
      <c r="AN21" s="59">
        <f ca="1">AVERAGE(OFFSET($AM$3,0,0,'Données projet'!$E$10+1,1))-AVERAGE(OFFSET($H$3,0,0,'Données projet'!$E$10+1,1))</f>
        <v>376.97234030481559</v>
      </c>
      <c r="AO21" s="59">
        <f t="shared" si="36"/>
        <v>532.90758914457615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112</v>
      </c>
      <c r="BB21" s="12">
        <f>VLOOKUP(A21,'Données projet'!$A$87:$I$107,9,0)</f>
        <v>6.2222222222222223</v>
      </c>
      <c r="BC21" s="12">
        <f t="array" ref="BC21">INDEX(BB:BB,MIN(IF(ISNUMBER(BB21:BB217),ROW(BB21:BB217),"")))</f>
        <v>6.2222222222222223</v>
      </c>
      <c r="BD21" s="12">
        <f>IF('Données projet'!$A$88&gt;35,BD20+BC21-BL20,IF(A21&lt;'Données projet'!$A$88,$BA$205^A21,IF(A21='Données projet'!$A$88,'Données projet'!$B$88,BD20+BC21-BL20)))</f>
        <v>112</v>
      </c>
      <c r="BE21" s="13">
        <f>BD21*VLOOKUP('Données projet'!$B$11,Paramètres!$A$1:$I$89,3,0)*VLOOKUP('Données projet'!$B$11,Paramètres!$A$1:$I$89,5,0)</f>
        <v>69.888000000000005</v>
      </c>
      <c r="BF21" s="13">
        <f t="shared" si="37"/>
        <v>19.645641432461961</v>
      </c>
      <c r="BG21" s="20">
        <f t="shared" si="7"/>
        <v>155.93775882820458</v>
      </c>
      <c r="BH21" s="59">
        <f t="shared" si="8"/>
        <v>367.70711202020766</v>
      </c>
      <c r="BI21" s="59">
        <f ca="1">AVERAGE(OFFSET($BH$3,0,0,'Données projet'!$E$11+1,1))-AVERAGE(OFFSET($H$3,0,0,'Données projet'!$E$11+1,1))</f>
        <v>256.72534545771862</v>
      </c>
      <c r="BJ21" s="59">
        <f t="shared" si="38"/>
        <v>362.34519377447361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20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0.36</v>
      </c>
      <c r="BO21" s="16">
        <f>IF(ISNA(VLOOKUP(A21,'Données projet'!$A$87:$I$107,7,0)),0%,VLOOKUP(A21,'Données projet'!$A$87:$I$107,7,0))</f>
        <v>0.4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5.9365220386168849</v>
      </c>
      <c r="BR21" s="21">
        <f>EXP(-LN(2)/2)*BR20+(1-EXP(-LN(2)/2))/(LN(2)/2)*BL21*BO21*VLOOKUP('Données projet'!$B$11,Paramètres!$A$1:$I$89,3,0)*0.475*44/12</f>
        <v>5.6521036292521183</v>
      </c>
      <c r="BS21" s="22">
        <f t="shared" si="9"/>
        <v>11.588625667869003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9">
        <f t="shared" si="0"/>
        <v>414.8926802103436</v>
      </c>
      <c r="S22" s="59">
        <f ca="1">AVERAGE(OFFSET($R$3,0,0,'Données projet'!$E$9+1,1))-AVERAGE(OFFSET($H$3,0,0,'Données projet'!$E$9+1,1))</f>
        <v>459.83870442974046</v>
      </c>
      <c r="T22" s="59">
        <f t="shared" si="34"/>
        <v>565.68976940602215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0.33</v>
      </c>
      <c r="Y22" s="16">
        <f>IF(ISNA(VLOOKUP(A22,'Données projet'!$A$35:$I$55,7,0)),0%,VLOOKUP(A22,'Données projet'!$A$35:$I$55,7,0))</f>
        <v>0.4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8</v>
      </c>
      <c r="AI22" s="13">
        <f>IF('Données projet'!$A$62&gt;35,AI21+AH22-AQ21,IF(A22&lt;'Données projet'!$A$62,$AF$205^A22,IF(A22='Données projet'!$A$62,'Données projet'!$B$62,AI21+AH22-AQ21)))</f>
        <v>172</v>
      </c>
      <c r="AJ22" s="13">
        <f>AI22*VLOOKUP('Données projet'!$B$10,Paramètres!$A$1:$I$89,3,0)*VLOOKUP('Données projet'!$B$10,Paramètres!$A$1:$I$89,5,0)</f>
        <v>155.62559999999999</v>
      </c>
      <c r="AK22" s="13">
        <f t="shared" si="35"/>
        <v>39.854271109683118</v>
      </c>
      <c r="AL22" s="20">
        <f t="shared" si="4"/>
        <v>340.46077551603139</v>
      </c>
      <c r="AM22" s="59">
        <f t="shared" si="5"/>
        <v>554.61286975905489</v>
      </c>
      <c r="AN22" s="59">
        <f ca="1">AVERAGE(OFFSET($AM$3,0,0,'Données projet'!$E$10+1,1))-AVERAGE(OFFSET($H$3,0,0,'Données projet'!$E$10+1,1))</f>
        <v>376.97234030481559</v>
      </c>
      <c r="AO22" s="59">
        <f t="shared" si="36"/>
        <v>532.90758914457615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18</v>
      </c>
      <c r="BD22" s="12">
        <f>IF('Données projet'!$A$88&gt;35,BD21+BC22-BL21,IF(A22&lt;'Données projet'!$A$88,$BA$205^A22,IF(A22='Données projet'!$A$88,'Données projet'!$B$88,BD21+BC22-BL21)))</f>
        <v>110</v>
      </c>
      <c r="BE22" s="13">
        <f>BD22*VLOOKUP('Données projet'!$B$11,Paramètres!$A$1:$I$89,3,0)*VLOOKUP('Données projet'!$B$11,Paramètres!$A$1:$I$89,5,0)</f>
        <v>68.64</v>
      </c>
      <c r="BF22" s="13">
        <f t="shared" si="37"/>
        <v>19.335336956640202</v>
      </c>
      <c r="BG22" s="20">
        <f t="shared" si="7"/>
        <v>153.22371186614836</v>
      </c>
      <c r="BH22" s="59">
        <f t="shared" si="8"/>
        <v>367.37580610917189</v>
      </c>
      <c r="BI22" s="59">
        <f ca="1">AVERAGE(OFFSET($BH$3,0,0,'Données projet'!$E$11+1,1))-AVERAGE(OFFSET($H$3,0,0,'Données projet'!$E$11+1,1))</f>
        <v>256.72534545771862</v>
      </c>
      <c r="BJ22" s="59">
        <f t="shared" si="38"/>
        <v>362.34519377447361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5.77418753128278</v>
      </c>
      <c r="BR22" s="21">
        <f>EXP(-LN(2)/2)*BR21+(1-EXP(-LN(2)/2))/(LN(2)/2)*BL22*BO22*VLOOKUP('Données projet'!$B$11,Paramètres!$A$1:$I$89,3,0)*0.475*44/12</f>
        <v>3.9966408042132691</v>
      </c>
      <c r="BS22" s="22">
        <f t="shared" si="9"/>
        <v>9.7708283354960486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28.833333333333332</v>
      </c>
      <c r="N23" s="13">
        <f>IF('Données projet'!$A$36&gt;35,N22+M23-V22,IF(A23&lt;'Données projet'!$A$36,$K$205^A23,IF(A23='Données projet'!$A$36,'Données projet'!$B$36,N22+M23-V22)))</f>
        <v>190.83333333333334</v>
      </c>
      <c r="O23" s="13">
        <f>N23*VLOOKUP('Données projet'!$B$9,Paramètres!$A$1:$I$89,3,0)*VLOOKUP('Données projet'!$B$9,Paramètres!$A$1:$I$89,5,0)</f>
        <v>106.67583333333334</v>
      </c>
      <c r="P23" s="13">
        <f t="shared" si="33"/>
        <v>28.546391754319739</v>
      </c>
      <c r="Q23" s="20">
        <f t="shared" si="2"/>
        <v>235.51204202766243</v>
      </c>
      <c r="R23" s="59">
        <f t="shared" si="0"/>
        <v>452.02674491455815</v>
      </c>
      <c r="S23" s="59">
        <f ca="1">AVERAGE(OFFSET($R$3,0,0,'Données projet'!$E$9+1,1))-AVERAGE(OFFSET($H$3,0,0,'Données projet'!$E$9+1,1))</f>
        <v>459.83870442974046</v>
      </c>
      <c r="T23" s="59">
        <f t="shared" si="34"/>
        <v>565.68976940602215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180</v>
      </c>
      <c r="AG23" s="12">
        <f>VLOOKUP(A23,'Données projet'!$A$61:$I$81,9,0)</f>
        <v>8</v>
      </c>
      <c r="AH23" s="12">
        <f t="array" ref="AH23">INDEX(AG:AG,MIN(IF(ISNUMBER(AG23:AG219),ROW(AG23:AG219),"")))</f>
        <v>8</v>
      </c>
      <c r="AI23" s="13">
        <f>IF('Données projet'!$A$62&gt;35,AI22+AH23-AQ22,IF(A23&lt;'Données projet'!$A$62,$AF$205^A23,IF(A23='Données projet'!$A$62,'Données projet'!$B$62,AI22+AH23-AQ22)))</f>
        <v>180</v>
      </c>
      <c r="AJ23" s="13">
        <f>AI23*VLOOKUP('Données projet'!$B$10,Paramètres!$A$1:$I$89,3,0)*VLOOKUP('Données projet'!$B$10,Paramètres!$A$1:$I$89,5,0)</f>
        <v>162.864</v>
      </c>
      <c r="AK23" s="13">
        <f t="shared" si="35"/>
        <v>41.487830069509123</v>
      </c>
      <c r="AL23" s="20">
        <f t="shared" si="4"/>
        <v>355.91277070439509</v>
      </c>
      <c r="AM23" s="59">
        <f t="shared" si="5"/>
        <v>572.42747359129078</v>
      </c>
      <c r="AN23" s="59">
        <f ca="1">AVERAGE(OFFSET($AM$3,0,0,'Données projet'!$E$10+1,1))-AVERAGE(OFFSET($H$3,0,0,'Données projet'!$E$10+1,1))</f>
        <v>376.97234030481559</v>
      </c>
      <c r="AO23" s="59">
        <f t="shared" si="36"/>
        <v>532.90758914457615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72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18</v>
      </c>
      <c r="BD23" s="12">
        <f>IF('Données projet'!$A$88&gt;35,BD22+BC23-BL22,IF(A23&lt;'Données projet'!$A$88,$BA$205^A23,IF(A23='Données projet'!$A$88,'Données projet'!$B$88,BD22+BC23-BL22)))</f>
        <v>128</v>
      </c>
      <c r="BE23" s="13">
        <f>BD23*VLOOKUP('Données projet'!$B$11,Paramètres!$A$1:$I$89,3,0)*VLOOKUP('Données projet'!$B$11,Paramètres!$A$1:$I$89,5,0)</f>
        <v>79.872</v>
      </c>
      <c r="BF23" s="13">
        <f t="shared" si="37"/>
        <v>22.105884547145418</v>
      </c>
      <c r="BG23" s="20">
        <f t="shared" si="7"/>
        <v>177.61148225294494</v>
      </c>
      <c r="BH23" s="59">
        <f t="shared" si="8"/>
        <v>394.12618513984069</v>
      </c>
      <c r="BI23" s="59">
        <f ca="1">AVERAGE(OFFSET($BH$3,0,0,'Données projet'!$E$11+1,1))-AVERAGE(OFFSET($H$3,0,0,'Données projet'!$E$11+1,1))</f>
        <v>256.72534545771862</v>
      </c>
      <c r="BJ23" s="59">
        <f t="shared" si="38"/>
        <v>362.34519377447361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5.6162920695885274</v>
      </c>
      <c r="BR23" s="21">
        <f>EXP(-LN(2)/2)*BR22+(1-EXP(-LN(2)/2))/(LN(2)/2)*BL23*BO23*VLOOKUP('Données projet'!$B$11,Paramètres!$A$1:$I$89,3,0)*0.475*44/12</f>
        <v>2.8260518146260596</v>
      </c>
      <c r="BS23" s="22">
        <f t="shared" si="9"/>
        <v>8.442343884214587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28.833333333333332</v>
      </c>
      <c r="N24" s="13">
        <f>IF('Données projet'!$A$36&gt;35,N23+M24-V23,IF(A24&lt;'Données projet'!$A$36,$K$205^A24,IF(A24='Données projet'!$A$36,'Données projet'!$B$36,N23+M24-V23)))</f>
        <v>219.66666666666669</v>
      </c>
      <c r="O24" s="13">
        <f>N24*VLOOKUP('Données projet'!$B$9,Paramètres!$A$1:$I$89,3,0)*VLOOKUP('Données projet'!$B$9,Paramètres!$A$1:$I$89,5,0)</f>
        <v>122.79366666666668</v>
      </c>
      <c r="P24" s="13">
        <f t="shared" si="33"/>
        <v>32.32570088253398</v>
      </c>
      <c r="Q24" s="20">
        <f t="shared" si="2"/>
        <v>270.16623181485778</v>
      </c>
      <c r="R24" s="59">
        <f t="shared" si="0"/>
        <v>489.02376019073216</v>
      </c>
      <c r="S24" s="59">
        <f ca="1">AVERAGE(OFFSET($R$3,0,0,'Données projet'!$E$9+1,1))-AVERAGE(OFFSET($H$3,0,0,'Données projet'!$E$9+1,1))</f>
        <v>459.83870442974046</v>
      </c>
      <c r="T24" s="59">
        <f t="shared" si="34"/>
        <v>565.68976940602215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21.2</v>
      </c>
      <c r="AI24" s="13">
        <f>IF('Données projet'!$A$62&gt;35,AI23+AH24-AQ23,IF(A24&lt;'Données projet'!$A$62,$AF$205^A24,IF(A24='Données projet'!$A$62,'Données projet'!$B$62,AI23+AH24-AQ23)))</f>
        <v>129.19999999999999</v>
      </c>
      <c r="AJ24" s="13">
        <f>AI24*VLOOKUP('Données projet'!$B$10,Paramètres!$A$1:$I$89,3,0)*VLOOKUP('Données projet'!$B$10,Paramètres!$A$1:$I$89,5,0)</f>
        <v>116.90016</v>
      </c>
      <c r="AK24" s="13">
        <f t="shared" si="35"/>
        <v>30.950914970772502</v>
      </c>
      <c r="AL24" s="20">
        <f t="shared" si="4"/>
        <v>257.5072889074288</v>
      </c>
      <c r="AM24" s="59">
        <f t="shared" si="5"/>
        <v>476.36481728330318</v>
      </c>
      <c r="AN24" s="59">
        <f ca="1">AVERAGE(OFFSET($AM$3,0,0,'Données projet'!$E$10+1,1))-AVERAGE(OFFSET($H$3,0,0,'Données projet'!$E$10+1,1))</f>
        <v>376.97234030481559</v>
      </c>
      <c r="AO24" s="59">
        <f t="shared" si="36"/>
        <v>532.90758914457615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>
        <f>VLOOKUP(A24,'Données projet'!$A$87:$I$107,2,0)</f>
        <v>146</v>
      </c>
      <c r="BB24" s="12">
        <f>VLOOKUP(A24,'Données projet'!$A$87:$I$107,9,0)</f>
        <v>18</v>
      </c>
      <c r="BC24" s="12">
        <f t="array" ref="BC24">INDEX(BB:BB,MIN(IF(ISNUMBER(BB24:BB220),ROW(BB24:BB220),"")))</f>
        <v>18</v>
      </c>
      <c r="BD24" s="12">
        <f>IF('Données projet'!$A$88&gt;35,BD23+BC24-BL23,IF(A24&lt;'Données projet'!$A$88,$BA$205^A24,IF(A24='Données projet'!$A$88,'Données projet'!$B$88,BD23+BC24-BL23)))</f>
        <v>146</v>
      </c>
      <c r="BE24" s="13">
        <f>BD24*VLOOKUP('Données projet'!$B$11,Paramètres!$A$1:$I$89,3,0)*VLOOKUP('Données projet'!$B$11,Paramètres!$A$1:$I$89,5,0)</f>
        <v>91.103999999999999</v>
      </c>
      <c r="BF24" s="13">
        <f t="shared" si="37"/>
        <v>24.831293984707884</v>
      </c>
      <c r="BG24" s="20">
        <f t="shared" si="7"/>
        <v>201.92063702336623</v>
      </c>
      <c r="BH24" s="59">
        <f t="shared" si="8"/>
        <v>420.77816539924061</v>
      </c>
      <c r="BI24" s="59">
        <f ca="1">AVERAGE(OFFSET($BH$3,0,0,'Données projet'!$E$11+1,1))-AVERAGE(OFFSET($H$3,0,0,'Données projet'!$E$11+1,1))</f>
        <v>256.72534545771862</v>
      </c>
      <c r="BJ24" s="59">
        <f t="shared" si="38"/>
        <v>362.34519377447361</v>
      </c>
      <c r="BK24" s="15">
        <f>IF(ISNA(VLOOKUP(A24,'Données projet'!$A$87:$I$107,3,0)),0,VLOOKUP(A24,'Données projet'!$A$87:$I$107,3,0))</f>
        <v>2</v>
      </c>
      <c r="BL24" s="15">
        <f>IF(ISNA(VLOOKUP(A24,'Données projet'!$A$87:$I$107,4,0)),0,VLOOKUP(A24,'Données projet'!$A$87:$I$107,4,0))</f>
        <v>26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0.36</v>
      </c>
      <c r="BO24" s="16">
        <f>IF(ISNA(VLOOKUP(A24,'Données projet'!$A$87:$I$107,7,0)),0%,VLOOKUP(A24,'Données projet'!$A$87:$I$107,7,0))</f>
        <v>0.4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13.180192917799616</v>
      </c>
      <c r="BR24" s="21">
        <f>EXP(-LN(2)/2)*BR23+(1-EXP(-LN(2)/2))/(LN(2)/2)*BL24*BO24*VLOOKUP('Données projet'!$B$11,Paramètres!$A$1:$I$89,3,0)*0.475*44/12</f>
        <v>9.3460551201343876</v>
      </c>
      <c r="BS24" s="22">
        <f t="shared" si="9"/>
        <v>22.526248037934003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28.833333333333332</v>
      </c>
      <c r="N25" s="13">
        <f>IF('Données projet'!$A$36&gt;35,N24+M25-V24,IF(A25&lt;'Données projet'!$A$36,$K$205^A25,IF(A25='Données projet'!$A$36,'Données projet'!$B$36,N24+M25-V24)))</f>
        <v>248.50000000000003</v>
      </c>
      <c r="O25" s="13">
        <f>N25*VLOOKUP('Données projet'!$B$9,Paramètres!$A$1:$I$89,3,0)*VLOOKUP('Données projet'!$B$9,Paramètres!$A$1:$I$89,5,0)</f>
        <v>138.91150000000002</v>
      </c>
      <c r="P25" s="13">
        <f t="shared" si="33"/>
        <v>36.047532265727178</v>
      </c>
      <c r="Q25" s="20">
        <f t="shared" si="2"/>
        <v>304.72031452947482</v>
      </c>
      <c r="R25" s="59">
        <f t="shared" si="0"/>
        <v>525.90122843294318</v>
      </c>
      <c r="S25" s="59">
        <f ca="1">AVERAGE(OFFSET($R$3,0,0,'Données projet'!$E$9+1,1))-AVERAGE(OFFSET($H$3,0,0,'Données projet'!$E$9+1,1))</f>
        <v>459.83870442974046</v>
      </c>
      <c r="T25" s="59">
        <f t="shared" si="34"/>
        <v>565.68976940602215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21.2</v>
      </c>
      <c r="AI25" s="13">
        <f>IF('Données projet'!$A$62&gt;35,AI24+AH25-AQ24,IF(A25&lt;'Données projet'!$A$62,$AF$205^A25,IF(A25='Données projet'!$A$62,'Données projet'!$B$62,AI24+AH25-AQ24)))</f>
        <v>150.39999999999998</v>
      </c>
      <c r="AJ25" s="13">
        <f>AI25*VLOOKUP('Données projet'!$B$10,Paramètres!$A$1:$I$89,3,0)*VLOOKUP('Données projet'!$B$10,Paramètres!$A$1:$I$89,5,0)</f>
        <v>136.08191999999997</v>
      </c>
      <c r="AK25" s="13">
        <f t="shared" si="35"/>
        <v>35.397950955860651</v>
      </c>
      <c r="AL25" s="20">
        <f t="shared" si="4"/>
        <v>298.66077524812391</v>
      </c>
      <c r="AM25" s="59">
        <f t="shared" si="5"/>
        <v>519.84168915159228</v>
      </c>
      <c r="AN25" s="59">
        <f ca="1">AVERAGE(OFFSET($AM$3,0,0,'Données projet'!$E$10+1,1))-AVERAGE(OFFSET($H$3,0,0,'Données projet'!$E$10+1,1))</f>
        <v>376.97234030481559</v>
      </c>
      <c r="AO25" s="59">
        <f t="shared" si="36"/>
        <v>532.90758914457615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</v>
      </c>
      <c r="BD25" s="12">
        <f>IF('Données projet'!$A$88&gt;35,BD24+BC25-BL24,IF(A25&lt;'Données projet'!$A$88,$BA$205^A25,IF(A25='Données projet'!$A$88,'Données projet'!$B$88,BD24+BC25-BL24)))</f>
        <v>136</v>
      </c>
      <c r="BE25" s="13">
        <f>BD25*VLOOKUP('Données projet'!$B$11,Paramètres!$A$1:$I$89,3,0)*VLOOKUP('Données projet'!$B$11,Paramètres!$A$1:$I$89,5,0)</f>
        <v>84.864000000000004</v>
      </c>
      <c r="BF25" s="13">
        <f t="shared" si="37"/>
        <v>23.322341364766192</v>
      </c>
      <c r="BG25" s="20">
        <f t="shared" si="7"/>
        <v>188.42454454363443</v>
      </c>
      <c r="BH25" s="59">
        <f t="shared" si="8"/>
        <v>409.60545844710282</v>
      </c>
      <c r="BI25" s="59">
        <f ca="1">AVERAGE(OFFSET($BH$3,0,0,'Données projet'!$E$11+1,1))-AVERAGE(OFFSET($H$3,0,0,'Données projet'!$E$11+1,1))</f>
        <v>256.72534545771862</v>
      </c>
      <c r="BJ25" s="59">
        <f t="shared" si="38"/>
        <v>362.34519377447361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12.819779849346164</v>
      </c>
      <c r="BR25" s="21">
        <f>EXP(-LN(2)/2)*BR24+(1-EXP(-LN(2)/2))/(LN(2)/2)*BL25*BO25*VLOOKUP('Données projet'!$B$11,Paramètres!$A$1:$I$89,3,0)*0.475*44/12</f>
        <v>6.6086589527902788</v>
      </c>
      <c r="BS25" s="22">
        <f t="shared" si="9"/>
        <v>19.428438802136441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28.833333333333332</v>
      </c>
      <c r="N26" s="13">
        <f>IF('Données projet'!$A$36&gt;35,N25+M26-V25,IF(A26&lt;'Données projet'!$A$36,$K$205^A26,IF(A26='Données projet'!$A$36,'Données projet'!$B$36,N25+M26-V25)))</f>
        <v>277.33333333333337</v>
      </c>
      <c r="O26" s="13">
        <f>N26*VLOOKUP('Données projet'!$B$9,Paramètres!$A$1:$I$89,3,0)*VLOOKUP('Données projet'!$B$9,Paramètres!$A$1:$I$89,5,0)</f>
        <v>155.02933333333334</v>
      </c>
      <c r="P26" s="13">
        <f t="shared" si="33"/>
        <v>39.719316712120367</v>
      </c>
      <c r="Q26" s="20">
        <f t="shared" si="2"/>
        <v>339.1872321624985</v>
      </c>
      <c r="R26" s="59">
        <f t="shared" si="0"/>
        <v>562.67242887204497</v>
      </c>
      <c r="S26" s="59">
        <f ca="1">AVERAGE(OFFSET($R$3,0,0,'Données projet'!$E$9+1,1))-AVERAGE(OFFSET($H$3,0,0,'Données projet'!$E$9+1,1))</f>
        <v>459.83870442974046</v>
      </c>
      <c r="T26" s="59">
        <f t="shared" si="34"/>
        <v>565.68976940602215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21.2</v>
      </c>
      <c r="AI26" s="13">
        <f>IF('Données projet'!$A$62&gt;35,AI25+AH26-AQ25,IF(A26&lt;'Données projet'!$A$62,$AF$205^A26,IF(A26='Données projet'!$A$62,'Données projet'!$B$62,AI25+AH26-AQ25)))</f>
        <v>171.59999999999997</v>
      </c>
      <c r="AJ26" s="13">
        <f>AI26*VLOOKUP('Données projet'!$B$10,Paramètres!$A$1:$I$89,3,0)*VLOOKUP('Données projet'!$B$10,Paramètres!$A$1:$I$89,5,0)</f>
        <v>155.26367999999997</v>
      </c>
      <c r="AK26" s="13">
        <f t="shared" si="35"/>
        <v>39.77236412265178</v>
      </c>
      <c r="AL26" s="20">
        <f t="shared" si="4"/>
        <v>339.68777684695175</v>
      </c>
      <c r="AM26" s="59">
        <f t="shared" si="5"/>
        <v>563.17297355649828</v>
      </c>
      <c r="AN26" s="59">
        <f ca="1">AVERAGE(OFFSET($AM$3,0,0,'Données projet'!$E$10+1,1))-AVERAGE(OFFSET($H$3,0,0,'Données projet'!$E$10+1,1))</f>
        <v>376.97234030481559</v>
      </c>
      <c r="AO26" s="59">
        <f t="shared" si="36"/>
        <v>532.90758914457615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</v>
      </c>
      <c r="BD26" s="12">
        <f>IF('Données projet'!$A$88&gt;35,BD25+BC26-BL25,IF(A26&lt;'Données projet'!$A$88,$BA$205^A26,IF(A26='Données projet'!$A$88,'Données projet'!$B$88,BD25+BC26-BL25)))</f>
        <v>152</v>
      </c>
      <c r="BE26" s="13">
        <f>BD26*VLOOKUP('Données projet'!$B$11,Paramètres!$A$1:$I$89,3,0)*VLOOKUP('Données projet'!$B$11,Paramètres!$A$1:$I$89,5,0)</f>
        <v>94.847999999999999</v>
      </c>
      <c r="BF26" s="13">
        <f t="shared" si="37"/>
        <v>25.730851751939202</v>
      </c>
      <c r="BG26" s="20">
        <f t="shared" si="7"/>
        <v>210.0081668012941</v>
      </c>
      <c r="BH26" s="59">
        <f t="shared" si="8"/>
        <v>433.4933635108406</v>
      </c>
      <c r="BI26" s="59">
        <f ca="1">AVERAGE(OFFSET($BH$3,0,0,'Données projet'!$E$11+1,1))-AVERAGE(OFFSET($H$3,0,0,'Données projet'!$E$11+1,1))</f>
        <v>256.72534545771862</v>
      </c>
      <c r="BJ26" s="59">
        <f t="shared" si="38"/>
        <v>362.34519377447361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12.46922229520287</v>
      </c>
      <c r="BR26" s="21">
        <f>EXP(-LN(2)/2)*BR25+(1-EXP(-LN(2)/2))/(LN(2)/2)*BL26*BO26*VLOOKUP('Données projet'!$B$11,Paramètres!$A$1:$I$89,3,0)*0.475*44/12</f>
        <v>4.6730275600671947</v>
      </c>
      <c r="BS26" s="22">
        <f t="shared" si="9"/>
        <v>17.142249855270066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28.833333333333332</v>
      </c>
      <c r="N27" s="13">
        <f>IF('Données projet'!$A$36&gt;35,N26+M27-V26,IF(A27&lt;'Données projet'!$A$36,$K$205^A27,IF(A27='Données projet'!$A$36,'Données projet'!$B$36,N26+M27-V26)))</f>
        <v>306.16666666666669</v>
      </c>
      <c r="O27" s="13">
        <f>N27*VLOOKUP('Données projet'!$B$9,Paramètres!$A$1:$I$89,3,0)*VLOOKUP('Données projet'!$B$9,Paramètres!$A$1:$I$89,5,0)</f>
        <v>171.14716666666669</v>
      </c>
      <c r="P27" s="13">
        <f t="shared" si="33"/>
        <v>43.346850105371793</v>
      </c>
      <c r="Q27" s="20">
        <f t="shared" si="2"/>
        <v>373.57707921130037</v>
      </c>
      <c r="R27" s="59">
        <f t="shared" si="0"/>
        <v>599.34778739492015</v>
      </c>
      <c r="S27" s="59">
        <f ca="1">AVERAGE(OFFSET($R$3,0,0,'Données projet'!$E$9+1,1))-AVERAGE(OFFSET($H$3,0,0,'Données projet'!$E$9+1,1))</f>
        <v>459.83870442974046</v>
      </c>
      <c r="T27" s="59">
        <f t="shared" si="34"/>
        <v>565.68976940602215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21.2</v>
      </c>
      <c r="AI27" s="13">
        <f>IF('Données projet'!$A$62&gt;35,AI26+AH27-AQ26,IF(A27&lt;'Données projet'!$A$62,$AF$205^A27,IF(A27='Données projet'!$A$62,'Données projet'!$B$62,AI26+AH27-AQ26)))</f>
        <v>192.79999999999995</v>
      </c>
      <c r="AJ27" s="13">
        <f>AI27*VLOOKUP('Données projet'!$B$10,Paramètres!$A$1:$I$89,3,0)*VLOOKUP('Données projet'!$B$10,Paramètres!$A$1:$I$89,5,0)</f>
        <v>174.44543999999996</v>
      </c>
      <c r="AK27" s="13">
        <f t="shared" si="35"/>
        <v>44.08415354960767</v>
      </c>
      <c r="AL27" s="20">
        <f t="shared" si="4"/>
        <v>380.60570876556659</v>
      </c>
      <c r="AM27" s="59">
        <f t="shared" si="5"/>
        <v>606.37641694918636</v>
      </c>
      <c r="AN27" s="59">
        <f ca="1">AVERAGE(OFFSET($AM$3,0,0,'Données projet'!$E$10+1,1))-AVERAGE(OFFSET($H$3,0,0,'Données projet'!$E$10+1,1))</f>
        <v>376.97234030481559</v>
      </c>
      <c r="AO27" s="59">
        <f t="shared" si="36"/>
        <v>532.90758914457615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168</v>
      </c>
      <c r="BB27" s="12">
        <f>VLOOKUP(A27,'Données projet'!$A$87:$I$107,9,0)</f>
        <v>16</v>
      </c>
      <c r="BC27" s="12">
        <f t="array" ref="BC27">INDEX(BB:BB,MIN(IF(ISNUMBER(BB27:BB223),ROW(BB27:BB223),"")))</f>
        <v>16</v>
      </c>
      <c r="BD27" s="12">
        <f>IF('Données projet'!$A$88&gt;35,BD26+BC27-BL26,IF(A27&lt;'Données projet'!$A$88,$BA$205^A27,IF(A27='Données projet'!$A$88,'Données projet'!$B$88,BD26+BC27-BL26)))</f>
        <v>168</v>
      </c>
      <c r="BE27" s="13">
        <f>BD27*VLOOKUP('Données projet'!$B$11,Paramètres!$A$1:$I$89,3,0)*VLOOKUP('Données projet'!$B$11,Paramètres!$A$1:$I$89,5,0)</f>
        <v>104.83200000000001</v>
      </c>
      <c r="BF27" s="13">
        <f t="shared" si="37"/>
        <v>28.109974371137717</v>
      </c>
      <c r="BG27" s="20">
        <f t="shared" si="7"/>
        <v>231.54060536306486</v>
      </c>
      <c r="BH27" s="59">
        <f t="shared" si="8"/>
        <v>457.31131354668469</v>
      </c>
      <c r="BI27" s="59">
        <f ca="1">AVERAGE(OFFSET($BH$3,0,0,'Données projet'!$E$11+1,1))-AVERAGE(OFFSET($H$3,0,0,'Données projet'!$E$11+1,1))</f>
        <v>256.72534545771862</v>
      </c>
      <c r="BJ27" s="59">
        <f t="shared" si="38"/>
        <v>362.34519377447361</v>
      </c>
      <c r="BK27" s="15">
        <f>IF(ISNA(VLOOKUP(A27,'Données projet'!$A$87:$I$107,3,0)),0,VLOOKUP(A27,'Données projet'!$A$87:$I$107,3,0))</f>
        <v>3</v>
      </c>
      <c r="BL27" s="15">
        <f>IF(ISNA(VLOOKUP(A27,'Données projet'!$A$87:$I$107,4,0)),0,VLOOKUP(A27,'Données projet'!$A$87:$I$107,4,0))</f>
        <v>29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0.36</v>
      </c>
      <c r="BO27" s="16">
        <f>IF(ISNA(VLOOKUP(A27,'Données projet'!$A$87:$I$107,7,0)),0%,VLOOKUP(A27,'Données projet'!$A$87:$I$107,7,0))</f>
        <v>0.4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20.736207711807129</v>
      </c>
      <c r="BR27" s="21">
        <f>EXP(-LN(2)/2)*BR26+(1-EXP(-LN(2)/2))/(LN(2)/2)*BL27*BO27*VLOOKUP('Données projet'!$B$11,Paramètres!$A$1:$I$89,3,0)*0.475*44/12</f>
        <v>11.499879738810712</v>
      </c>
      <c r="BS27" s="22">
        <f t="shared" si="9"/>
        <v>32.236087450617845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335</v>
      </c>
      <c r="L28" s="12">
        <f>VLOOKUP(A28,'Données projet'!$A$35:$I$55,9,0)</f>
        <v>28.833333333333332</v>
      </c>
      <c r="M28" s="12">
        <f t="array" ref="M28">INDEX(L:L,MIN(IF(ISNUMBER(L28:L224),ROW(L28:L224),"")))</f>
        <v>28.833333333333332</v>
      </c>
      <c r="N28" s="13">
        <f>IF('Données projet'!$A$36&gt;35,N27+M28-V27,IF(A28&lt;'Données projet'!$A$36,$K$205^A28,IF(A28='Données projet'!$A$36,'Données projet'!$B$36,N27+M28-V27)))</f>
        <v>335</v>
      </c>
      <c r="O28" s="13">
        <f>N28*VLOOKUP('Données projet'!$B$9,Paramètres!$A$1:$I$89,3,0)*VLOOKUP('Données projet'!$B$9,Paramètres!$A$1:$I$89,5,0)</f>
        <v>187.26500000000001</v>
      </c>
      <c r="P28" s="13">
        <f t="shared" si="33"/>
        <v>46.934773872544483</v>
      </c>
      <c r="Q28" s="20">
        <f t="shared" si="2"/>
        <v>407.89793949468162</v>
      </c>
      <c r="R28" s="59">
        <f t="shared" si="0"/>
        <v>635.93571346101373</v>
      </c>
      <c r="S28" s="59">
        <f ca="1">AVERAGE(OFFSET($R$3,0,0,'Données projet'!$E$9+1,1))-AVERAGE(OFFSET($H$3,0,0,'Données projet'!$E$9+1,1))</f>
        <v>459.83870442974046</v>
      </c>
      <c r="T28" s="59">
        <f t="shared" si="34"/>
        <v>565.68976940602215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0.33</v>
      </c>
      <c r="Y28" s="16">
        <f>IF(ISNA(VLOOKUP(A28,'Données projet'!$A$35:$I$55,7,0)),0%,VLOOKUP(A28,'Données projet'!$A$35:$I$55,7,0))</f>
        <v>0.4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13.162382457495875</v>
      </c>
      <c r="AB28" s="21">
        <f>EXP(-LN(2)/2)*AB27+(1-EXP(-LN(2)/2))/(LN(2)/2)*V28*Y28*VLOOKUP('Données projet'!$B$9,Paramètres!$A$1:$I$89,3,0)*0.475*44/12</f>
        <v>13.67102565325356</v>
      </c>
      <c r="AC28" s="22">
        <f t="shared" si="3"/>
        <v>26.833408110749435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214</v>
      </c>
      <c r="AG28" s="12">
        <f>VLOOKUP(A28,'Données projet'!$A$61:$I$81,9,0)</f>
        <v>21.2</v>
      </c>
      <c r="AH28" s="12">
        <f t="array" ref="AH28">INDEX(AG:AG,MIN(IF(ISNUMBER(AG28:AG224),ROW(AG28:AG224),"")))</f>
        <v>21.2</v>
      </c>
      <c r="AI28" s="13">
        <f>IF('Données projet'!$A$62&gt;35,AI27+AH28-AQ27,IF(A28&lt;'Données projet'!$A$62,$AF$205^A28,IF(A28='Données projet'!$A$62,'Données projet'!$B$62,AI27+AH28-AQ27)))</f>
        <v>213.99999999999994</v>
      </c>
      <c r="AJ28" s="13">
        <f>AI28*VLOOKUP('Données projet'!$B$10,Paramètres!$A$1:$I$89,3,0)*VLOOKUP('Données projet'!$B$10,Paramètres!$A$1:$I$89,5,0)</f>
        <v>193.62719999999996</v>
      </c>
      <c r="AK28" s="13">
        <f t="shared" si="35"/>
        <v>48.340990547231193</v>
      </c>
      <c r="AL28" s="20">
        <f t="shared" si="4"/>
        <v>421.42793186976087</v>
      </c>
      <c r="AM28" s="59">
        <f t="shared" si="5"/>
        <v>649.46570583609298</v>
      </c>
      <c r="AN28" s="59">
        <f ca="1">AVERAGE(OFFSET($AM$3,0,0,'Données projet'!$E$10+1,1))-AVERAGE(OFFSET($H$3,0,0,'Données projet'!$E$10+1,1))</f>
        <v>376.97234030481559</v>
      </c>
      <c r="AO28" s="59">
        <f t="shared" si="36"/>
        <v>532.90758914457615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14</v>
      </c>
      <c r="AR28" s="16">
        <f>IF(ISNA(VLOOKUP(A28,'Données projet'!$A$61:$I$81,5,0)),0%,VLOOKUP(A28,'Données projet'!$A$61:$I$81,5,0)*VLOOKUP('Données projet'!$B$10,Paramètres!$A$1:$I$89,7,0))</f>
        <v>0.09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1.2602892952457807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1.2602892952457807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14.166666666666666</v>
      </c>
      <c r="BD28" s="12">
        <f>IF('Données projet'!$A$88&gt;35,BD27+BC28-BL27,IF(A28&lt;'Données projet'!$A$88,$BA$205^A28,IF(A28='Données projet'!$A$88,'Données projet'!$B$88,BD27+BC28-BL27)))</f>
        <v>153.16666666666666</v>
      </c>
      <c r="BE28" s="13">
        <f>BD28*VLOOKUP('Données projet'!$B$11,Paramètres!$A$1:$I$89,3,0)*VLOOKUP('Données projet'!$B$11,Paramètres!$A$1:$I$89,5,0)</f>
        <v>95.575999999999993</v>
      </c>
      <c r="BF28" s="13">
        <f t="shared" si="37"/>
        <v>25.905281107545633</v>
      </c>
      <c r="BG28" s="20">
        <f t="shared" si="7"/>
        <v>211.57989792897527</v>
      </c>
      <c r="BH28" s="59">
        <f t="shared" si="8"/>
        <v>439.61767189530735</v>
      </c>
      <c r="BI28" s="59">
        <f ca="1">AVERAGE(OFFSET($BH$3,0,0,'Données projet'!$E$11+1,1))-AVERAGE(OFFSET($H$3,0,0,'Données projet'!$E$11+1,1))</f>
        <v>256.72534545771862</v>
      </c>
      <c r="BJ28" s="59">
        <f t="shared" si="38"/>
        <v>362.34519377447361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20.169175021457992</v>
      </c>
      <c r="BR28" s="21">
        <f>EXP(-LN(2)/2)*BR27+(1-EXP(-LN(2)/2))/(LN(2)/2)*BL28*BO28*VLOOKUP('Données projet'!$B$11,Paramètres!$A$1:$I$89,3,0)*0.475*44/12</f>
        <v>8.1316429461428381</v>
      </c>
      <c r="BS28" s="22">
        <f t="shared" si="9"/>
        <v>28.300817967600828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309</v>
      </c>
      <c r="O29" s="13">
        <f>N29*VLOOKUP('Données projet'!$B$9,Paramètres!$A$1:$I$89,3,0)*VLOOKUP('Données projet'!$B$9,Paramètres!$A$1:$I$89,5,0)</f>
        <v>172.73100000000002</v>
      </c>
      <c r="P29" s="13">
        <f t="shared" si="33"/>
        <v>43.701108252019125</v>
      </c>
      <c r="Q29" s="20">
        <f t="shared" si="2"/>
        <v>376.9525885389333</v>
      </c>
      <c r="R29" s="59">
        <f t="shared" si="0"/>
        <v>607.23930258812345</v>
      </c>
      <c r="S29" s="59">
        <f ca="1">AVERAGE(OFFSET($R$3,0,0,'Données projet'!$E$9+1,1))-AVERAGE(OFFSET($H$3,0,0,'Données projet'!$E$9+1,1))</f>
        <v>459.83870442974046</v>
      </c>
      <c r="T29" s="59">
        <f t="shared" si="34"/>
        <v>565.68976940602215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12.802456417016041</v>
      </c>
      <c r="AB29" s="21">
        <f>EXP(-LN(2)/2)*AB28+(1-EXP(-LN(2)/2))/(LN(2)/2)*V29*Y29*VLOOKUP('Données projet'!$B$9,Paramètres!$A$1:$I$89,3,0)*0.475*44/12</f>
        <v>9.6668749451908429</v>
      </c>
      <c r="AC29" s="22">
        <f t="shared" si="3"/>
        <v>22.469331362206884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8.6</v>
      </c>
      <c r="AI29" s="13">
        <f>IF('Données projet'!$A$62&gt;35,AI28+AH29-AQ28,IF(A29&lt;'Données projet'!$A$62,$AF$205^A29,IF(A29='Données projet'!$A$62,'Données projet'!$B$62,AI28+AH29-AQ28)))</f>
        <v>208.59999999999994</v>
      </c>
      <c r="AJ29" s="13">
        <f>AI29*VLOOKUP('Données projet'!$B$10,Paramètres!$A$1:$I$89,3,0)*VLOOKUP('Données projet'!$B$10,Paramètres!$A$1:$I$89,5,0)</f>
        <v>188.74127999999993</v>
      </c>
      <c r="AK29" s="13">
        <f t="shared" si="35"/>
        <v>47.261560168122358</v>
      </c>
      <c r="AL29" s="20">
        <f t="shared" si="4"/>
        <v>411.03827995947967</v>
      </c>
      <c r="AM29" s="59">
        <f t="shared" si="5"/>
        <v>641.32499400866982</v>
      </c>
      <c r="AN29" s="59">
        <f ca="1">AVERAGE(OFFSET($AM$3,0,0,'Données projet'!$E$10+1,1))-AVERAGE(OFFSET($H$3,0,0,'Données projet'!$E$10+1,1))</f>
        <v>376.97234030481559</v>
      </c>
      <c r="AO29" s="59">
        <f t="shared" si="36"/>
        <v>532.90758914457615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1.2355757908665781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1.2355757908665781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14.166666666666666</v>
      </c>
      <c r="BD29" s="12">
        <f>IF('Données projet'!$A$88&gt;35,BD28+BC29-BL28,IF(A29&lt;'Données projet'!$A$88,$BA$205^A29,IF(A29='Données projet'!$A$88,'Données projet'!$B$88,BD28+BC29-BL28)))</f>
        <v>167.33333333333331</v>
      </c>
      <c r="BE29" s="13">
        <f>BD29*VLOOKUP('Données projet'!$B$11,Paramètres!$A$1:$I$89,3,0)*VLOOKUP('Données projet'!$B$11,Paramètres!$A$1:$I$89,5,0)</f>
        <v>104.416</v>
      </c>
      <c r="BF29" s="13">
        <f t="shared" si="37"/>
        <v>28.01138818767625</v>
      </c>
      <c r="BG29" s="20">
        <f t="shared" si="7"/>
        <v>230.64436776020281</v>
      </c>
      <c r="BH29" s="59">
        <f t="shared" si="8"/>
        <v>460.93108180939299</v>
      </c>
      <c r="BI29" s="59">
        <f ca="1">AVERAGE(OFFSET($BH$3,0,0,'Données projet'!$E$11+1,1))-AVERAGE(OFFSET($H$3,0,0,'Données projet'!$E$11+1,1))</f>
        <v>256.72534545771862</v>
      </c>
      <c r="BJ29" s="59">
        <f t="shared" si="38"/>
        <v>362.34519377447361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19.617647869845406</v>
      </c>
      <c r="BR29" s="21">
        <f>EXP(-LN(2)/2)*BR28+(1-EXP(-LN(2)/2))/(LN(2)/2)*BL29*BO29*VLOOKUP('Données projet'!$B$11,Paramètres!$A$1:$I$89,3,0)*0.475*44/12</f>
        <v>5.749939869405357</v>
      </c>
      <c r="BS29" s="22">
        <f t="shared" si="9"/>
        <v>25.367587739250762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337</v>
      </c>
      <c r="O30" s="13">
        <f>N30*VLOOKUP('Données projet'!$B$9,Paramètres!$A$1:$I$89,3,0)*VLOOKUP('Données projet'!$B$9,Paramètres!$A$1:$I$89,5,0)</f>
        <v>188.38300000000001</v>
      </c>
      <c r="P30" s="13">
        <f t="shared" si="33"/>
        <v>47.182279474248382</v>
      </c>
      <c r="Q30" s="20">
        <f t="shared" si="2"/>
        <v>410.27619508431599</v>
      </c>
      <c r="R30" s="59">
        <f t="shared" si="0"/>
        <v>642.79403795687949</v>
      </c>
      <c r="S30" s="59">
        <f ca="1">AVERAGE(OFFSET($R$3,0,0,'Données projet'!$E$9+1,1))-AVERAGE(OFFSET($H$3,0,0,'Données projet'!$E$9+1,1))</f>
        <v>459.83870442974046</v>
      </c>
      <c r="T30" s="59">
        <f t="shared" si="34"/>
        <v>565.68976940602215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12.452372573040815</v>
      </c>
      <c r="AB30" s="21">
        <f>EXP(-LN(2)/2)*AB29+(1-EXP(-LN(2)/2))/(LN(2)/2)*V30*Y30*VLOOKUP('Données projet'!$B$9,Paramètres!$A$1:$I$89,3,0)*0.475*44/12</f>
        <v>6.8355128266267808</v>
      </c>
      <c r="AC30" s="22">
        <f t="shared" si="3"/>
        <v>19.287885399667594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8.6</v>
      </c>
      <c r="AI30" s="13">
        <f>IF('Données projet'!$A$62&gt;35,AI29+AH30-AQ29,IF(A30&lt;'Données projet'!$A$62,$AF$205^A30,IF(A30='Données projet'!$A$62,'Données projet'!$B$62,AI29+AH30-AQ29)))</f>
        <v>217.19999999999993</v>
      </c>
      <c r="AJ30" s="13">
        <f>AI30*VLOOKUP('Données projet'!$B$10,Paramètres!$A$1:$I$89,3,0)*VLOOKUP('Données projet'!$B$10,Paramètres!$A$1:$I$89,5,0)</f>
        <v>196.52255999999994</v>
      </c>
      <c r="AK30" s="13">
        <f t="shared" si="35"/>
        <v>48.979153257338155</v>
      </c>
      <c r="AL30" s="20">
        <f t="shared" si="4"/>
        <v>427.58215058986383</v>
      </c>
      <c r="AM30" s="59">
        <f t="shared" si="5"/>
        <v>660.09999346242739</v>
      </c>
      <c r="AN30" s="59">
        <f ca="1">AVERAGE(OFFSET($AM$3,0,0,'Données projet'!$E$10+1,1))-AVERAGE(OFFSET($H$3,0,0,'Données projet'!$E$10+1,1))</f>
        <v>376.97234030481559</v>
      </c>
      <c r="AO30" s="59">
        <f t="shared" si="36"/>
        <v>532.90758914457615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1.2113469032345026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1.2113469032345026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14.166666666666666</v>
      </c>
      <c r="BD30" s="12">
        <f>IF('Données projet'!$A$88&gt;35,BD29+BC30-BL29,IF(A30&lt;'Données projet'!$A$88,$BA$205^A30,IF(A30='Données projet'!$A$88,'Données projet'!$B$88,BD29+BC30-BL29)))</f>
        <v>181.49999999999997</v>
      </c>
      <c r="BE30" s="13">
        <f>BD30*VLOOKUP('Données projet'!$B$11,Paramètres!$A$1:$I$89,3,0)*VLOOKUP('Données projet'!$B$11,Paramètres!$A$1:$I$89,5,0)</f>
        <v>113.25599999999997</v>
      </c>
      <c r="BF30" s="13">
        <f t="shared" si="37"/>
        <v>30.096816336106439</v>
      </c>
      <c r="BG30" s="20">
        <f t="shared" si="7"/>
        <v>249.67282178538531</v>
      </c>
      <c r="BH30" s="59">
        <f t="shared" si="8"/>
        <v>482.19066465794879</v>
      </c>
      <c r="BI30" s="59">
        <f ca="1">AVERAGE(OFFSET($BH$3,0,0,'Données projet'!$E$11+1,1))-AVERAGE(OFFSET($H$3,0,0,'Données projet'!$E$11+1,1))</f>
        <v>256.72534545771862</v>
      </c>
      <c r="BJ30" s="59">
        <f t="shared" si="38"/>
        <v>362.34519377447361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19.081202257197219</v>
      </c>
      <c r="BR30" s="21">
        <f>EXP(-LN(2)/2)*BR29+(1-EXP(-LN(2)/2))/(LN(2)/2)*BL30*BO30*VLOOKUP('Données projet'!$B$11,Paramètres!$A$1:$I$89,3,0)*0.475*44/12</f>
        <v>4.0658214730714199</v>
      </c>
      <c r="BS30" s="22">
        <f t="shared" si="9"/>
        <v>23.147023730268639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365</v>
      </c>
      <c r="O31" s="13">
        <f>N31*VLOOKUP('Données projet'!$B$9,Paramètres!$A$1:$I$89,3,0)*VLOOKUP('Données projet'!$B$9,Paramètres!$A$1:$I$89,5,0)</f>
        <v>204.035</v>
      </c>
      <c r="P31" s="13">
        <f t="shared" si="33"/>
        <v>50.629905099971396</v>
      </c>
      <c r="Q31" s="20">
        <f t="shared" si="2"/>
        <v>443.54137638245015</v>
      </c>
      <c r="R31" s="59">
        <f t="shared" si="0"/>
        <v>678.27284580443427</v>
      </c>
      <c r="S31" s="59">
        <f ca="1">AVERAGE(OFFSET($R$3,0,0,'Données projet'!$E$9+1,1))-AVERAGE(OFFSET($H$3,0,0,'Données projet'!$E$9+1,1))</f>
        <v>459.83870442974046</v>
      </c>
      <c r="T31" s="59">
        <f t="shared" si="34"/>
        <v>565.68976940602215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12.111861790189201</v>
      </c>
      <c r="AB31" s="21">
        <f>EXP(-LN(2)/2)*AB30+(1-EXP(-LN(2)/2))/(LN(2)/2)*V31*Y31*VLOOKUP('Données projet'!$B$9,Paramètres!$A$1:$I$89,3,0)*0.475*44/12</f>
        <v>4.8334374725954223</v>
      </c>
      <c r="AC31" s="22">
        <f t="shared" si="3"/>
        <v>16.945299262784623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8.6</v>
      </c>
      <c r="AI31" s="13">
        <f>IF('Données projet'!$A$62&gt;35,AI30+AH31-AQ30,IF(A31&lt;'Données projet'!$A$62,$AF$205^A31,IF(A31='Données projet'!$A$62,'Données projet'!$B$62,AI30+AH31-AQ30)))</f>
        <v>225.79999999999993</v>
      </c>
      <c r="AJ31" s="13">
        <f>AI31*VLOOKUP('Données projet'!$B$10,Paramètres!$A$1:$I$89,3,0)*VLOOKUP('Données projet'!$B$10,Paramètres!$A$1:$I$89,5,0)</f>
        <v>204.30383999999992</v>
      </c>
      <c r="AK31" s="13">
        <f t="shared" si="35"/>
        <v>50.688846269088558</v>
      </c>
      <c r="AL31" s="20">
        <f t="shared" si="4"/>
        <v>444.11226191866245</v>
      </c>
      <c r="AM31" s="59">
        <f t="shared" si="5"/>
        <v>678.84373134064651</v>
      </c>
      <c r="AN31" s="59">
        <f ca="1">AVERAGE(OFFSET($AM$3,0,0,'Données projet'!$E$10+1,1))-AVERAGE(OFFSET($H$3,0,0,'Données projet'!$E$10+1,1))</f>
        <v>376.97234030481559</v>
      </c>
      <c r="AO31" s="59">
        <f t="shared" si="36"/>
        <v>532.90758914457615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1.1875931293107298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1.1875931293107298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14.166666666666666</v>
      </c>
      <c r="BD31" s="12">
        <f>IF('Données projet'!$A$88&gt;35,BD30+BC31-BL30,IF(A31&lt;'Données projet'!$A$88,$BA$205^A31,IF(A31='Données projet'!$A$88,'Données projet'!$B$88,BD30+BC31-BL30)))</f>
        <v>195.66666666666663</v>
      </c>
      <c r="BE31" s="13">
        <f>BD31*VLOOKUP('Données projet'!$B$11,Paramètres!$A$1:$I$89,3,0)*VLOOKUP('Données projet'!$B$11,Paramètres!$A$1:$I$89,5,0)</f>
        <v>122.09599999999998</v>
      </c>
      <c r="BF31" s="13">
        <f t="shared" si="37"/>
        <v>32.163363121463028</v>
      </c>
      <c r="BG31" s="20">
        <f t="shared" si="7"/>
        <v>268.6683907698814</v>
      </c>
      <c r="BH31" s="59">
        <f t="shared" si="8"/>
        <v>503.39986019186551</v>
      </c>
      <c r="BI31" s="59">
        <f ca="1">AVERAGE(OFFSET($BH$3,0,0,'Données projet'!$E$11+1,1))-AVERAGE(OFFSET($H$3,0,0,'Données projet'!$E$11+1,1))</f>
        <v>256.72534545771862</v>
      </c>
      <c r="BJ31" s="59">
        <f t="shared" si="38"/>
        <v>362.34519377447361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18.559425778037344</v>
      </c>
      <c r="BR31" s="21">
        <f>EXP(-LN(2)/2)*BR30+(1-EXP(-LN(2)/2))/(LN(2)/2)*BL31*BO31*VLOOKUP('Données projet'!$B$11,Paramètres!$A$1:$I$89,3,0)*0.475*44/12</f>
        <v>2.8749699347026789</v>
      </c>
      <c r="BS31" s="22">
        <f t="shared" si="9"/>
        <v>21.434395712740024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393</v>
      </c>
      <c r="O32" s="13">
        <f>N32*VLOOKUP('Données projet'!$B$9,Paramètres!$A$1:$I$89,3,0)*VLOOKUP('Données projet'!$B$9,Paramètres!$A$1:$I$89,5,0)</f>
        <v>219.68700000000001</v>
      </c>
      <c r="P32" s="13">
        <f t="shared" si="33"/>
        <v>54.046851081096591</v>
      </c>
      <c r="Q32" s="20">
        <f t="shared" si="2"/>
        <v>476.75312396624321</v>
      </c>
      <c r="R32" s="59">
        <f t="shared" si="0"/>
        <v>713.6810212890191</v>
      </c>
      <c r="S32" s="59">
        <f ca="1">AVERAGE(OFFSET($R$3,0,0,'Données projet'!$E$9+1,1))-AVERAGE(OFFSET($H$3,0,0,'Données projet'!$E$9+1,1))</f>
        <v>459.83870442974046</v>
      </c>
      <c r="T32" s="59">
        <f t="shared" si="34"/>
        <v>565.68976940602215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11.780662292601347</v>
      </c>
      <c r="AB32" s="21">
        <f>EXP(-LN(2)/2)*AB31+(1-EXP(-LN(2)/2))/(LN(2)/2)*V32*Y32*VLOOKUP('Données projet'!$B$9,Paramètres!$A$1:$I$89,3,0)*0.475*44/12</f>
        <v>3.4177564133133909</v>
      </c>
      <c r="AC32" s="22">
        <f t="shared" si="3"/>
        <v>15.198418705914738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8.6</v>
      </c>
      <c r="AI32" s="13">
        <f>IF('Données projet'!$A$62&gt;35,AI31+AH32-AQ31,IF(A32&lt;'Données projet'!$A$62,$AF$205^A32,IF(A32='Données projet'!$A$62,'Données projet'!$B$62,AI31+AH32-AQ31)))</f>
        <v>234.39999999999992</v>
      </c>
      <c r="AJ32" s="13">
        <f>AI32*VLOOKUP('Données projet'!$B$10,Paramètres!$A$1:$I$89,3,0)*VLOOKUP('Données projet'!$B$10,Paramètres!$A$1:$I$89,5,0)</f>
        <v>212.0851199999999</v>
      </c>
      <c r="AK32" s="13">
        <f t="shared" si="35"/>
        <v>52.390974537063038</v>
      </c>
      <c r="AL32" s="20">
        <f t="shared" si="4"/>
        <v>460.62919798538456</v>
      </c>
      <c r="AM32" s="59">
        <f t="shared" si="5"/>
        <v>697.55709530816034</v>
      </c>
      <c r="AN32" s="59">
        <f ca="1">AVERAGE(OFFSET($AM$3,0,0,'Données projet'!$E$10+1,1))-AVERAGE(OFFSET($H$3,0,0,'Données projet'!$E$10+1,1))</f>
        <v>376.97234030481559</v>
      </c>
      <c r="AO32" s="59">
        <f t="shared" si="36"/>
        <v>532.90758914457615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1.1643051524052306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1.1643051524052306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14.166666666666666</v>
      </c>
      <c r="BD32" s="12">
        <f>IF('Données projet'!$A$88&gt;35,BD31+BC32-BL31,IF(A32&lt;'Données projet'!$A$88,$BA$205^A32,IF(A32='Données projet'!$A$88,'Données projet'!$B$88,BD31+BC32-BL31)))</f>
        <v>209.83333333333329</v>
      </c>
      <c r="BE32" s="13">
        <f>BD32*VLOOKUP('Données projet'!$B$11,Paramètres!$A$1:$I$89,3,0)*VLOOKUP('Données projet'!$B$11,Paramètres!$A$1:$I$89,5,0)</f>
        <v>130.93599999999998</v>
      </c>
      <c r="BF32" s="13">
        <f t="shared" si="37"/>
        <v>34.21255106176632</v>
      </c>
      <c r="BG32" s="20">
        <f t="shared" si="7"/>
        <v>287.63372643257628</v>
      </c>
      <c r="BH32" s="59">
        <f t="shared" si="8"/>
        <v>524.56162375535212</v>
      </c>
      <c r="BI32" s="59">
        <f ca="1">AVERAGE(OFFSET($BH$3,0,0,'Données projet'!$E$11+1,1))-AVERAGE(OFFSET($H$3,0,0,'Données projet'!$E$11+1,1))</f>
        <v>256.72534545771862</v>
      </c>
      <c r="BJ32" s="59">
        <f t="shared" si="38"/>
        <v>362.34519377447361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18.051917304139128</v>
      </c>
      <c r="BR32" s="21">
        <f>EXP(-LN(2)/2)*BR31+(1-EXP(-LN(2)/2))/(LN(2)/2)*BL32*BO32*VLOOKUP('Données projet'!$B$11,Paramètres!$A$1:$I$89,3,0)*0.475*44/12</f>
        <v>2.03291073653571</v>
      </c>
      <c r="BS32" s="22">
        <f t="shared" si="9"/>
        <v>20.084828040674836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421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421</v>
      </c>
      <c r="O33" s="13">
        <f>N33*VLOOKUP('Données projet'!$B$9,Paramètres!$A$1:$I$89,3,0)*VLOOKUP('Données projet'!$B$9,Paramètres!$A$1:$I$89,5,0)</f>
        <v>235.339</v>
      </c>
      <c r="P33" s="13">
        <f t="shared" si="33"/>
        <v>57.43555185051494</v>
      </c>
      <c r="Q33" s="20">
        <f t="shared" si="2"/>
        <v>509.91567780631357</v>
      </c>
      <c r="R33" s="59">
        <f t="shared" si="0"/>
        <v>749.02310273935552</v>
      </c>
      <c r="S33" s="59">
        <f ca="1">AVERAGE(OFFSET($R$3,0,0,'Données projet'!$E$9+1,1))-AVERAGE(OFFSET($H$3,0,0,'Données projet'!$E$9+1,1))</f>
        <v>459.83870442974046</v>
      </c>
      <c r="T33" s="59">
        <f t="shared" si="34"/>
        <v>565.68976940602215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0.33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24.620901920187933</v>
      </c>
      <c r="AB33" s="21">
        <f>EXP(-LN(2)/2)*AB32+(1-EXP(-LN(2)/2))/(LN(2)/2)*V33*Y33*VLOOKUP('Données projet'!$B$9,Paramètres!$A$1:$I$89,3,0)*0.475*44/12</f>
        <v>16.087744389551272</v>
      </c>
      <c r="AC33" s="22">
        <f t="shared" si="3"/>
        <v>40.708646309739208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243</v>
      </c>
      <c r="AG33" s="12">
        <f>VLOOKUP(A33,'Données projet'!$A$61:$I$81,9,0)</f>
        <v>8.6</v>
      </c>
      <c r="AH33" s="12">
        <f t="array" ref="AH33">INDEX(AG:AG,MIN(IF(ISNUMBER(AG33:AG229),ROW(AG33:AG229),"")))</f>
        <v>8.6</v>
      </c>
      <c r="AI33" s="13">
        <f>IF('Données projet'!$A$62&gt;35,AI32+AH33-AQ32,IF(A33&lt;'Données projet'!$A$62,$AF$205^A33,IF(A33='Données projet'!$A$62,'Données projet'!$B$62,AI32+AH33-AQ32)))</f>
        <v>242.99999999999991</v>
      </c>
      <c r="AJ33" s="13">
        <f>AI33*VLOOKUP('Données projet'!$B$10,Paramètres!$A$1:$I$89,3,0)*VLOOKUP('Données projet'!$B$10,Paramètres!$A$1:$I$89,5,0)</f>
        <v>219.86639999999991</v>
      </c>
      <c r="AK33" s="13">
        <f t="shared" si="35"/>
        <v>54.085847394182416</v>
      </c>
      <c r="AL33" s="20">
        <f t="shared" si="4"/>
        <v>477.13349754486757</v>
      </c>
      <c r="AM33" s="59">
        <f t="shared" si="5"/>
        <v>716.24092247790952</v>
      </c>
      <c r="AN33" s="59">
        <f ca="1">AVERAGE(OFFSET($AM$3,0,0,'Données projet'!$E$10+1,1))-AVERAGE(OFFSET($H$3,0,0,'Données projet'!$E$10+1,1))</f>
        <v>376.97234030481559</v>
      </c>
      <c r="AO33" s="59">
        <f t="shared" si="36"/>
        <v>532.90758914457615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11</v>
      </c>
      <c r="AR33" s="16">
        <f>IF(ISNA(VLOOKUP(A33,'Données projet'!$A$61:$I$81,5,0)),0%,VLOOKUP(A33,'Données projet'!$A$61:$I$81,5,0)*VLOOKUP('Données projet'!$B$10,Paramètres!$A$1:$I$89,7,0))</f>
        <v>0.15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2.7918526775349166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2.7918526775349166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224</v>
      </c>
      <c r="BB33" s="12">
        <f>VLOOKUP(A33,'Données projet'!$A$87:$I$107,9,0)</f>
        <v>14.166666666666666</v>
      </c>
      <c r="BC33" s="12">
        <f t="array" ref="BC33">INDEX(BB:BB,MIN(IF(ISNUMBER(BB33:BB229),ROW(BB33:BB229),"")))</f>
        <v>14.166666666666666</v>
      </c>
      <c r="BD33" s="12">
        <f>IF('Données projet'!$A$88&gt;35,BD32+BC33-BL32,IF(A33&lt;'Données projet'!$A$88,$BA$205^A33,IF(A33='Données projet'!$A$88,'Données projet'!$B$88,BD32+BC33-BL32)))</f>
        <v>223.99999999999994</v>
      </c>
      <c r="BE33" s="13">
        <f>BD33*VLOOKUP('Données projet'!$B$11,Paramètres!$A$1:$I$89,3,0)*VLOOKUP('Données projet'!$B$11,Paramètres!$A$1:$I$89,5,0)</f>
        <v>139.77599999999995</v>
      </c>
      <c r="BF33" s="13">
        <f t="shared" si="37"/>
        <v>36.245685459195258</v>
      </c>
      <c r="BG33" s="20">
        <f t="shared" si="7"/>
        <v>306.57110217476503</v>
      </c>
      <c r="BH33" s="59">
        <f t="shared" si="8"/>
        <v>545.67852710780699</v>
      </c>
      <c r="BI33" s="59">
        <f ca="1">AVERAGE(OFFSET($BH$3,0,0,'Données projet'!$E$11+1,1))-AVERAGE(OFFSET($H$3,0,0,'Données projet'!$E$11+1,1))</f>
        <v>256.72534545771862</v>
      </c>
      <c r="BJ33" s="59">
        <f t="shared" si="38"/>
        <v>362.34519377447361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53</v>
      </c>
      <c r="BM33" s="16">
        <f>IF(ISNA(VLOOKUP(A33,'Données projet'!$A$87:$I$107,5,0)),0%,VLOOKUP(A33,'Données projet'!$A$87:$I$107,5,0)*VLOOKUP('Données projet'!$B$11,Paramètres!$A$1:$I$89,7,0))</f>
        <v>0.12</v>
      </c>
      <c r="BN33" s="16">
        <f>IF(ISNA(VLOOKUP(A33,'Données projet'!$A$87:$I$107,6,0)),0%,VLOOKUP(A33,'Données projet'!$A$87:$I$107,6,0)*VLOOKUP('Données projet'!$B$11,Paramètres!$A$1:$I$89,7,0))</f>
        <v>0.24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5.2646567604355772</v>
      </c>
      <c r="BQ33" s="21">
        <f>EXP(-LN(2)/25)*BQ32+(1-EXP(-LN(2)/25))/(LN(2)/25)*Calculateur!BL33*Calculateur!BN33*VLOOKUP('Données projet'!$B$11,Paramètres!$A$1:$I$89,3,0)*0.475*44/12</f>
        <v>28.046142277704867</v>
      </c>
      <c r="BR33" s="21">
        <f>EXP(-LN(2)/2)*BR32+(1-EXP(-LN(2)/2))/(LN(2)/2)*BL33*BO33*VLOOKUP('Données projet'!$B$11,Paramètres!$A$1:$I$89,3,0)*0.475*44/12</f>
        <v>16.415559584869449</v>
      </c>
      <c r="BS33" s="22">
        <f t="shared" si="9"/>
        <v>49.726358623009894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27.6</v>
      </c>
      <c r="N34" s="13">
        <f>IF('Données projet'!$A$36&gt;35,N33+M34-V33,IF(A34&lt;'Données projet'!$A$36,$K$205^A34,IF(A34='Données projet'!$A$36,'Données projet'!$B$36,N33+M34-V33)))</f>
        <v>394.6</v>
      </c>
      <c r="O34" s="13">
        <f>N34*VLOOKUP('Données projet'!$B$9,Paramètres!$A$1:$I$89,3,0)*VLOOKUP('Données projet'!$B$9,Paramètres!$A$1:$I$89,5,0)</f>
        <v>220.5814</v>
      </c>
      <c r="P34" s="13">
        <f t="shared" si="33"/>
        <v>54.241230721401301</v>
      </c>
      <c r="Q34" s="20">
        <f t="shared" si="2"/>
        <v>478.64941517310723</v>
      </c>
      <c r="R34" s="59">
        <f t="shared" si="0"/>
        <v>718.69753838592476</v>
      </c>
      <c r="S34" s="59">
        <f ca="1">AVERAGE(OFFSET($R$3,0,0,'Données projet'!$E$9+1,1))-AVERAGE(OFFSET($H$3,0,0,'Données projet'!$E$9+1,1))</f>
        <v>459.83870442974046</v>
      </c>
      <c r="T34" s="59">
        <f t="shared" si="34"/>
        <v>565.68976940602215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23.947642062423434</v>
      </c>
      <c r="AB34" s="21">
        <f>EXP(-LN(2)/2)*AB33+(1-EXP(-LN(2)/2))/(LN(2)/2)*V34*Y34*VLOOKUP('Données projet'!$B$9,Paramètres!$A$1:$I$89,3,0)*0.475*44/12</f>
        <v>11.37575315184754</v>
      </c>
      <c r="AC34" s="22">
        <f t="shared" si="3"/>
        <v>35.323395214270974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</v>
      </c>
      <c r="AI34" s="13">
        <f>IF('Données projet'!$A$62&gt;35,AI33+AH34-AQ33,IF(A34&lt;'Données projet'!$A$62,$AF$205^A34,IF(A34='Données projet'!$A$62,'Données projet'!$B$62,AI33+AH34-AQ33)))</f>
        <v>238.99999999999991</v>
      </c>
      <c r="AJ34" s="13">
        <f>AI34*VLOOKUP('Données projet'!$B$10,Paramètres!$A$1:$I$89,3,0)*VLOOKUP('Données projet'!$B$10,Paramètres!$A$1:$I$89,5,0)</f>
        <v>216.24719999999994</v>
      </c>
      <c r="AK34" s="13">
        <f t="shared" si="35"/>
        <v>53.298418226645289</v>
      </c>
      <c r="AL34" s="20">
        <f t="shared" si="4"/>
        <v>469.45861841140703</v>
      </c>
      <c r="AM34" s="59">
        <f t="shared" si="5"/>
        <v>709.50674162422456</v>
      </c>
      <c r="AN34" s="59">
        <f ca="1">AVERAGE(OFFSET($AM$3,0,0,'Données projet'!$E$10+1,1))-AVERAGE(OFFSET($H$3,0,0,'Données projet'!$E$10+1,1))</f>
        <v>376.97234030481559</v>
      </c>
      <c r="AO34" s="59">
        <f t="shared" si="36"/>
        <v>532.90758914457615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2.7371061493904465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2.7371061493904465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12.833333333333334</v>
      </c>
      <c r="BD34" s="12">
        <f>IF('Données projet'!$A$88&gt;35,BD33+BC34-BL33,IF(A34&lt;'Données projet'!$A$88,$BA$205^A34,IF(A34='Données projet'!$A$88,'Données projet'!$B$88,BD33+BC34-BL33)))</f>
        <v>183.83333333333329</v>
      </c>
      <c r="BE34" s="13">
        <f>BD34*VLOOKUP('Données projet'!$B$11,Paramètres!$A$1:$I$89,3,0)*VLOOKUP('Données projet'!$B$11,Paramètres!$A$1:$I$89,5,0)</f>
        <v>114.71199999999997</v>
      </c>
      <c r="BF34" s="13">
        <f t="shared" si="37"/>
        <v>30.438443898016164</v>
      </c>
      <c r="BG34" s="20">
        <f t="shared" si="7"/>
        <v>252.80368978904474</v>
      </c>
      <c r="BH34" s="59">
        <f t="shared" si="8"/>
        <v>492.8518130018623</v>
      </c>
      <c r="BI34" s="59">
        <f ca="1">AVERAGE(OFFSET($BH$3,0,0,'Données projet'!$E$11+1,1))-AVERAGE(OFFSET($H$3,0,0,'Données projet'!$E$11+1,1))</f>
        <v>256.72534545771862</v>
      </c>
      <c r="BJ34" s="59">
        <f t="shared" si="38"/>
        <v>362.34519377447361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5.1614200524869869</v>
      </c>
      <c r="BQ34" s="21">
        <f>EXP(-LN(2)/25)*BQ33+(1-EXP(-LN(2)/25))/(LN(2)/25)*Calculateur!BL34*Calculateur!BN34*VLOOKUP('Données projet'!$B$11,Paramètres!$A$1:$I$89,3,0)*0.475*44/12</f>
        <v>27.279219042238505</v>
      </c>
      <c r="BR34" s="21">
        <f>EXP(-LN(2)/2)*BR33+(1-EXP(-LN(2)/2))/(LN(2)/2)*BL34*BO34*VLOOKUP('Données projet'!$B$11,Paramètres!$A$1:$I$89,3,0)*0.475*44/12</f>
        <v>11.607553499433015</v>
      </c>
      <c r="BS34" s="22">
        <f t="shared" si="9"/>
        <v>44.048192594158508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27.6</v>
      </c>
      <c r="N35" s="13">
        <f>IF('Données projet'!$A$36&gt;35,N34+M35-V34,IF(A35&lt;'Données projet'!$A$36,$K$205^A35,IF(A35='Données projet'!$A$36,'Données projet'!$B$36,N34+M35-V34)))</f>
        <v>422.20000000000005</v>
      </c>
      <c r="O35" s="13">
        <f>N35*VLOOKUP('Données projet'!$B$9,Paramètres!$A$1:$I$89,3,0)*VLOOKUP('Données projet'!$B$9,Paramètres!$A$1:$I$89,5,0)</f>
        <v>236.00980000000004</v>
      </c>
      <c r="P35" s="13">
        <f t="shared" si="33"/>
        <v>57.580183613654185</v>
      </c>
      <c r="Q35" s="20">
        <f t="shared" ref="Q35:Q66" si="53">(O35+P35)*0.475*44/12</f>
        <v>511.3358881271144</v>
      </c>
      <c r="R35" s="59">
        <f t="shared" si="0"/>
        <v>752.30839060763969</v>
      </c>
      <c r="S35" s="59">
        <f ca="1">AVERAGE(OFFSET($R$3,0,0,'Données projet'!$E$9+1,1))-AVERAGE(OFFSET($H$3,0,0,'Données projet'!$E$9+1,1))</f>
        <v>459.83870442974046</v>
      </c>
      <c r="T35" s="59">
        <f t="shared" si="34"/>
        <v>565.68976940602215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23.292792530874703</v>
      </c>
      <c r="AB35" s="21">
        <f>EXP(-LN(2)/2)*AB34+(1-EXP(-LN(2)/2))/(LN(2)/2)*V35*Y35*VLOOKUP('Données projet'!$B$9,Paramètres!$A$1:$I$89,3,0)*0.475*44/12</f>
        <v>8.0438721947756378</v>
      </c>
      <c r="AC35" s="22">
        <f t="shared" si="3"/>
        <v>31.336664725650341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</v>
      </c>
      <c r="AI35" s="13">
        <f>IF('Données projet'!$A$62&gt;35,AI34+AH35-AQ34,IF(A35&lt;'Données projet'!$A$62,$AF$205^A35,IF(A35='Données projet'!$A$62,'Données projet'!$B$62,AI34+AH35-AQ34)))</f>
        <v>245.99999999999991</v>
      </c>
      <c r="AJ35" s="13">
        <f>AI35*VLOOKUP('Données projet'!$B$10,Paramètres!$A$1:$I$89,3,0)*VLOOKUP('Données projet'!$B$10,Paramètres!$A$1:$I$89,5,0)</f>
        <v>222.58079999999993</v>
      </c>
      <c r="AK35" s="13">
        <f t="shared" si="35"/>
        <v>54.675428546153199</v>
      </c>
      <c r="AL35" s="20">
        <f t="shared" si="4"/>
        <v>482.88793138454997</v>
      </c>
      <c r="AM35" s="59">
        <f t="shared" si="5"/>
        <v>723.86043386507527</v>
      </c>
      <c r="AN35" s="59">
        <f ca="1">AVERAGE(OFFSET($AM$3,0,0,'Données projet'!$E$10+1,1))-AVERAGE(OFFSET($H$3,0,0,'Données projet'!$E$10+1,1))</f>
        <v>376.97234030481559</v>
      </c>
      <c r="AO35" s="59">
        <f t="shared" si="36"/>
        <v>532.90758914457615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2.6834331672708047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2.6834331672708047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12.833333333333334</v>
      </c>
      <c r="BD35" s="12">
        <f>IF('Données projet'!$A$88&gt;35,BD34+BC35-BL34,IF(A35&lt;'Données projet'!$A$88,$BA$205^A35,IF(A35='Données projet'!$A$88,'Données projet'!$B$88,BD34+BC35-BL34)))</f>
        <v>196.66666666666663</v>
      </c>
      <c r="BE35" s="13">
        <f>BD35*VLOOKUP('Données projet'!$B$11,Paramètres!$A$1:$I$89,3,0)*VLOOKUP('Données projet'!$B$11,Paramètres!$A$1:$I$89,5,0)</f>
        <v>122.71999999999997</v>
      </c>
      <c r="BF35" s="13">
        <f t="shared" si="37"/>
        <v>32.308564708068729</v>
      </c>
      <c r="BG35" s="20">
        <f t="shared" si="7"/>
        <v>270.00808353321963</v>
      </c>
      <c r="BH35" s="59">
        <f t="shared" si="8"/>
        <v>510.98058601374498</v>
      </c>
      <c r="BI35" s="59">
        <f ca="1">AVERAGE(OFFSET($BH$3,0,0,'Données projet'!$E$11+1,1))-AVERAGE(OFFSET($H$3,0,0,'Données projet'!$E$11+1,1))</f>
        <v>256.72534545771862</v>
      </c>
      <c r="BJ35" s="59">
        <f t="shared" si="38"/>
        <v>362.34519377447361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5.0602077534130947</v>
      </c>
      <c r="BQ35" s="21">
        <f>EXP(-LN(2)/25)*BQ34+(1-EXP(-LN(2)/25))/(LN(2)/25)*Calculateur!BL35*Calculateur!BN35*VLOOKUP('Données projet'!$B$11,Paramètres!$A$1:$I$89,3,0)*0.475*44/12</f>
        <v>26.533267362976712</v>
      </c>
      <c r="BR35" s="21">
        <f>EXP(-LN(2)/2)*BR34+(1-EXP(-LN(2)/2))/(LN(2)/2)*BL35*BO35*VLOOKUP('Données projet'!$B$11,Paramètres!$A$1:$I$89,3,0)*0.475*44/12</f>
        <v>8.2077797924347262</v>
      </c>
      <c r="BS35" s="22">
        <f t="shared" si="9"/>
        <v>39.801254908824532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27.6</v>
      </c>
      <c r="N36" s="13">
        <f>IF('Données projet'!$A$36&gt;35,N35+M36-V35,IF(A36&lt;'Données projet'!$A$36,$K$205^A36,IF(A36='Données projet'!$A$36,'Données projet'!$B$36,N35+M36-V35)))</f>
        <v>449.80000000000007</v>
      </c>
      <c r="O36" s="13">
        <f>N36*VLOOKUP('Données projet'!$B$9,Paramètres!$A$1:$I$89,3,0)*VLOOKUP('Données projet'!$B$9,Paramètres!$A$1:$I$89,5,0)</f>
        <v>251.43820000000002</v>
      </c>
      <c r="P36" s="13">
        <f t="shared" si="33"/>
        <v>60.893806844597648</v>
      </c>
      <c r="Q36" s="20">
        <f t="shared" si="53"/>
        <v>543.978245254341</v>
      </c>
      <c r="R36" s="59">
        <f t="shared" si="0"/>
        <v>785.85909108888177</v>
      </c>
      <c r="S36" s="59">
        <f ca="1">AVERAGE(OFFSET($R$3,0,0,'Données projet'!$E$9+1,1))-AVERAGE(OFFSET($H$3,0,0,'Données projet'!$E$9+1,1))</f>
        <v>459.83870442974046</v>
      </c>
      <c r="T36" s="59">
        <f t="shared" si="34"/>
        <v>565.68976940602215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22.655849894203211</v>
      </c>
      <c r="AB36" s="21">
        <f>EXP(-LN(2)/2)*AB35+(1-EXP(-LN(2)/2))/(LN(2)/2)*V36*Y36*VLOOKUP('Données projet'!$B$9,Paramètres!$A$1:$I$89,3,0)*0.475*44/12</f>
        <v>5.687876575923771</v>
      </c>
      <c r="AC36" s="22">
        <f t="shared" si="3"/>
        <v>28.343726470126981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</v>
      </c>
      <c r="AI36" s="13">
        <f>IF('Données projet'!$A$62&gt;35,AI35+AH36-AQ35,IF(A36&lt;'Données projet'!$A$62,$AF$205^A36,IF(A36='Données projet'!$A$62,'Données projet'!$B$62,AI35+AH36-AQ35)))</f>
        <v>252.99999999999991</v>
      </c>
      <c r="AJ36" s="13">
        <f>AI36*VLOOKUP('Données projet'!$B$10,Paramètres!$A$1:$I$89,3,0)*VLOOKUP('Données projet'!$B$10,Paramètres!$A$1:$I$89,5,0)</f>
        <v>228.91439999999994</v>
      </c>
      <c r="AK36" s="13">
        <f t="shared" si="35"/>
        <v>56.047884834417424</v>
      </c>
      <c r="AL36" s="20">
        <f t="shared" si="4"/>
        <v>496.30931275327686</v>
      </c>
      <c r="AM36" s="59">
        <f t="shared" si="5"/>
        <v>738.19015858781756</v>
      </c>
      <c r="AN36" s="59">
        <f ca="1">AVERAGE(OFFSET($AM$3,0,0,'Données projet'!$E$10+1,1))-AVERAGE(OFFSET($H$3,0,0,'Données projet'!$E$10+1,1))</f>
        <v>376.97234030481559</v>
      </c>
      <c r="AO36" s="59">
        <f t="shared" si="36"/>
        <v>532.90758914457615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2.6308126795932423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2.6308126795932423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12.833333333333334</v>
      </c>
      <c r="BD36" s="12">
        <f>IF('Données projet'!$A$88&gt;35,BD35+BC36-BL35,IF(A36&lt;'Données projet'!$A$88,$BA$205^A36,IF(A36='Données projet'!$A$88,'Données projet'!$B$88,BD35+BC36-BL35)))</f>
        <v>209.49999999999997</v>
      </c>
      <c r="BE36" s="13">
        <f>BD36*VLOOKUP('Données projet'!$B$11,Paramètres!$A$1:$I$89,3,0)*VLOOKUP('Données projet'!$B$11,Paramètres!$A$1:$I$89,5,0)</f>
        <v>130.72799999999998</v>
      </c>
      <c r="BF36" s="13">
        <f t="shared" si="37"/>
        <v>34.164524045585857</v>
      </c>
      <c r="BG36" s="20">
        <f t="shared" si="7"/>
        <v>287.18781271272866</v>
      </c>
      <c r="BH36" s="59">
        <f t="shared" si="8"/>
        <v>529.06865854726937</v>
      </c>
      <c r="BI36" s="59">
        <f ca="1">AVERAGE(OFFSET($BH$3,0,0,'Données projet'!$E$11+1,1))-AVERAGE(OFFSET($H$3,0,0,'Données projet'!$E$11+1,1))</f>
        <v>256.72534545771862</v>
      </c>
      <c r="BJ36" s="59">
        <f t="shared" si="38"/>
        <v>362.34519377447361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4.9609801657906347</v>
      </c>
      <c r="BQ36" s="21">
        <f>EXP(-LN(2)/25)*BQ35+(1-EXP(-LN(2)/25))/(LN(2)/25)*Calculateur!BL36*Calculateur!BN36*VLOOKUP('Données projet'!$B$11,Paramètres!$A$1:$I$89,3,0)*0.475*44/12</f>
        <v>25.807713771612224</v>
      </c>
      <c r="BR36" s="21">
        <f>EXP(-LN(2)/2)*BR35+(1-EXP(-LN(2)/2))/(LN(2)/2)*BL36*BO36*VLOOKUP('Données projet'!$B$11,Paramètres!$A$1:$I$89,3,0)*0.475*44/12</f>
        <v>5.8037767497165085</v>
      </c>
      <c r="BS36" s="22">
        <f t="shared" si="9"/>
        <v>36.572470687119363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27.6</v>
      </c>
      <c r="N37" s="13">
        <f>IF('Données projet'!$A$36&gt;35,N36+M37-V36,IF(A37&lt;'Données projet'!$A$36,$K$205^A37,IF(A37='Données projet'!$A$36,'Données projet'!$B$36,N36+M37-V36)))</f>
        <v>477.40000000000009</v>
      </c>
      <c r="O37" s="13">
        <f>N37*VLOOKUP('Données projet'!$B$9,Paramètres!$A$1:$I$89,3,0)*VLOOKUP('Données projet'!$B$9,Paramètres!$A$1:$I$89,5,0)</f>
        <v>266.86660000000006</v>
      </c>
      <c r="P37" s="13">
        <f t="shared" si="33"/>
        <v>64.183831628008477</v>
      </c>
      <c r="Q37" s="20">
        <f t="shared" si="53"/>
        <v>576.57950175211477</v>
      </c>
      <c r="R37" s="59">
        <f t="shared" si="0"/>
        <v>819.35293321423035</v>
      </c>
      <c r="S37" s="59">
        <f ca="1">AVERAGE(OFFSET($R$3,0,0,'Données projet'!$E$9+1,1))-AVERAGE(OFFSET($H$3,0,0,'Données projet'!$E$9+1,1))</f>
        <v>459.83870442974046</v>
      </c>
      <c r="T37" s="59">
        <f t="shared" si="34"/>
        <v>565.68976940602215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22.03632448742686</v>
      </c>
      <c r="AB37" s="21">
        <f>EXP(-LN(2)/2)*AB36+(1-EXP(-LN(2)/2))/(LN(2)/2)*V37*Y37*VLOOKUP('Données projet'!$B$9,Paramètres!$A$1:$I$89,3,0)*0.475*44/12</f>
        <v>4.0219360973878198</v>
      </c>
      <c r="AC37" s="22">
        <f t="shared" si="3"/>
        <v>26.058260584814679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</v>
      </c>
      <c r="AI37" s="13">
        <f>IF('Données projet'!$A$62&gt;35,AI36+AH37-AQ36,IF(A37&lt;'Données projet'!$A$62,$AF$205^A37,IF(A37='Données projet'!$A$62,'Données projet'!$B$62,AI36+AH37-AQ36)))</f>
        <v>259.99999999999989</v>
      </c>
      <c r="AJ37" s="13">
        <f>AI37*VLOOKUP('Données projet'!$B$10,Paramètres!$A$1:$I$89,3,0)*VLOOKUP('Données projet'!$B$10,Paramètres!$A$1:$I$89,5,0)</f>
        <v>235.24799999999991</v>
      </c>
      <c r="AK37" s="13">
        <f t="shared" si="35"/>
        <v>57.41592756883739</v>
      </c>
      <c r="AL37" s="20">
        <f t="shared" si="4"/>
        <v>509.72300718239154</v>
      </c>
      <c r="AM37" s="59">
        <f t="shared" si="5"/>
        <v>752.49643864450718</v>
      </c>
      <c r="AN37" s="59">
        <f ca="1">AVERAGE(OFFSET($AM$3,0,0,'Données projet'!$E$10+1,1))-AVERAGE(OFFSET($H$3,0,0,'Données projet'!$E$10+1,1))</f>
        <v>376.97234030481559</v>
      </c>
      <c r="AO37" s="59">
        <f t="shared" si="36"/>
        <v>532.90758914457615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2.5792240475837085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2.5792240475837085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12.833333333333334</v>
      </c>
      <c r="BD37" s="12">
        <f>IF('Données projet'!$A$88&gt;35,BD36+BC37-BL36,IF(A37&lt;'Données projet'!$A$88,$BA$205^A37,IF(A37='Données projet'!$A$88,'Données projet'!$B$88,BD36+BC37-BL36)))</f>
        <v>222.33333333333331</v>
      </c>
      <c r="BE37" s="13">
        <f>BD37*VLOOKUP('Données projet'!$B$11,Paramètres!$A$1:$I$89,3,0)*VLOOKUP('Données projet'!$B$11,Paramètres!$A$1:$I$89,5,0)</f>
        <v>138.73599999999999</v>
      </c>
      <c r="BF37" s="13">
        <f t="shared" si="37"/>
        <v>36.007288175538044</v>
      </c>
      <c r="BG37" s="20">
        <f t="shared" si="7"/>
        <v>304.34456023906205</v>
      </c>
      <c r="BH37" s="59">
        <f t="shared" si="8"/>
        <v>547.11799170117763</v>
      </c>
      <c r="BI37" s="59">
        <f ca="1">AVERAGE(OFFSET($BH$3,0,0,'Données projet'!$E$11+1,1))-AVERAGE(OFFSET($H$3,0,0,'Données projet'!$E$11+1,1))</f>
        <v>256.72534545771862</v>
      </c>
      <c r="BJ37" s="59">
        <f t="shared" si="38"/>
        <v>362.34519377447361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4.8636983706385992</v>
      </c>
      <c r="BQ37" s="21">
        <f>EXP(-LN(2)/25)*BQ36+(1-EXP(-LN(2)/25))/(LN(2)/25)*Calculateur!BL37*Calculateur!BN37*VLOOKUP('Données projet'!$B$11,Paramètres!$A$1:$I$89,3,0)*0.475*44/12</f>
        <v>25.102000481358804</v>
      </c>
      <c r="BR37" s="21">
        <f>EXP(-LN(2)/2)*BR36+(1-EXP(-LN(2)/2))/(LN(2)/2)*BL37*BO37*VLOOKUP('Données projet'!$B$11,Paramètres!$A$1:$I$89,3,0)*0.475*44/12</f>
        <v>4.1038898962173631</v>
      </c>
      <c r="BS37" s="22">
        <f t="shared" si="9"/>
        <v>34.069588748214763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505</v>
      </c>
      <c r="L38" s="12">
        <f>VLOOKUP(A38,'Données projet'!$A$35:$I$55,9,0)</f>
        <v>27.6</v>
      </c>
      <c r="M38" s="12">
        <f t="array" ref="M38">INDEX(L:L,MIN(IF(ISNUMBER(L38:L234),ROW(L38:L234),"")))</f>
        <v>27.6</v>
      </c>
      <c r="N38" s="13">
        <f>IF('Données projet'!$A$36&gt;35,N37+M38-V37,IF(A38&lt;'Données projet'!$A$36,$K$205^A38,IF(A38='Données projet'!$A$36,'Données projet'!$B$36,N37+M38-V37)))</f>
        <v>505.00000000000011</v>
      </c>
      <c r="O38" s="13">
        <f>N38*VLOOKUP('Données projet'!$B$9,Paramètres!$A$1:$I$89,3,0)*VLOOKUP('Données projet'!$B$9,Paramètres!$A$1:$I$89,5,0)</f>
        <v>282.29500000000007</v>
      </c>
      <c r="P38" s="13">
        <f t="shared" si="33"/>
        <v>67.451777696853824</v>
      </c>
      <c r="Q38" s="20">
        <f t="shared" si="53"/>
        <v>609.14230448868716</v>
      </c>
      <c r="R38" s="59">
        <f t="shared" si="0"/>
        <v>852.79283721326169</v>
      </c>
      <c r="S38" s="59">
        <f ca="1">AVERAGE(OFFSET($R$3,0,0,'Données projet'!$E$9+1,1))-AVERAGE(OFFSET($H$3,0,0,'Données projet'!$E$9+1,1))</f>
        <v>459.83870442974046</v>
      </c>
      <c r="T38" s="59">
        <f t="shared" si="34"/>
        <v>565.68976940602215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69</v>
      </c>
      <c r="W38" s="16">
        <f>IF(ISNA(VLOOKUP(A38,'Données projet'!$A$35:$I$55,5,0)),0%,VLOOKUP(A38,'Données projet'!$A$35:$I$55,5,0)*VLOOKUP('Données projet'!$B$9,Paramètres!$A$1:$I$89,7,0))</f>
        <v>0.11000000000000001</v>
      </c>
      <c r="X38" s="16">
        <f>IF(ISNA(VLOOKUP(A38,'Données projet'!$A$35:$I$55,6,0)),0%,VLOOKUP(A38,'Données projet'!$A$35:$I$55,6,0)*VLOOKUP('Données projet'!$B$9,Paramètres!$A$1:$I$89,7,0))</f>
        <v>0.22000000000000003</v>
      </c>
      <c r="Y38" s="16">
        <f>IF(ISNA(VLOOKUP(A38,'Données projet'!$A$35:$I$55,7,0)),0%,VLOOKUP(A38,'Données projet'!$A$35:$I$55,7,0))</f>
        <v>0.4</v>
      </c>
      <c r="Z38" s="21">
        <f>EXP(-LN(2)/35)*Z37+(1-EXP(-LN(2)/35))/(LN(2)/35)*V38*W38*VLOOKUP('Données projet'!$B$9,Paramètres!$A$1:$I$89,3,0)*0.475*44/12</f>
        <v>5.6283609371834364</v>
      </c>
      <c r="AA38" s="21">
        <f>EXP(-LN(2)/25)*AA37+(1-EXP(-LN(2)/25))/(LN(2)/25)*Calculateur!V38*Calculateur!X38*VLOOKUP('Données projet'!$B$9,Paramètres!$A$1:$I$89,3,0)*0.475*44/12</f>
        <v>32.646139906678428</v>
      </c>
      <c r="AB38" s="21">
        <f>EXP(-LN(2)/2)*AB37+(1-EXP(-LN(2)/2))/(LN(2)/2)*V38*Y38*VLOOKUP('Données projet'!$B$9,Paramètres!$A$1:$I$89,3,0)*0.475*44/12</f>
        <v>20.312471067119212</v>
      </c>
      <c r="AC38" s="22">
        <f t="shared" si="3"/>
        <v>58.586971910981077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267</v>
      </c>
      <c r="AG38" s="12">
        <f>VLOOKUP(A38,'Données projet'!$A$61:$I$81,9,0)</f>
        <v>7</v>
      </c>
      <c r="AH38" s="12">
        <f t="array" ref="AH38">INDEX(AG:AG,MIN(IF(ISNUMBER(AG38:AG234),ROW(AG38:AG234),"")))</f>
        <v>7</v>
      </c>
      <c r="AI38" s="13">
        <f>IF('Données projet'!$A$62&gt;35,AI37+AH38-AQ37,IF(A38&lt;'Données projet'!$A$62,$AF$205^A38,IF(A38='Données projet'!$A$62,'Données projet'!$B$62,AI37+AH38-AQ37)))</f>
        <v>266.99999999999989</v>
      </c>
      <c r="AJ38" s="13">
        <f>AI38*VLOOKUP('Données projet'!$B$10,Paramètres!$A$1:$I$89,3,0)*VLOOKUP('Données projet'!$B$10,Paramètres!$A$1:$I$89,5,0)</f>
        <v>241.5815999999999</v>
      </c>
      <c r="AK38" s="13">
        <f t="shared" si="35"/>
        <v>58.779689232021951</v>
      </c>
      <c r="AL38" s="20">
        <f t="shared" si="4"/>
        <v>523.12924541243797</v>
      </c>
      <c r="AM38" s="59">
        <f t="shared" si="5"/>
        <v>766.7797781370125</v>
      </c>
      <c r="AN38" s="59">
        <f ca="1">AVERAGE(OFFSET($AM$3,0,0,'Données projet'!$E$10+1,1))-AVERAGE(OFFSET($H$3,0,0,'Données projet'!$E$10+1,1))</f>
        <v>376.97234030481559</v>
      </c>
      <c r="AO38" s="59">
        <f t="shared" si="36"/>
        <v>532.90758914457615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9</v>
      </c>
      <c r="AR38" s="16">
        <f>IF(ISNA(VLOOKUP(A38,'Données projet'!$A$61:$I$81,5,0)),0%,VLOOKUP(A38,'Données projet'!$A$61:$I$81,5,0)*VLOOKUP('Données projet'!$B$10,Paramètres!$A$1:$I$89,7,0))</f>
        <v>0.15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3.8789569963738311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3.8789569963738311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12.833333333333334</v>
      </c>
      <c r="BD38" s="12">
        <f>IF('Données projet'!$A$88&gt;35,BD37+BC38-BL37,IF(A38&lt;'Données projet'!$A$88,$BA$205^A38,IF(A38='Données projet'!$A$88,'Données projet'!$B$88,BD37+BC38-BL37)))</f>
        <v>235.16666666666666</v>
      </c>
      <c r="BE38" s="13">
        <f>BD38*VLOOKUP('Données projet'!$B$11,Paramètres!$A$1:$I$89,3,0)*VLOOKUP('Données projet'!$B$11,Paramètres!$A$1:$I$89,5,0)</f>
        <v>146.744</v>
      </c>
      <c r="BF38" s="13">
        <f t="shared" si="37"/>
        <v>37.837705514258651</v>
      </c>
      <c r="BG38" s="20">
        <f t="shared" si="7"/>
        <v>321.47980377066716</v>
      </c>
      <c r="BH38" s="59">
        <f t="shared" si="8"/>
        <v>565.13033649524164</v>
      </c>
      <c r="BI38" s="59">
        <f ca="1">AVERAGE(OFFSET($BH$3,0,0,'Données projet'!$E$11+1,1))-AVERAGE(OFFSET($H$3,0,0,'Données projet'!$E$11+1,1))</f>
        <v>256.72534545771862</v>
      </c>
      <c r="BJ38" s="59">
        <f t="shared" si="38"/>
        <v>362.34519377447361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4.768324212153459</v>
      </c>
      <c r="BQ38" s="21">
        <f>EXP(-LN(2)/25)*BQ37+(1-EXP(-LN(2)/25))/(LN(2)/25)*Calculateur!BL38*Calculateur!BN38*VLOOKUP('Données projet'!$B$11,Paramètres!$A$1:$I$89,3,0)*0.475*44/12</f>
        <v>24.415584958139213</v>
      </c>
      <c r="BR38" s="21">
        <f>EXP(-LN(2)/2)*BR37+(1-EXP(-LN(2)/2))/(LN(2)/2)*BL38*BO38*VLOOKUP('Données projet'!$B$11,Paramètres!$A$1:$I$89,3,0)*0.475*44/12</f>
        <v>2.9018883748582542</v>
      </c>
      <c r="BS38" s="22">
        <f t="shared" si="9"/>
        <v>32.085797545150925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25.6</v>
      </c>
      <c r="N39" s="13">
        <f>IF('Données projet'!$A$36&gt;35,N38+M39-V38,IF(A39&lt;'Données projet'!$A$36,$K$205^A39,IF(A39='Données projet'!$A$36,'Données projet'!$B$36,N38+M39-V38)))</f>
        <v>461.60000000000014</v>
      </c>
      <c r="O39" s="13">
        <f>N39*VLOOKUP('Données projet'!$B$9,Paramètres!$A$1:$I$89,3,0)*VLOOKUP('Données projet'!$B$9,Paramètres!$A$1:$I$89,5,0)</f>
        <v>258.03440000000006</v>
      </c>
      <c r="P39" s="13">
        <f t="shared" si="33"/>
        <v>62.303206596431174</v>
      </c>
      <c r="Q39" s="20">
        <f t="shared" si="53"/>
        <v>557.9213314887844</v>
      </c>
      <c r="R39" s="59">
        <f t="shared" si="0"/>
        <v>802.43374972981883</v>
      </c>
      <c r="S39" s="59">
        <f ca="1">AVERAGE(OFFSET($R$3,0,0,'Données projet'!$E$9+1,1))-AVERAGE(OFFSET($H$3,0,0,'Données projet'!$E$9+1,1))</f>
        <v>459.83870442974046</v>
      </c>
      <c r="T39" s="59">
        <f t="shared" si="34"/>
        <v>565.68976940602215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5.5179922121664644</v>
      </c>
      <c r="AA39" s="21">
        <f>EXP(-LN(2)/25)*AA38+(1-EXP(-LN(2)/25))/(LN(2)/25)*Calculateur!V39*Calculateur!X39*VLOOKUP('Données projet'!$B$9,Paramètres!$A$1:$I$89,3,0)*0.475*44/12</f>
        <v>31.753429494144424</v>
      </c>
      <c r="AB39" s="21">
        <f>EXP(-LN(2)/2)*AB38+(1-EXP(-LN(2)/2))/(LN(2)/2)*V39*Y39*VLOOKUP('Données projet'!$B$9,Paramètres!$A$1:$I$89,3,0)*0.475*44/12</f>
        <v>14.363086034215543</v>
      </c>
      <c r="AC39" s="22">
        <f t="shared" si="3"/>
        <v>51.634507740526431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6.2</v>
      </c>
      <c r="AI39" s="13">
        <f>IF('Données projet'!$A$62&gt;35,AI38+AH39-AQ38,IF(A39&lt;'Données projet'!$A$62,$AF$205^A39,IF(A39='Données projet'!$A$62,'Données projet'!$B$62,AI38+AH39-AQ38)))</f>
        <v>264.19999999999987</v>
      </c>
      <c r="AJ39" s="13">
        <f>AI39*VLOOKUP('Données projet'!$B$10,Paramètres!$A$1:$I$89,3,0)*VLOOKUP('Données projet'!$B$10,Paramètres!$A$1:$I$89,5,0)</f>
        <v>239.04815999999985</v>
      </c>
      <c r="AK39" s="13">
        <f t="shared" si="35"/>
        <v>58.234690128947292</v>
      </c>
      <c r="AL39" s="20">
        <f t="shared" si="4"/>
        <v>517.76763064124964</v>
      </c>
      <c r="AM39" s="59">
        <f t="shared" si="5"/>
        <v>762.28004888228406</v>
      </c>
      <c r="AN39" s="59">
        <f ca="1">AVERAGE(OFFSET($AM$3,0,0,'Données projet'!$E$10+1,1))-AVERAGE(OFFSET($H$3,0,0,'Données projet'!$E$10+1,1))</f>
        <v>376.97234030481559</v>
      </c>
      <c r="AO39" s="59">
        <f t="shared" si="36"/>
        <v>532.90758914457615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3.802893015605092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3.802893015605092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248</v>
      </c>
      <c r="BB39" s="12">
        <f>VLOOKUP(A39,'Données projet'!$A$87:$I$107,9,0)</f>
        <v>12.833333333333334</v>
      </c>
      <c r="BC39" s="12">
        <f t="array" ref="BC39">INDEX(BB:BB,MIN(IF(ISNUMBER(BB39:BB235),ROW(BB39:BB235),"")))</f>
        <v>12.833333333333334</v>
      </c>
      <c r="BD39" s="12">
        <f>IF('Données projet'!$A$88&gt;35,BD38+BC39-BL38,IF(A39&lt;'Données projet'!$A$88,$BA$205^A39,IF(A39='Données projet'!$A$88,'Données projet'!$B$88,BD38+BC39-BL38)))</f>
        <v>248</v>
      </c>
      <c r="BE39" s="13">
        <f>BD39*VLOOKUP('Données projet'!$B$11,Paramètres!$A$1:$I$89,3,0)*VLOOKUP('Données projet'!$B$11,Paramètres!$A$1:$I$89,5,0)</f>
        <v>154.75199999999998</v>
      </c>
      <c r="BF39" s="13">
        <f t="shared" si="37"/>
        <v>39.656526650076415</v>
      </c>
      <c r="BG39" s="20">
        <f t="shared" si="7"/>
        <v>338.5948505822164</v>
      </c>
      <c r="BH39" s="59">
        <f t="shared" si="8"/>
        <v>583.10726882325082</v>
      </c>
      <c r="BI39" s="59">
        <f ca="1">AVERAGE(OFFSET($BH$3,0,0,'Données projet'!$E$11+1,1))-AVERAGE(OFFSET($H$3,0,0,'Données projet'!$E$11+1,1))</f>
        <v>256.72534545771862</v>
      </c>
      <c r="BJ39" s="59">
        <f t="shared" si="38"/>
        <v>362.34519377447361</v>
      </c>
      <c r="BK39" s="15">
        <f>IF(ISNA(VLOOKUP(A39,'Données projet'!$A$87:$I$107,3,0)),0,VLOOKUP(A39,'Données projet'!$A$87:$I$107,3,0))</f>
        <v>5</v>
      </c>
      <c r="BL39" s="15">
        <f>IF(ISNA(VLOOKUP(A39,'Données projet'!$A$87:$I$107,4,0)),0,VLOOKUP(A39,'Données projet'!$A$87:$I$107,4,0))</f>
        <v>62</v>
      </c>
      <c r="BM39" s="16">
        <f>IF(ISNA(VLOOKUP(A39,'Données projet'!$A$87:$I$107,5,0)),0%,VLOOKUP(A39,'Données projet'!$A$87:$I$107,5,0)*VLOOKUP('Données projet'!$B$11,Paramètres!$A$1:$I$89,7,0))</f>
        <v>0.24</v>
      </c>
      <c r="BN39" s="16">
        <f>IF(ISNA(VLOOKUP(A39,'Données projet'!$A$87:$I$107,6,0)),0%,VLOOKUP(A39,'Données projet'!$A$87:$I$107,6,0)*VLOOKUP('Données projet'!$B$11,Paramètres!$A$1:$I$89,7,0))</f>
        <v>0.18</v>
      </c>
      <c r="BO39" s="16">
        <f>IF(ISNA(VLOOKUP(A39,'Données projet'!$A$87:$I$107,7,0)),0%,VLOOKUP(A39,'Données projet'!$A$87:$I$107,7,0))</f>
        <v>0.3</v>
      </c>
      <c r="BP39" s="21">
        <f>EXP(-LN(2)/35)*BP38+(1-EXP(-LN(2)/35))/(LN(2)/35)*BL39*BM39*VLOOKUP('Données projet'!$B$11,Paramètres!$A$1:$I$89,3,0)*0.475*44/12</f>
        <v>16.992130439234504</v>
      </c>
      <c r="BQ39" s="21">
        <f>EXP(-LN(2)/25)*BQ38+(1-EXP(-LN(2)/25))/(LN(2)/25)*Calculateur!BL39*Calculateur!BN39*VLOOKUP('Données projet'!$B$11,Paramètres!$A$1:$I$89,3,0)*0.475*44/12</f>
        <v>32.949548663355259</v>
      </c>
      <c r="BR39" s="21">
        <f>EXP(-LN(2)/2)*BR38+(1-EXP(-LN(2)/2))/(LN(2)/2)*BL39*BO39*VLOOKUP('Données projet'!$B$11,Paramètres!$A$1:$I$89,3,0)*0.475*44/12</f>
        <v>15.193085886119853</v>
      </c>
      <c r="BS39" s="22">
        <f t="shared" si="9"/>
        <v>65.134764988709605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25.6</v>
      </c>
      <c r="N40" s="13">
        <f>IF('Données projet'!$A$36&gt;35,N39+M40-V39,IF(A40&lt;'Données projet'!$A$36,$K$205^A40,IF(A40='Données projet'!$A$36,'Données projet'!$B$36,N39+M40-V39)))</f>
        <v>487.20000000000016</v>
      </c>
      <c r="O40" s="13">
        <f>N40*VLOOKUP('Données projet'!$B$9,Paramètres!$A$1:$I$89,3,0)*VLOOKUP('Données projet'!$B$9,Paramètres!$A$1:$I$89,5,0)</f>
        <v>272.34480000000008</v>
      </c>
      <c r="P40" s="13">
        <f t="shared" si="33"/>
        <v>65.346644318451709</v>
      </c>
      <c r="Q40" s="20">
        <f t="shared" si="53"/>
        <v>588.14593218797006</v>
      </c>
      <c r="R40" s="59">
        <f t="shared" si="0"/>
        <v>833.50528415864119</v>
      </c>
      <c r="S40" s="59">
        <f ca="1">AVERAGE(OFFSET($R$3,0,0,'Données projet'!$E$9+1,1))-AVERAGE(OFFSET($H$3,0,0,'Données projet'!$E$9+1,1))</f>
        <v>459.83870442974046</v>
      </c>
      <c r="T40" s="59">
        <f t="shared" si="34"/>
        <v>565.68976940602215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5.4097877505287997</v>
      </c>
      <c r="AA40" s="21">
        <f>EXP(-LN(2)/25)*AA39+(1-EXP(-LN(2)/25))/(LN(2)/25)*Calculateur!V40*Calculateur!X40*VLOOKUP('Données projet'!$B$9,Paramètres!$A$1:$I$89,3,0)*0.475*44/12</f>
        <v>30.885130294786762</v>
      </c>
      <c r="AB40" s="21">
        <f>EXP(-LN(2)/2)*AB39+(1-EXP(-LN(2)/2))/(LN(2)/2)*V40*Y40*VLOOKUP('Données projet'!$B$9,Paramètres!$A$1:$I$89,3,0)*0.475*44/12</f>
        <v>10.156235533559608</v>
      </c>
      <c r="AC40" s="22">
        <f t="shared" si="3"/>
        <v>46.451153578875171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6.2</v>
      </c>
      <c r="AI40" s="13">
        <f>IF('Données projet'!$A$62&gt;35,AI39+AH40-AQ39,IF(A40&lt;'Données projet'!$A$62,$AF$205^A40,IF(A40='Données projet'!$A$62,'Données projet'!$B$62,AI39+AH40-AQ39)))</f>
        <v>270.39999999999986</v>
      </c>
      <c r="AJ40" s="13">
        <f>AI40*VLOOKUP('Données projet'!$B$10,Paramètres!$A$1:$I$89,3,0)*VLOOKUP('Données projet'!$B$10,Paramètres!$A$1:$I$89,5,0)</f>
        <v>244.65791999999988</v>
      </c>
      <c r="AK40" s="13">
        <f t="shared" si="35"/>
        <v>59.44058075210863</v>
      </c>
      <c r="AL40" s="20">
        <f t="shared" si="4"/>
        <v>529.63822214325558</v>
      </c>
      <c r="AM40" s="59">
        <f t="shared" si="5"/>
        <v>774.9975741139267</v>
      </c>
      <c r="AN40" s="59">
        <f ca="1">AVERAGE(OFFSET($AM$3,0,0,'Données projet'!$E$10+1,1))-AVERAGE(OFFSET($H$3,0,0,'Données projet'!$E$10+1,1))</f>
        <v>376.97234030481559</v>
      </c>
      <c r="AO40" s="59">
        <f t="shared" si="36"/>
        <v>532.90758914457615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3.7283206031047804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3.7283206031047804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11.5</v>
      </c>
      <c r="BD40" s="12">
        <f>IF('Données projet'!$A$88&gt;35,BD39+BC40-BL39,IF(A40&lt;'Données projet'!$A$88,$BA$205^A40,IF(A40='Données projet'!$A$88,'Données projet'!$B$88,BD39+BC40-BL39)))</f>
        <v>197.5</v>
      </c>
      <c r="BE40" s="13">
        <f>BD40*VLOOKUP('Données projet'!$B$11,Paramètres!$A$1:$I$89,3,0)*VLOOKUP('Données projet'!$B$11,Paramètres!$A$1:$I$89,5,0)</f>
        <v>123.24</v>
      </c>
      <c r="BF40" s="13">
        <f t="shared" si="37"/>
        <v>32.429500380369056</v>
      </c>
      <c r="BG40" s="20">
        <f t="shared" si="7"/>
        <v>271.12437982914275</v>
      </c>
      <c r="BH40" s="59">
        <f t="shared" si="8"/>
        <v>516.48373179981388</v>
      </c>
      <c r="BI40" s="59">
        <f ca="1">AVERAGE(OFFSET($BH$3,0,0,'Données projet'!$E$11+1,1))-AVERAGE(OFFSET($H$3,0,0,'Données projet'!$E$11+1,1))</f>
        <v>256.72534545771862</v>
      </c>
      <c r="BJ40" s="59">
        <f t="shared" si="38"/>
        <v>362.34519377447361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16.658925125497305</v>
      </c>
      <c r="BQ40" s="21">
        <f>EXP(-LN(2)/25)*BQ39+(1-EXP(-LN(2)/25))/(LN(2)/25)*Calculateur!BL40*Calculateur!BN40*VLOOKUP('Données projet'!$B$11,Paramètres!$A$1:$I$89,3,0)*0.475*44/12</f>
        <v>32.048541522414354</v>
      </c>
      <c r="BR40" s="21">
        <f>EXP(-LN(2)/2)*BR39+(1-EXP(-LN(2)/2))/(LN(2)/2)*BL40*BO40*VLOOKUP('Données projet'!$B$11,Paramètres!$A$1:$I$89,3,0)*0.475*44/12</f>
        <v>10.743134057224974</v>
      </c>
      <c r="BS40" s="22">
        <f t="shared" si="9"/>
        <v>59.450600705136637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25.6</v>
      </c>
      <c r="N41" s="13">
        <f>IF('Données projet'!$A$36&gt;35,N40+M41-V40,IF(A41&lt;'Données projet'!$A$36,$K$205^A41,IF(A41='Données projet'!$A$36,'Données projet'!$B$36,N40+M41-V40)))</f>
        <v>512.80000000000018</v>
      </c>
      <c r="O41" s="13">
        <f>N41*VLOOKUP('Données projet'!$B$9,Paramètres!$A$1:$I$89,3,0)*VLOOKUP('Données projet'!$B$9,Paramètres!$A$1:$I$89,5,0)</f>
        <v>286.65520000000009</v>
      </c>
      <c r="P41" s="13">
        <f t="shared" si="33"/>
        <v>68.37151538584105</v>
      </c>
      <c r="Q41" s="20">
        <f t="shared" si="53"/>
        <v>618.33819596367323</v>
      </c>
      <c r="R41" s="59">
        <f t="shared" si="0"/>
        <v>864.52978925723198</v>
      </c>
      <c r="S41" s="59">
        <f ca="1">AVERAGE(OFFSET($R$3,0,0,'Données projet'!$E$9+1,1))-AVERAGE(OFFSET($H$3,0,0,'Données projet'!$E$9+1,1))</f>
        <v>459.83870442974046</v>
      </c>
      <c r="T41" s="59">
        <f t="shared" si="34"/>
        <v>565.68976940602215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5.3037051123856447</v>
      </c>
      <c r="AA41" s="21">
        <f>EXP(-LN(2)/25)*AA40+(1-EXP(-LN(2)/25))/(LN(2)/25)*Calculateur!V41*Calculateur!X41*VLOOKUP('Données projet'!$B$9,Paramètres!$A$1:$I$89,3,0)*0.475*44/12</f>
        <v>30.040574782697405</v>
      </c>
      <c r="AB41" s="21">
        <f>EXP(-LN(2)/2)*AB40+(1-EXP(-LN(2)/2))/(LN(2)/2)*V41*Y41*VLOOKUP('Données projet'!$B$9,Paramètres!$A$1:$I$89,3,0)*0.475*44/12</f>
        <v>7.1815430171077725</v>
      </c>
      <c r="AC41" s="22">
        <f t="shared" si="3"/>
        <v>42.525822912190819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6.2</v>
      </c>
      <c r="AI41" s="13">
        <f>IF('Données projet'!$A$62&gt;35,AI40+AH41-AQ40,IF(A41&lt;'Données projet'!$A$62,$AF$205^A41,IF(A41='Données projet'!$A$62,'Données projet'!$B$62,AI40+AH41-AQ40)))</f>
        <v>276.59999999999985</v>
      </c>
      <c r="AJ41" s="13">
        <f>AI41*VLOOKUP('Données projet'!$B$10,Paramètres!$A$1:$I$89,3,0)*VLOOKUP('Données projet'!$B$10,Paramètres!$A$1:$I$89,5,0)</f>
        <v>250.26767999999987</v>
      </c>
      <c r="AK41" s="13">
        <f t="shared" si="35"/>
        <v>60.643256925083385</v>
      </c>
      <c r="AL41" s="20">
        <f t="shared" si="4"/>
        <v>541.50321514451991</v>
      </c>
      <c r="AM41" s="59">
        <f t="shared" si="5"/>
        <v>787.69480843807867</v>
      </c>
      <c r="AN41" s="59">
        <f ca="1">AVERAGE(OFFSET($AM$3,0,0,'Données projet'!$E$10+1,1))-AVERAGE(OFFSET($H$3,0,0,'Données projet'!$E$10+1,1))</f>
        <v>376.97234030481559</v>
      </c>
      <c r="AO41" s="59">
        <f t="shared" si="36"/>
        <v>532.90758914457615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3.6552105101289198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3.6552105101289198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11.5</v>
      </c>
      <c r="BD41" s="12">
        <f>IF('Données projet'!$A$88&gt;35,BD40+BC41-BL40,IF(A41&lt;'Données projet'!$A$88,$BA$205^A41,IF(A41='Données projet'!$A$88,'Données projet'!$B$88,BD40+BC41-BL40)))</f>
        <v>209</v>
      </c>
      <c r="BE41" s="13">
        <f>BD41*VLOOKUP('Données projet'!$B$11,Paramètres!$A$1:$I$89,3,0)*VLOOKUP('Données projet'!$B$11,Paramètres!$A$1:$I$89,5,0)</f>
        <v>130.416</v>
      </c>
      <c r="BF41" s="13">
        <f t="shared" si="37"/>
        <v>34.092466837179941</v>
      </c>
      <c r="BG41" s="20">
        <f t="shared" si="7"/>
        <v>286.51891307475506</v>
      </c>
      <c r="BH41" s="59">
        <f t="shared" si="8"/>
        <v>532.71050636831376</v>
      </c>
      <c r="BI41" s="59">
        <f ca="1">AVERAGE(OFFSET($BH$3,0,0,'Données projet'!$E$11+1,1))-AVERAGE(OFFSET($H$3,0,0,'Données projet'!$E$11+1,1))</f>
        <v>256.72534545771862</v>
      </c>
      <c r="BJ41" s="59">
        <f t="shared" si="38"/>
        <v>362.34519377447361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16.332253764727319</v>
      </c>
      <c r="BQ41" s="21">
        <f>EXP(-LN(2)/25)*BQ40+(1-EXP(-LN(2)/25))/(LN(2)/25)*Calculateur!BL41*Calculateur!BN41*VLOOKUP('Données projet'!$B$11,Paramètres!$A$1:$I$89,3,0)*0.475*44/12</f>
        <v>31.172172469124384</v>
      </c>
      <c r="BR41" s="21">
        <f>EXP(-LN(2)/2)*BR40+(1-EXP(-LN(2)/2))/(LN(2)/2)*BL41*BO41*VLOOKUP('Données projet'!$B$11,Paramètres!$A$1:$I$89,3,0)*0.475*44/12</f>
        <v>7.5965429430599274</v>
      </c>
      <c r="BS41" s="22">
        <f t="shared" si="9"/>
        <v>55.100969176911633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25.6</v>
      </c>
      <c r="N42" s="13">
        <f>IF('Données projet'!$A$36&gt;35,N41+M42-V41,IF(A42&lt;'Données projet'!$A$36,$K$205^A42,IF(A42='Données projet'!$A$36,'Données projet'!$B$36,N41+M42-V41)))</f>
        <v>538.4000000000002</v>
      </c>
      <c r="O42" s="13">
        <f>N42*VLOOKUP('Données projet'!$B$9,Paramètres!$A$1:$I$89,3,0)*VLOOKUP('Données projet'!$B$9,Paramètres!$A$1:$I$89,5,0)</f>
        <v>300.96560000000011</v>
      </c>
      <c r="P42" s="13">
        <f t="shared" si="33"/>
        <v>71.378852450242803</v>
      </c>
      <c r="Q42" s="20">
        <f t="shared" si="53"/>
        <v>648.49992135083971</v>
      </c>
      <c r="R42" s="59">
        <f t="shared" si="0"/>
        <v>895.5093184409468</v>
      </c>
      <c r="S42" s="59">
        <f ca="1">AVERAGE(OFFSET($R$3,0,0,'Données projet'!$E$9+1,1))-AVERAGE(OFFSET($H$3,0,0,'Données projet'!$E$9+1,1))</f>
        <v>459.83870442974046</v>
      </c>
      <c r="T42" s="59">
        <f t="shared" si="34"/>
        <v>565.68976940602215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5.1997026900724572</v>
      </c>
      <c r="AA42" s="21">
        <f>EXP(-LN(2)/25)*AA41+(1-EXP(-LN(2)/25))/(LN(2)/25)*Calculateur!V42*Calculateur!X42*VLOOKUP('Données projet'!$B$9,Paramètres!$A$1:$I$89,3,0)*0.475*44/12</f>
        <v>29.219113685499376</v>
      </c>
      <c r="AB42" s="21">
        <f>EXP(-LN(2)/2)*AB41+(1-EXP(-LN(2)/2))/(LN(2)/2)*V42*Y42*VLOOKUP('Données projet'!$B$9,Paramètres!$A$1:$I$89,3,0)*0.475*44/12</f>
        <v>5.0781177667798048</v>
      </c>
      <c r="AC42" s="22">
        <f t="shared" si="3"/>
        <v>39.496934142351641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6.2</v>
      </c>
      <c r="AI42" s="13">
        <f>IF('Données projet'!$A$62&gt;35,AI41+AH42-AQ41,IF(A42&lt;'Données projet'!$A$62,$AF$205^A42,IF(A42='Données projet'!$A$62,'Données projet'!$B$62,AI41+AH42-AQ41)))</f>
        <v>282.79999999999984</v>
      </c>
      <c r="AJ42" s="13">
        <f>AI42*VLOOKUP('Données projet'!$B$10,Paramètres!$A$1:$I$89,3,0)*VLOOKUP('Données projet'!$B$10,Paramètres!$A$1:$I$89,5,0)</f>
        <v>255.87743999999984</v>
      </c>
      <c r="AK42" s="13">
        <f t="shared" si="35"/>
        <v>61.842798995505277</v>
      </c>
      <c r="AL42" s="20">
        <f t="shared" si="4"/>
        <v>553.36274958383808</v>
      </c>
      <c r="AM42" s="59">
        <f t="shared" si="5"/>
        <v>800.37214667394517</v>
      </c>
      <c r="AN42" s="59">
        <f ca="1">AVERAGE(OFFSET($AM$3,0,0,'Données projet'!$E$10+1,1))-AVERAGE(OFFSET($H$3,0,0,'Données projet'!$E$10+1,1))</f>
        <v>376.97234030481559</v>
      </c>
      <c r="AO42" s="59">
        <f t="shared" si="36"/>
        <v>532.90758914457615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3.583534061483562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3.583534061483562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11.5</v>
      </c>
      <c r="BD42" s="12">
        <f>IF('Données projet'!$A$88&gt;35,BD41+BC42-BL41,IF(A42&lt;'Données projet'!$A$88,$BA$205^A42,IF(A42='Données projet'!$A$88,'Données projet'!$B$88,BD41+BC42-BL41)))</f>
        <v>220.5</v>
      </c>
      <c r="BE42" s="13">
        <f>BD42*VLOOKUP('Données projet'!$B$11,Paramètres!$A$1:$I$89,3,0)*VLOOKUP('Données projet'!$B$11,Paramètres!$A$1:$I$89,5,0)</f>
        <v>137.59199999999998</v>
      </c>
      <c r="BF42" s="13">
        <f t="shared" si="37"/>
        <v>35.744810729505772</v>
      </c>
      <c r="BG42" s="20">
        <f t="shared" si="7"/>
        <v>301.89494535388923</v>
      </c>
      <c r="BH42" s="59">
        <f t="shared" si="8"/>
        <v>548.90434244399637</v>
      </c>
      <c r="BI42" s="59">
        <f ca="1">AVERAGE(OFFSET($BH$3,0,0,'Données projet'!$E$11+1,1))-AVERAGE(OFFSET($H$3,0,0,'Données projet'!$E$11+1,1))</f>
        <v>256.72534545771862</v>
      </c>
      <c r="BJ42" s="59">
        <f t="shared" si="38"/>
        <v>362.34519377447361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16.011988230092179</v>
      </c>
      <c r="BQ42" s="21">
        <f>EXP(-LN(2)/25)*BQ41+(1-EXP(-LN(2)/25))/(LN(2)/25)*Calculateur!BL42*Calculateur!BN42*VLOOKUP('Données projet'!$B$11,Paramètres!$A$1:$I$89,3,0)*0.475*44/12</f>
        <v>30.319767773682873</v>
      </c>
      <c r="BR42" s="21">
        <f>EXP(-LN(2)/2)*BR41+(1-EXP(-LN(2)/2))/(LN(2)/2)*BL42*BO42*VLOOKUP('Données projet'!$B$11,Paramètres!$A$1:$I$89,3,0)*0.475*44/12</f>
        <v>5.3715670286124881</v>
      </c>
      <c r="BS42" s="22">
        <f t="shared" si="9"/>
        <v>51.703323032387544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564</v>
      </c>
      <c r="L43" s="12">
        <f>VLOOKUP(A43,'Données projet'!$A$35:$I$55,9,0)</f>
        <v>25.6</v>
      </c>
      <c r="M43" s="12">
        <f t="array" ref="M43">INDEX(L:L,MIN(IF(ISNUMBER(L43:L239),ROW(L43:L239),"")))</f>
        <v>25.6</v>
      </c>
      <c r="N43" s="13">
        <f>IF('Données projet'!$A$36&gt;35,N42+M43-V42,IF(A43&lt;'Données projet'!$A$36,$K$205^A43,IF(A43='Données projet'!$A$36,'Données projet'!$B$36,N42+M43-V42)))</f>
        <v>564.00000000000023</v>
      </c>
      <c r="O43" s="13">
        <f>N43*VLOOKUP('Données projet'!$B$9,Paramètres!$A$1:$I$89,3,0)*VLOOKUP('Données projet'!$B$9,Paramètres!$A$1:$I$89,5,0)</f>
        <v>315.27600000000012</v>
      </c>
      <c r="P43" s="13">
        <f t="shared" si="33"/>
        <v>74.36958441265493</v>
      </c>
      <c r="Q43" s="20">
        <f t="shared" si="53"/>
        <v>678.63272618537417</v>
      </c>
      <c r="R43" s="59">
        <f t="shared" si="0"/>
        <v>926.44574000449495</v>
      </c>
      <c r="S43" s="59">
        <f ca="1">AVERAGE(OFFSET($R$3,0,0,'Données projet'!$E$9+1,1))-AVERAGE(OFFSET($H$3,0,0,'Données projet'!$E$9+1,1))</f>
        <v>459.83870442974046</v>
      </c>
      <c r="T43" s="59">
        <f t="shared" si="34"/>
        <v>565.68976940602215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72</v>
      </c>
      <c r="W43" s="16">
        <f>IF(ISNA(VLOOKUP(A43,'Données projet'!$A$35:$I$55,5,0)),0%,VLOOKUP(A43,'Données projet'!$A$35:$I$55,5,0)*VLOOKUP('Données projet'!$B$9,Paramètres!$A$1:$I$89,7,0))</f>
        <v>0.22000000000000003</v>
      </c>
      <c r="X43" s="16">
        <f>IF(ISNA(VLOOKUP(A43,'Données projet'!$A$35:$I$55,6,0)),0%,VLOOKUP(A43,'Données projet'!$A$35:$I$55,6,0)*VLOOKUP('Données projet'!$B$9,Paramètres!$A$1:$I$89,7,0))</f>
        <v>0.16500000000000001</v>
      </c>
      <c r="Y43" s="16">
        <f>IF(ISNA(VLOOKUP(A43,'Données projet'!$A$35:$I$55,7,0)),0%,VLOOKUP(A43,'Données projet'!$A$35:$I$55,7,0))</f>
        <v>0.3</v>
      </c>
      <c r="Z43" s="21">
        <f>EXP(-LN(2)/35)*Z42+(1-EXP(-LN(2)/35))/(LN(2)/35)*V43*W43*VLOOKUP('Données projet'!$B$9,Paramètres!$A$1:$I$89,3,0)*0.475*44/12</f>
        <v>16.843884256382353</v>
      </c>
      <c r="AA43" s="21">
        <f>EXP(-LN(2)/25)*AA42+(1-EXP(-LN(2)/25))/(LN(2)/25)*Calculateur!V43*Calculateur!X43*VLOOKUP('Données projet'!$B$9,Paramètres!$A$1:$I$89,3,0)*0.475*44/12</f>
        <v>37.195037123533574</v>
      </c>
      <c r="AB43" s="21">
        <f>EXP(-LN(2)/2)*AB42+(1-EXP(-LN(2)/2))/(LN(2)/2)*V43*Y43*VLOOKUP('Données projet'!$B$9,Paramètres!$A$1:$I$89,3,0)*0.475*44/12</f>
        <v>17.261797161807444</v>
      </c>
      <c r="AC43" s="22">
        <f t="shared" si="3"/>
        <v>71.30071854172337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289</v>
      </c>
      <c r="AG43" s="12">
        <f>VLOOKUP(A43,'Données projet'!$A$61:$I$81,9,0)</f>
        <v>6.2</v>
      </c>
      <c r="AH43" s="12">
        <f t="array" ref="AH43">INDEX(AG:AG,MIN(IF(ISNUMBER(AG43:AG239),ROW(AG43:AG239),"")))</f>
        <v>6.2</v>
      </c>
      <c r="AI43" s="13">
        <f>IF('Données projet'!$A$62&gt;35,AI42+AH43-AQ42,IF(A43&lt;'Données projet'!$A$62,$AF$205^A43,IF(A43='Données projet'!$A$62,'Données projet'!$B$62,AI42+AH43-AQ42)))</f>
        <v>288.99999999999983</v>
      </c>
      <c r="AJ43" s="13">
        <f>AI43*VLOOKUP('Données projet'!$B$10,Paramètres!$A$1:$I$89,3,0)*VLOOKUP('Données projet'!$B$10,Paramètres!$A$1:$I$89,5,0)</f>
        <v>261.48719999999986</v>
      </c>
      <c r="AK43" s="13">
        <f t="shared" si="35"/>
        <v>63.039283586802334</v>
      </c>
      <c r="AL43" s="20">
        <f t="shared" si="4"/>
        <v>565.21695891368051</v>
      </c>
      <c r="AM43" s="59">
        <f t="shared" si="5"/>
        <v>813.0299727328013</v>
      </c>
      <c r="AN43" s="59">
        <f ca="1">AVERAGE(OFFSET($AM$3,0,0,'Données projet'!$E$10+1,1))-AVERAGE(OFFSET($H$3,0,0,'Données projet'!$E$10+1,1))</f>
        <v>376.97234030481559</v>
      </c>
      <c r="AO43" s="59">
        <f t="shared" si="36"/>
        <v>532.90758914457615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7</v>
      </c>
      <c r="AR43" s="16">
        <f>IF(ISNA(VLOOKUP(A43,'Données projet'!$A$61:$I$81,5,0)),0%,VLOOKUP(A43,'Données projet'!$A$61:$I$81,5,0)*VLOOKUP('Données projet'!$B$10,Paramètres!$A$1:$I$89,7,0))</f>
        <v>0.21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4.9836006553979004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4.9836006553979004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11.5</v>
      </c>
      <c r="BD43" s="12">
        <f>IF('Données projet'!$A$88&gt;35,BD42+BC43-BL42,IF(A43&lt;'Données projet'!$A$88,$BA$205^A43,IF(A43='Données projet'!$A$88,'Données projet'!$B$88,BD42+BC43-BL42)))</f>
        <v>232</v>
      </c>
      <c r="BE43" s="13">
        <f>BD43*VLOOKUP('Données projet'!$B$11,Paramètres!$A$1:$I$89,3,0)*VLOOKUP('Données projet'!$B$11,Paramètres!$A$1:$I$89,5,0)</f>
        <v>144.768</v>
      </c>
      <c r="BF43" s="13">
        <f t="shared" si="37"/>
        <v>37.387149255707826</v>
      </c>
      <c r="BG43" s="20">
        <f t="shared" si="7"/>
        <v>317.25355162035777</v>
      </c>
      <c r="BH43" s="59">
        <f t="shared" si="8"/>
        <v>565.06656543947861</v>
      </c>
      <c r="BI43" s="59">
        <f ca="1">AVERAGE(OFFSET($BH$3,0,0,'Données projet'!$E$11+1,1))-AVERAGE(OFFSET($H$3,0,0,'Données projet'!$E$11+1,1))</f>
        <v>256.72534545771862</v>
      </c>
      <c r="BJ43" s="59">
        <f t="shared" si="38"/>
        <v>362.34519377447361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15.698002907248545</v>
      </c>
      <c r="BQ43" s="21">
        <f>EXP(-LN(2)/25)*BQ42+(1-EXP(-LN(2)/25))/(LN(2)/25)*Calculateur!BL43*Calculateur!BN43*VLOOKUP('Données projet'!$B$11,Paramètres!$A$1:$I$89,3,0)*0.475*44/12</f>
        <v>29.490672129464226</v>
      </c>
      <c r="BR43" s="21">
        <f>EXP(-LN(2)/2)*BR42+(1-EXP(-LN(2)/2))/(LN(2)/2)*BL43*BO43*VLOOKUP('Données projet'!$B$11,Paramètres!$A$1:$I$89,3,0)*0.475*44/12</f>
        <v>3.7982714715299641</v>
      </c>
      <c r="BS43" s="22">
        <f t="shared" si="9"/>
        <v>48.986946508242738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514.80000000000018</v>
      </c>
      <c r="O44" s="13">
        <f>N44*VLOOKUP('Données projet'!$B$9,Paramètres!$A$1:$I$89,3,0)*VLOOKUP('Données projet'!$B$9,Paramètres!$A$1:$I$89,5,0)</f>
        <v>287.77320000000009</v>
      </c>
      <c r="P44" s="13">
        <f t="shared" si="33"/>
        <v>68.607082381743922</v>
      </c>
      <c r="Q44" s="20">
        <f t="shared" si="53"/>
        <v>620.69565848153741</v>
      </c>
      <c r="R44" s="59">
        <f t="shared" si="0"/>
        <v>869.29834807604141</v>
      </c>
      <c r="S44" s="59">
        <f ca="1">AVERAGE(OFFSET($R$3,0,0,'Données projet'!$E$9+1,1))-AVERAGE(OFFSET($H$3,0,0,'Données projet'!$E$9+1,1))</f>
        <v>459.83870442974046</v>
      </c>
      <c r="T44" s="59">
        <f t="shared" si="34"/>
        <v>565.68976940602215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16.513585959869641</v>
      </c>
      <c r="AA44" s="21">
        <f>EXP(-LN(2)/25)*AA43+(1-EXP(-LN(2)/25))/(LN(2)/25)*Calculateur!V44*Calculateur!X44*VLOOKUP('Données projet'!$B$9,Paramètres!$A$1:$I$89,3,0)*0.475*44/12</f>
        <v>36.177936877388554</v>
      </c>
      <c r="AB44" s="21">
        <f>EXP(-LN(2)/2)*AB43+(1-EXP(-LN(2)/2))/(LN(2)/2)*V44*Y44*VLOOKUP('Données projet'!$B$9,Paramètres!$A$1:$I$89,3,0)*0.475*44/12</f>
        <v>12.205933828580743</v>
      </c>
      <c r="AC44" s="22">
        <f t="shared" si="3"/>
        <v>64.897456665838931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</v>
      </c>
      <c r="AI44" s="13">
        <f>IF('Données projet'!$A$62&gt;35,AI43+AH44-AQ43,IF(A44&lt;'Données projet'!$A$62,$AF$205^A44,IF(A44='Données projet'!$A$62,'Données projet'!$B$62,AI43+AH44-AQ43)))</f>
        <v>287.99999999999983</v>
      </c>
      <c r="AJ44" s="13">
        <f>AI44*VLOOKUP('Données projet'!$B$10,Paramètres!$A$1:$I$89,3,0)*VLOOKUP('Données projet'!$B$10,Paramètres!$A$1:$I$89,5,0)</f>
        <v>260.58239999999984</v>
      </c>
      <c r="AK44" s="13">
        <f t="shared" si="35"/>
        <v>62.84650592989685</v>
      </c>
      <c r="AL44" s="20">
        <f t="shared" si="4"/>
        <v>563.30534449457014</v>
      </c>
      <c r="AM44" s="59">
        <f t="shared" si="5"/>
        <v>811.90803408907414</v>
      </c>
      <c r="AN44" s="59">
        <f ca="1">AVERAGE(OFFSET($AM$3,0,0,'Données projet'!$E$10+1,1))-AVERAGE(OFFSET($H$3,0,0,'Données projet'!$E$10+1,1))</f>
        <v>376.97234030481559</v>
      </c>
      <c r="AO44" s="59">
        <f t="shared" si="36"/>
        <v>532.90758914457615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4.8858752862418022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4.8858752862418022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</v>
      </c>
      <c r="BD44" s="12">
        <f>IF('Données projet'!$A$88&gt;35,BD43+BC44-BL43,IF(A44&lt;'Données projet'!$A$88,$BA$205^A44,IF(A44='Données projet'!$A$88,'Données projet'!$B$88,BD43+BC44-BL43)))</f>
        <v>243.5</v>
      </c>
      <c r="BE44" s="13">
        <f>BD44*VLOOKUP('Données projet'!$B$11,Paramètres!$A$1:$I$89,3,0)*VLOOKUP('Données projet'!$B$11,Paramètres!$A$1:$I$89,5,0)</f>
        <v>151.94399999999999</v>
      </c>
      <c r="BF44" s="13">
        <f t="shared" si="37"/>
        <v>39.02003496976517</v>
      </c>
      <c r="BG44" s="20">
        <f t="shared" si="7"/>
        <v>332.59569423900763</v>
      </c>
      <c r="BH44" s="59">
        <f t="shared" si="8"/>
        <v>581.19838383351157</v>
      </c>
      <c r="BI44" s="59">
        <f ca="1">AVERAGE(OFFSET($BH$3,0,0,'Données projet'!$E$11+1,1))-AVERAGE(OFFSET($H$3,0,0,'Données projet'!$E$11+1,1))</f>
        <v>256.72534545771862</v>
      </c>
      <c r="BJ44" s="59">
        <f t="shared" si="38"/>
        <v>362.34519377447361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15.390174645073738</v>
      </c>
      <c r="BQ44" s="21">
        <f>EXP(-LN(2)/25)*BQ43+(1-EXP(-LN(2)/25))/(LN(2)/25)*Calculateur!BL44*Calculateur!BN44*VLOOKUP('Données projet'!$B$11,Paramètres!$A$1:$I$89,3,0)*0.475*44/12</f>
        <v>28.684248149236982</v>
      </c>
      <c r="BR44" s="21">
        <f>EXP(-LN(2)/2)*BR43+(1-EXP(-LN(2)/2))/(LN(2)/2)*BL44*BO44*VLOOKUP('Données projet'!$B$11,Paramètres!$A$1:$I$89,3,0)*0.475*44/12</f>
        <v>2.6857835143062445</v>
      </c>
      <c r="BS44" s="22">
        <f t="shared" si="9"/>
        <v>46.760206308616965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537.60000000000014</v>
      </c>
      <c r="O45" s="13">
        <f>N45*VLOOKUP('Données projet'!$B$9,Paramètres!$A$1:$I$89,3,0)*VLOOKUP('Données projet'!$B$9,Paramètres!$A$1:$I$89,5,0)</f>
        <v>300.5184000000001</v>
      </c>
      <c r="P45" s="13">
        <f t="shared" si="33"/>
        <v>71.285129105116411</v>
      </c>
      <c r="Q45" s="20">
        <f t="shared" si="53"/>
        <v>647.55781319141124</v>
      </c>
      <c r="R45" s="59">
        <f t="shared" si="0"/>
        <v>896.936479452046</v>
      </c>
      <c r="S45" s="59">
        <f ca="1">AVERAGE(OFFSET($R$3,0,0,'Données projet'!$E$9+1,1))-AVERAGE(OFFSET($H$3,0,0,'Données projet'!$E$9+1,1))</f>
        <v>459.83870442974046</v>
      </c>
      <c r="T45" s="59">
        <f t="shared" si="34"/>
        <v>565.68976940602215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16.189764611489476</v>
      </c>
      <c r="AA45" s="21">
        <f>EXP(-LN(2)/25)*AA44+(1-EXP(-LN(2)/25))/(LN(2)/25)*Calculateur!V45*Calculateur!X45*VLOOKUP('Données projet'!$B$9,Paramètres!$A$1:$I$89,3,0)*0.475*44/12</f>
        <v>35.188649290961351</v>
      </c>
      <c r="AB45" s="21">
        <f>EXP(-LN(2)/2)*AB44+(1-EXP(-LN(2)/2))/(LN(2)/2)*V45*Y45*VLOOKUP('Données projet'!$B$9,Paramètres!$A$1:$I$89,3,0)*0.475*44/12</f>
        <v>8.6308985809037235</v>
      </c>
      <c r="AC45" s="22">
        <f t="shared" si="3"/>
        <v>60.009312483354556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</v>
      </c>
      <c r="AI45" s="13">
        <f>IF('Données projet'!$A$62&gt;35,AI44+AH45-AQ44,IF(A45&lt;'Données projet'!$A$62,$AF$205^A45,IF(A45='Données projet'!$A$62,'Données projet'!$B$62,AI44+AH45-AQ44)))</f>
        <v>293.99999999999983</v>
      </c>
      <c r="AJ45" s="13">
        <f>AI45*VLOOKUP('Données projet'!$B$10,Paramètres!$A$1:$I$89,3,0)*VLOOKUP('Données projet'!$B$10,Paramètres!$A$1:$I$89,5,0)</f>
        <v>266.01119999999986</v>
      </c>
      <c r="AK45" s="13">
        <f t="shared" si="35"/>
        <v>64.00201337612566</v>
      </c>
      <c r="AL45" s="20">
        <f t="shared" si="4"/>
        <v>574.77301329675186</v>
      </c>
      <c r="AM45" s="59">
        <f t="shared" si="5"/>
        <v>824.15167955738661</v>
      </c>
      <c r="AN45" s="59">
        <f ca="1">AVERAGE(OFFSET($AM$3,0,0,'Données projet'!$E$10+1,1))-AVERAGE(OFFSET($H$3,0,0,'Données projet'!$E$10+1,1))</f>
        <v>376.97234030481559</v>
      </c>
      <c r="AO45" s="59">
        <f t="shared" si="36"/>
        <v>532.90758914457615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4.7900662519682653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4.7900662519682653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255</v>
      </c>
      <c r="BB45" s="12">
        <f>VLOOKUP(A45,'Données projet'!$A$87:$I$107,9,0)</f>
        <v>11.5</v>
      </c>
      <c r="BC45" s="12">
        <f t="array" ref="BC45">INDEX(BB:BB,MIN(IF(ISNUMBER(BB45:BB241),ROW(BB45:BB241),"")))</f>
        <v>11.5</v>
      </c>
      <c r="BD45" s="12">
        <f>IF('Données projet'!$A$88&gt;35,BD44+BC45-BL44,IF(A45&lt;'Données projet'!$A$88,$BA$205^A45,IF(A45='Données projet'!$A$88,'Données projet'!$B$88,BD44+BC45-BL44)))</f>
        <v>255</v>
      </c>
      <c r="BE45" s="13">
        <f>BD45*VLOOKUP('Données projet'!$B$11,Paramètres!$A$1:$I$89,3,0)*VLOOKUP('Données projet'!$B$11,Paramètres!$A$1:$I$89,5,0)</f>
        <v>159.12</v>
      </c>
      <c r="BF45" s="13">
        <f t="shared" si="37"/>
        <v>40.643965284387697</v>
      </c>
      <c r="BG45" s="20">
        <f t="shared" si="7"/>
        <v>347.92223953697521</v>
      </c>
      <c r="BH45" s="59">
        <f t="shared" si="8"/>
        <v>597.30090579760997</v>
      </c>
      <c r="BI45" s="59">
        <f ca="1">AVERAGE(OFFSET($BH$3,0,0,'Données projet'!$E$11+1,1))-AVERAGE(OFFSET($H$3,0,0,'Données projet'!$E$11+1,1))</f>
        <v>256.72534545771862</v>
      </c>
      <c r="BJ45" s="59">
        <f t="shared" si="38"/>
        <v>362.34519377447361</v>
      </c>
      <c r="BK45" s="15">
        <f>IF(ISNA(VLOOKUP(A45,'Données projet'!$A$87:$I$107,3,0)),0,VLOOKUP(A45,'Données projet'!$A$87:$I$107,3,0))</f>
        <v>6</v>
      </c>
      <c r="BL45" s="15">
        <f>IF(ISNA(VLOOKUP(A45,'Données projet'!$A$87:$I$107,4,0)),0,VLOOKUP(A45,'Données projet'!$A$87:$I$107,4,0))</f>
        <v>67</v>
      </c>
      <c r="BM45" s="16">
        <f>IF(ISNA(VLOOKUP(A45,'Données projet'!$A$87:$I$107,5,0)),0%,VLOOKUP(A45,'Données projet'!$A$87:$I$107,5,0)*VLOOKUP('Données projet'!$B$11,Paramètres!$A$1:$I$89,7,0))</f>
        <v>0.36</v>
      </c>
      <c r="BN45" s="16">
        <f>IF(ISNA(VLOOKUP(A45,'Données projet'!$A$87:$I$107,6,0)),0%,VLOOKUP(A45,'Données projet'!$A$87:$I$107,6,0)*VLOOKUP('Données projet'!$B$11,Paramètres!$A$1:$I$89,7,0))</f>
        <v>0.12</v>
      </c>
      <c r="BO45" s="16">
        <f>IF(ISNA(VLOOKUP(A45,'Données projet'!$A$87:$I$107,7,0)),0%,VLOOKUP(A45,'Données projet'!$A$87:$I$107,7,0))</f>
        <v>0.2</v>
      </c>
      <c r="BP45" s="21">
        <f>EXP(-LN(2)/35)*BP44+(1-EXP(-LN(2)/35))/(LN(2)/35)*BL45*BM45*VLOOKUP('Données projet'!$B$11,Paramètres!$A$1:$I$89,3,0)*0.475*44/12</f>
        <v>35.054345138449349</v>
      </c>
      <c r="BQ45" s="21">
        <f>EXP(-LN(2)/25)*BQ44+(1-EXP(-LN(2)/25))/(LN(2)/25)*Calculateur!BL45*Calculateur!BN45*VLOOKUP('Données projet'!$B$11,Paramètres!$A$1:$I$89,3,0)*0.475*44/12</f>
        <v>34.52899215161257</v>
      </c>
      <c r="BR45" s="21">
        <f>EXP(-LN(2)/2)*BR44+(1-EXP(-LN(2)/2))/(LN(2)/2)*BL45*BO45*VLOOKUP('Données projet'!$B$11,Paramètres!$A$1:$I$89,3,0)*0.475*44/12</f>
        <v>11.366409314762279</v>
      </c>
      <c r="BS45" s="22">
        <f t="shared" si="9"/>
        <v>80.949746604824199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560.40000000000009</v>
      </c>
      <c r="O46" s="13">
        <f>N46*VLOOKUP('Données projet'!$B$9,Paramètres!$A$1:$I$89,3,0)*VLOOKUP('Données projet'!$B$9,Paramètres!$A$1:$I$89,5,0)</f>
        <v>313.26360000000005</v>
      </c>
      <c r="P46" s="13">
        <f t="shared" si="33"/>
        <v>73.949983766039026</v>
      </c>
      <c r="Q46" s="20">
        <f t="shared" si="53"/>
        <v>674.39699172585131</v>
      </c>
      <c r="R46" s="59">
        <f t="shared" si="0"/>
        <v>924.53817319228335</v>
      </c>
      <c r="S46" s="59">
        <f ca="1">AVERAGE(OFFSET($R$3,0,0,'Données projet'!$E$9+1,1))-AVERAGE(OFFSET($H$3,0,0,'Données projet'!$E$9+1,1))</f>
        <v>459.83870442974046</v>
      </c>
      <c r="T46" s="59">
        <f t="shared" si="34"/>
        <v>565.68976940602215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15.872293202239527</v>
      </c>
      <c r="AA46" s="21">
        <f>EXP(-LN(2)/25)*AA45+(1-EXP(-LN(2)/25))/(LN(2)/25)*Calculateur!V46*Calculateur!X46*VLOOKUP('Données projet'!$B$9,Paramètres!$A$1:$I$89,3,0)*0.475*44/12</f>
        <v>34.22641382560937</v>
      </c>
      <c r="AB46" s="21">
        <f>EXP(-LN(2)/2)*AB45+(1-EXP(-LN(2)/2))/(LN(2)/2)*V46*Y46*VLOOKUP('Données projet'!$B$9,Paramètres!$A$1:$I$89,3,0)*0.475*44/12</f>
        <v>6.1029669142903735</v>
      </c>
      <c r="AC46" s="22">
        <f t="shared" si="3"/>
        <v>56.201673942139266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</v>
      </c>
      <c r="AI46" s="13">
        <f>IF('Données projet'!$A$62&gt;35,AI45+AH46-AQ45,IF(A46&lt;'Données projet'!$A$62,$AF$205^A46,IF(A46='Données projet'!$A$62,'Données projet'!$B$62,AI45+AH46-AQ45)))</f>
        <v>299.99999999999983</v>
      </c>
      <c r="AJ46" s="13">
        <f>AI46*VLOOKUP('Données projet'!$B$10,Paramètres!$A$1:$I$89,3,0)*VLOOKUP('Données projet'!$B$10,Paramètres!$A$1:$I$89,5,0)</f>
        <v>271.43999999999983</v>
      </c>
      <c r="AK46" s="13">
        <f t="shared" si="35"/>
        <v>65.154778959151173</v>
      </c>
      <c r="AL46" s="20">
        <f t="shared" si="4"/>
        <v>586.23590668718793</v>
      </c>
      <c r="AM46" s="59">
        <f t="shared" si="5"/>
        <v>836.37708815361998</v>
      </c>
      <c r="AN46" s="59">
        <f ca="1">AVERAGE(OFFSET($AM$3,0,0,'Données projet'!$E$10+1,1))-AVERAGE(OFFSET($H$3,0,0,'Données projet'!$E$10+1,1))</f>
        <v>376.97234030481559</v>
      </c>
      <c r="AO46" s="59">
        <f t="shared" si="36"/>
        <v>532.90758914457615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4.696135974419092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4.696135974419092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10.666666666666666</v>
      </c>
      <c r="BD46" s="12">
        <f>IF('Données projet'!$A$88&gt;35,BD45+BC46-BL45,IF(A46&lt;'Données projet'!$A$88,$BA$205^A46,IF(A46='Données projet'!$A$88,'Données projet'!$B$88,BD45+BC46-BL45)))</f>
        <v>198.66666666666669</v>
      </c>
      <c r="BE46" s="13">
        <f>BD46*VLOOKUP('Données projet'!$B$11,Paramètres!$A$1:$I$89,3,0)*VLOOKUP('Données projet'!$B$11,Paramètres!$A$1:$I$89,5,0)</f>
        <v>123.968</v>
      </c>
      <c r="BF46" s="13">
        <f t="shared" si="37"/>
        <v>32.598710622532096</v>
      </c>
      <c r="BG46" s="20">
        <f t="shared" si="7"/>
        <v>272.68702100091008</v>
      </c>
      <c r="BH46" s="59">
        <f t="shared" si="8"/>
        <v>522.82820246734218</v>
      </c>
      <c r="BI46" s="59">
        <f ca="1">AVERAGE(OFFSET($BH$3,0,0,'Données projet'!$E$11+1,1))-AVERAGE(OFFSET($H$3,0,0,'Données projet'!$E$11+1,1))</f>
        <v>256.72534545771862</v>
      </c>
      <c r="BJ46" s="59">
        <f t="shared" si="38"/>
        <v>362.34519377447361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34.36695081132369</v>
      </c>
      <c r="BQ46" s="21">
        <f>EXP(-LN(2)/25)*BQ45+(1-EXP(-LN(2)/25))/(LN(2)/25)*Calculateur!BL46*Calculateur!BN46*VLOOKUP('Données projet'!$B$11,Paramètres!$A$1:$I$89,3,0)*0.475*44/12</f>
        <v>33.584795045425942</v>
      </c>
      <c r="BR46" s="21">
        <f>EXP(-LN(2)/2)*BR45+(1-EXP(-LN(2)/2))/(LN(2)/2)*BL46*BO46*VLOOKUP('Données projet'!$B$11,Paramètres!$A$1:$I$89,3,0)*0.475*44/12</f>
        <v>8.0372651042103467</v>
      </c>
      <c r="BS46" s="22">
        <f t="shared" si="9"/>
        <v>75.989010960959973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583.20000000000005</v>
      </c>
      <c r="O47" s="13">
        <f>N47*VLOOKUP('Données projet'!$B$9,Paramètres!$A$1:$I$89,3,0)*VLOOKUP('Données projet'!$B$9,Paramètres!$A$1:$I$89,5,0)</f>
        <v>326.00880000000001</v>
      </c>
      <c r="P47" s="13">
        <f t="shared" si="33"/>
        <v>76.602244480772981</v>
      </c>
      <c r="Q47" s="20">
        <f t="shared" si="53"/>
        <v>701.2142358040129</v>
      </c>
      <c r="R47" s="59">
        <f t="shared" si="0"/>
        <v>952.10470454215033</v>
      </c>
      <c r="S47" s="59">
        <f ca="1">AVERAGE(OFFSET($R$3,0,0,'Données projet'!$E$9+1,1))-AVERAGE(OFFSET($H$3,0,0,'Données projet'!$E$9+1,1))</f>
        <v>459.83870442974046</v>
      </c>
      <c r="T47" s="59">
        <f t="shared" si="34"/>
        <v>565.68976940602215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15.56104721368653</v>
      </c>
      <c r="AA47" s="21">
        <f>EXP(-LN(2)/25)*AA46+(1-EXP(-LN(2)/25))/(LN(2)/25)*Calculateur!V47*Calculateur!X47*VLOOKUP('Données projet'!$B$9,Paramètres!$A$1:$I$89,3,0)*0.475*44/12</f>
        <v>33.290490739659205</v>
      </c>
      <c r="AB47" s="21">
        <f>EXP(-LN(2)/2)*AB46+(1-EXP(-LN(2)/2))/(LN(2)/2)*V47*Y47*VLOOKUP('Données projet'!$B$9,Paramètres!$A$1:$I$89,3,0)*0.475*44/12</f>
        <v>4.3154492904518627</v>
      </c>
      <c r="AC47" s="22">
        <f t="shared" si="3"/>
        <v>53.166987243797593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</v>
      </c>
      <c r="AI47" s="13">
        <f>IF('Données projet'!$A$62&gt;35,AI46+AH47-AQ46,IF(A47&lt;'Données projet'!$A$62,$AF$205^A47,IF(A47='Données projet'!$A$62,'Données projet'!$B$62,AI46+AH47-AQ46)))</f>
        <v>305.99999999999983</v>
      </c>
      <c r="AJ47" s="13">
        <f>AI47*VLOOKUP('Données projet'!$B$10,Paramètres!$A$1:$I$89,3,0)*VLOOKUP('Données projet'!$B$10,Paramètres!$A$1:$I$89,5,0)</f>
        <v>276.86879999999979</v>
      </c>
      <c r="AK47" s="13">
        <f t="shared" si="35"/>
        <v>66.304863836318603</v>
      </c>
      <c r="AL47" s="20">
        <f t="shared" si="4"/>
        <v>597.69413118158775</v>
      </c>
      <c r="AM47" s="59">
        <f t="shared" si="5"/>
        <v>848.58459991972518</v>
      </c>
      <c r="AN47" s="59">
        <f ca="1">AVERAGE(OFFSET($AM$3,0,0,'Données projet'!$E$10+1,1))-AVERAGE(OFFSET($H$3,0,0,'Données projet'!$E$10+1,1))</f>
        <v>376.97234030481559</v>
      </c>
      <c r="AO47" s="59">
        <f t="shared" si="36"/>
        <v>532.90758914457615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4.604047612320846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4.604047612320846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10.666666666666666</v>
      </c>
      <c r="BD47" s="12">
        <f>IF('Données projet'!$A$88&gt;35,BD46+BC47-BL46,IF(A47&lt;'Données projet'!$A$88,$BA$205^A47,IF(A47='Données projet'!$A$88,'Données projet'!$B$88,BD46+BC47-BL46)))</f>
        <v>209.33333333333334</v>
      </c>
      <c r="BE47" s="13">
        <f>BD47*VLOOKUP('Données projet'!$B$11,Paramètres!$A$1:$I$89,3,0)*VLOOKUP('Données projet'!$B$11,Paramètres!$A$1:$I$89,5,0)</f>
        <v>130.62400000000002</v>
      </c>
      <c r="BF47" s="13">
        <f t="shared" si="37"/>
        <v>34.140507202645395</v>
      </c>
      <c r="BG47" s="20">
        <f t="shared" si="7"/>
        <v>286.96485004460743</v>
      </c>
      <c r="BH47" s="59">
        <f t="shared" si="8"/>
        <v>537.85531878274492</v>
      </c>
      <c r="BI47" s="59">
        <f ca="1">AVERAGE(OFFSET($BH$3,0,0,'Données projet'!$E$11+1,1))-AVERAGE(OFFSET($H$3,0,0,'Données projet'!$E$11+1,1))</f>
        <v>256.72534545771862</v>
      </c>
      <c r="BJ47" s="59">
        <f t="shared" si="38"/>
        <v>362.34519377447361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33.693035867683825</v>
      </c>
      <c r="BQ47" s="21">
        <f>EXP(-LN(2)/25)*BQ46+(1-EXP(-LN(2)/25))/(LN(2)/25)*Calculateur!BL47*Calculateur!BN47*VLOOKUP('Données projet'!$B$11,Paramètres!$A$1:$I$89,3,0)*0.475*44/12</f>
        <v>32.666417058761155</v>
      </c>
      <c r="BR47" s="21">
        <f>EXP(-LN(2)/2)*BR46+(1-EXP(-LN(2)/2))/(LN(2)/2)*BL47*BO47*VLOOKUP('Données projet'!$B$11,Paramètres!$A$1:$I$89,3,0)*0.475*44/12</f>
        <v>5.6832046573811397</v>
      </c>
      <c r="BS47" s="22">
        <f t="shared" si="9"/>
        <v>72.042657583826127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606</v>
      </c>
      <c r="L48" s="12">
        <f>VLOOKUP(A48,'Données projet'!$A$35:$I$55,9,0)</f>
        <v>22.8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606</v>
      </c>
      <c r="O48" s="13">
        <f>N48*VLOOKUP('Données projet'!$B$9,Paramètres!$A$1:$I$89,3,0)*VLOOKUP('Données projet'!$B$9,Paramètres!$A$1:$I$89,5,0)</f>
        <v>338.75400000000002</v>
      </c>
      <c r="P48" s="13">
        <f t="shared" si="33"/>
        <v>79.242459951408904</v>
      </c>
      <c r="Q48" s="20">
        <f t="shared" si="53"/>
        <v>728.01050108203719</v>
      </c>
      <c r="R48" s="59">
        <f t="shared" si="0"/>
        <v>979.63725863287129</v>
      </c>
      <c r="S48" s="59">
        <f ca="1">AVERAGE(OFFSET($R$3,0,0,'Données projet'!$E$9+1,1))-AVERAGE(OFFSET($H$3,0,0,'Données projet'!$E$9+1,1))</f>
        <v>459.83870442974046</v>
      </c>
      <c r="T48" s="59">
        <f t="shared" si="34"/>
        <v>565.68976940602215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66</v>
      </c>
      <c r="W48" s="16">
        <f>IF(ISNA(VLOOKUP(A48,'Données projet'!$A$35:$I$55,5,0)),0%,VLOOKUP(A48,'Données projet'!$A$35:$I$55,5,0)*VLOOKUP('Données projet'!$B$9,Paramètres!$A$1:$I$89,7,0))</f>
        <v>0.27500000000000002</v>
      </c>
      <c r="X48" s="16">
        <f>IF(ISNA(VLOOKUP(A48,'Données projet'!$A$35:$I$55,6,0)),0%,VLOOKUP(A48,'Données projet'!$A$35:$I$55,6,0)*VLOOKUP('Données projet'!$B$9,Paramètres!$A$1:$I$89,7,0))</f>
        <v>0.16500000000000001</v>
      </c>
      <c r="Y48" s="16">
        <f>IF(ISNA(VLOOKUP(A48,'Données projet'!$A$35:$I$55,7,0)),0%,VLOOKUP(A48,'Données projet'!$A$35:$I$55,7,0))</f>
        <v>0.2</v>
      </c>
      <c r="Z48" s="21">
        <f>EXP(-LN(2)/35)*Z47+(1-EXP(-LN(2)/35))/(LN(2)/35)*V48*W48*VLOOKUP('Données projet'!$B$9,Paramètres!$A$1:$I$89,3,0)*0.475*44/12</f>
        <v>28.715028549349011</v>
      </c>
      <c r="AA48" s="21">
        <f>EXP(-LN(2)/25)*AA47+(1-EXP(-LN(2)/25))/(LN(2)/25)*Calculateur!V48*Calculateur!X48*VLOOKUP('Données projet'!$B$9,Paramètres!$A$1:$I$89,3,0)*0.475*44/12</f>
        <v>40.423838688182109</v>
      </c>
      <c r="AB48" s="21">
        <f>EXP(-LN(2)/2)*AB47+(1-EXP(-LN(2)/2))/(LN(2)/2)*V48*Y48*VLOOKUP('Données projet'!$B$9,Paramètres!$A$1:$I$89,3,0)*0.475*44/12</f>
        <v>11.405999134133474</v>
      </c>
      <c r="AC48" s="22">
        <f t="shared" si="3"/>
        <v>80.544866371664597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312</v>
      </c>
      <c r="AG48" s="12">
        <f>VLOOKUP(A48,'Données projet'!$A$61:$I$81,9,0)</f>
        <v>6</v>
      </c>
      <c r="AH48" s="12">
        <f t="array" ref="AH48">INDEX(AG:AG,MIN(IF(ISNUMBER(AG48:AG244),ROW(AG48:AG244),"")))</f>
        <v>6</v>
      </c>
      <c r="AI48" s="13">
        <f>IF('Données projet'!$A$62&gt;35,AI47+AH48-AQ47,IF(A48&lt;'Données projet'!$A$62,$AF$205^A48,IF(A48='Données projet'!$A$62,'Données projet'!$B$62,AI47+AH48-AQ47)))</f>
        <v>311.99999999999983</v>
      </c>
      <c r="AJ48" s="13">
        <f>AI48*VLOOKUP('Données projet'!$B$10,Paramètres!$A$1:$I$89,3,0)*VLOOKUP('Données projet'!$B$10,Paramètres!$A$1:$I$89,5,0)</f>
        <v>282.29759999999982</v>
      </c>
      <c r="AK48" s="13">
        <f t="shared" si="35"/>
        <v>67.452326629470107</v>
      </c>
      <c r="AL48" s="20">
        <f t="shared" si="4"/>
        <v>609.1477888796602</v>
      </c>
      <c r="AM48" s="59">
        <f t="shared" si="5"/>
        <v>860.7745464304943</v>
      </c>
      <c r="AN48" s="59">
        <f ca="1">AVERAGE(OFFSET($AM$3,0,0,'Données projet'!$E$10+1,1))-AVERAGE(OFFSET($H$3,0,0,'Données projet'!$E$10+1,1))</f>
        <v>376.97234030481559</v>
      </c>
      <c r="AO48" s="59">
        <f t="shared" si="36"/>
        <v>532.90758914457615</v>
      </c>
      <c r="AP48" s="15" t="str">
        <f>IF(ISNA(VLOOKUP(A48,'Données projet'!$A$61:$I$81,3,0)),0,VLOOKUP(A48,'Données projet'!$A$61:$I$81,3,0))</f>
        <v>CR</v>
      </c>
      <c r="AQ48" s="15">
        <f>IF(ISNA(VLOOKUP(A48,'Données projet'!$A$61:$I$81,4,0)),0,VLOOKUP(A48,'Données projet'!$A$61:$I$81,4,0))</f>
        <v>312</v>
      </c>
      <c r="AR48" s="16">
        <f>IF(ISNA(VLOOKUP(A48,'Données projet'!$A$61:$I$81,5,0)),0%,VLOOKUP(A48,'Données projet'!$A$61:$I$81,5,0)*VLOOKUP('Données projet'!$B$10,Paramètres!$A$1:$I$89,7,0))</f>
        <v>0.21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70.048808399615595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70.048808399615595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10.666666666666666</v>
      </c>
      <c r="BD48" s="12">
        <f>IF('Données projet'!$A$88&gt;35,BD47+BC48-BL47,IF(A48&lt;'Données projet'!$A$88,$BA$205^A48,IF(A48='Données projet'!$A$88,'Données projet'!$B$88,BD47+BC48-BL47)))</f>
        <v>220</v>
      </c>
      <c r="BE48" s="13">
        <f>BD48*VLOOKUP('Données projet'!$B$11,Paramètres!$A$1:$I$89,3,0)*VLOOKUP('Données projet'!$B$11,Paramètres!$A$1:$I$89,5,0)</f>
        <v>137.28</v>
      </c>
      <c r="BF48" s="13">
        <f t="shared" si="37"/>
        <v>35.673181961873446</v>
      </c>
      <c r="BG48" s="20">
        <f t="shared" si="7"/>
        <v>301.22679191692959</v>
      </c>
      <c r="BH48" s="59">
        <f t="shared" si="8"/>
        <v>552.85354946776374</v>
      </c>
      <c r="BI48" s="59">
        <f ca="1">AVERAGE(OFFSET($BH$3,0,0,'Données projet'!$E$11+1,1))-AVERAGE(OFFSET($H$3,0,0,'Données projet'!$E$11+1,1))</f>
        <v>256.72534545771862</v>
      </c>
      <c r="BJ48" s="59">
        <f t="shared" si="38"/>
        <v>362.34519377447361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33.032335985041207</v>
      </c>
      <c r="BQ48" s="21">
        <f>EXP(-LN(2)/25)*BQ47+(1-EXP(-LN(2)/25))/(LN(2)/25)*Calculateur!BL48*Calculateur!BN48*VLOOKUP('Données projet'!$B$11,Paramètres!$A$1:$I$89,3,0)*0.475*44/12</f>
        <v>31.773152166437118</v>
      </c>
      <c r="BR48" s="21">
        <f>EXP(-LN(2)/2)*BR47+(1-EXP(-LN(2)/2))/(LN(2)/2)*BL48*BO48*VLOOKUP('Données projet'!$B$11,Paramètres!$A$1:$I$89,3,0)*0.475*44/12</f>
        <v>4.0186325521051733</v>
      </c>
      <c r="BS48" s="22">
        <f t="shared" si="9"/>
        <v>68.824120703583503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17.8</v>
      </c>
      <c r="N49" s="13">
        <f>IF('Données projet'!$A$36&gt;35,N48+M49-V48,IF(A49&lt;'Données projet'!$A$36,$K$205^A49,IF(A49='Données projet'!$A$36,'Données projet'!$B$36,N48+M49-V48)))</f>
        <v>557.79999999999995</v>
      </c>
      <c r="O49" s="13">
        <f>N49*VLOOKUP('Données projet'!$B$9,Paramètres!$A$1:$I$89,3,0)*VLOOKUP('Données projet'!$B$9,Paramètres!$A$1:$I$89,5,0)</f>
        <v>311.81020000000001</v>
      </c>
      <c r="P49" s="13">
        <f t="shared" si="33"/>
        <v>73.646743780370684</v>
      </c>
      <c r="Q49" s="20">
        <f t="shared" si="53"/>
        <v>671.33751041747894</v>
      </c>
      <c r="R49" s="59">
        <f t="shared" si="0"/>
        <v>923.68778381620461</v>
      </c>
      <c r="S49" s="59">
        <f ca="1">AVERAGE(OFFSET($R$3,0,0,'Données projet'!$E$9+1,1))-AVERAGE(OFFSET($H$3,0,0,'Données projet'!$E$9+1,1))</f>
        <v>459.83870442974046</v>
      </c>
      <c r="T49" s="59">
        <f t="shared" si="34"/>
        <v>565.68976940602215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28.151944353934283</v>
      </c>
      <c r="AA49" s="21">
        <f>EXP(-LN(2)/25)*AA48+(1-EXP(-LN(2)/25))/(LN(2)/25)*Calculateur!V49*Calculateur!X49*VLOOKUP('Données projet'!$B$9,Paramètres!$A$1:$I$89,3,0)*0.475*44/12</f>
        <v>39.31844669345648</v>
      </c>
      <c r="AB49" s="21">
        <f>EXP(-LN(2)/2)*AB48+(1-EXP(-LN(2)/2))/(LN(2)/2)*V49*Y49*VLOOKUP('Données projet'!$B$9,Paramètres!$A$1:$I$89,3,0)*0.475*44/12</f>
        <v>8.0652593339536693</v>
      </c>
      <c r="AC49" s="22">
        <f t="shared" si="3"/>
        <v>75.535650381344425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-1.7053025658242404E-13</v>
      </c>
      <c r="AJ49" s="13">
        <f>AI49*VLOOKUP('Données projet'!$B$10,Paramètres!$A$1:$I$89,3,0)*VLOOKUP('Données projet'!$B$10,Paramètres!$A$1:$I$89,5,0)</f>
        <v>-1.5429577615577727E-13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376.97234030481559</v>
      </c>
      <c r="AO49" s="59">
        <f t="shared" si="36"/>
        <v>532.90758914457615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68.675193992453458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68.675193992453458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10.666666666666666</v>
      </c>
      <c r="BD49" s="12">
        <f>IF('Données projet'!$A$88&gt;35,BD48+BC49-BL48,IF(A49&lt;'Données projet'!$A$88,$BA$205^A49,IF(A49='Données projet'!$A$88,'Données projet'!$B$88,BD48+BC49-BL48)))</f>
        <v>230.66666666666666</v>
      </c>
      <c r="BE49" s="13">
        <f>BD49*VLOOKUP('Données projet'!$B$11,Paramètres!$A$1:$I$89,3,0)*VLOOKUP('Données projet'!$B$11,Paramètres!$A$1:$I$89,5,0)</f>
        <v>143.93599999999998</v>
      </c>
      <c r="BF49" s="13">
        <f t="shared" si="37"/>
        <v>37.197227655019397</v>
      </c>
      <c r="BG49" s="20">
        <f t="shared" si="7"/>
        <v>315.47370483249205</v>
      </c>
      <c r="BH49" s="59">
        <f t="shared" si="8"/>
        <v>567.82397823121767</v>
      </c>
      <c r="BI49" s="59">
        <f ca="1">AVERAGE(OFFSET($BH$3,0,0,'Données projet'!$E$11+1,1))-AVERAGE(OFFSET($H$3,0,0,'Données projet'!$E$11+1,1))</f>
        <v>256.72534545771862</v>
      </c>
      <c r="BJ49" s="59">
        <f t="shared" si="38"/>
        <v>362.34519377447361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32.384592024110077</v>
      </c>
      <c r="BQ49" s="21">
        <f>EXP(-LN(2)/25)*BQ48+(1-EXP(-LN(2)/25))/(LN(2)/25)*Calculateur!BL49*Calculateur!BN49*VLOOKUP('Données projet'!$B$11,Paramètres!$A$1:$I$89,3,0)*0.475*44/12</f>
        <v>30.90431364956844</v>
      </c>
      <c r="BR49" s="21">
        <f>EXP(-LN(2)/2)*BR48+(1-EXP(-LN(2)/2))/(LN(2)/2)*BL49*BO49*VLOOKUP('Données projet'!$B$11,Paramètres!$A$1:$I$89,3,0)*0.475*44/12</f>
        <v>2.8416023286905698</v>
      </c>
      <c r="BS49" s="22">
        <f t="shared" si="9"/>
        <v>66.130508002369083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17.8</v>
      </c>
      <c r="N50" s="13">
        <f>IF('Données projet'!$A$36&gt;35,N49+M50-V49,IF(A50&lt;'Données projet'!$A$36,$K$205^A50,IF(A50='Données projet'!$A$36,'Données projet'!$B$36,N49+M50-V49)))</f>
        <v>575.59999999999991</v>
      </c>
      <c r="O50" s="13">
        <f>N50*VLOOKUP('Données projet'!$B$9,Paramètres!$A$1:$I$89,3,0)*VLOOKUP('Données projet'!$B$9,Paramètres!$A$1:$I$89,5,0)</f>
        <v>321.76039999999995</v>
      </c>
      <c r="P50" s="13">
        <f t="shared" si="33"/>
        <v>75.719522083505169</v>
      </c>
      <c r="Q50" s="20">
        <f t="shared" si="53"/>
        <v>692.27753096210472</v>
      </c>
      <c r="R50" s="59">
        <f t="shared" si="0"/>
        <v>945.33876882630011</v>
      </c>
      <c r="S50" s="59">
        <f ca="1">AVERAGE(OFFSET($R$3,0,0,'Données projet'!$E$9+1,1))-AVERAGE(OFFSET($H$3,0,0,'Données projet'!$E$9+1,1))</f>
        <v>459.83870442974046</v>
      </c>
      <c r="T50" s="59">
        <f t="shared" si="34"/>
        <v>565.68976940602215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27.599901896144193</v>
      </c>
      <c r="AA50" s="21">
        <f>EXP(-LN(2)/25)*AA49+(1-EXP(-LN(2)/25))/(LN(2)/25)*Calculateur!V50*Calculateur!X50*VLOOKUP('Données projet'!$B$9,Paramètres!$A$1:$I$89,3,0)*0.475*44/12</f>
        <v>38.243281700956665</v>
      </c>
      <c r="AB50" s="21">
        <f>EXP(-LN(2)/2)*AB49+(1-EXP(-LN(2)/2))/(LN(2)/2)*V50*Y50*VLOOKUP('Données projet'!$B$9,Paramètres!$A$1:$I$89,3,0)*0.475*44/12</f>
        <v>5.7029995670667377</v>
      </c>
      <c r="AC50" s="22">
        <f t="shared" si="3"/>
        <v>71.546183164167601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-1.7053025658242404E-13</v>
      </c>
      <c r="AJ50" s="13">
        <f>AI50*VLOOKUP('Données projet'!$B$10,Paramètres!$A$1:$I$89,3,0)*VLOOKUP('Données projet'!$B$10,Paramètres!$A$1:$I$89,5,0)</f>
        <v>-1.5429577615577727E-13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376.97234030481559</v>
      </c>
      <c r="AO50" s="59">
        <f t="shared" si="36"/>
        <v>532.90758914457615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67.328515325993706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67.328515325993706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10.666666666666666</v>
      </c>
      <c r="BD50" s="12">
        <f>IF('Données projet'!$A$88&gt;35,BD49+BC50-BL49,IF(A50&lt;'Données projet'!$A$88,$BA$205^A50,IF(A50='Données projet'!$A$88,'Données projet'!$B$88,BD49+BC50-BL49)))</f>
        <v>241.33333333333331</v>
      </c>
      <c r="BE50" s="13">
        <f>BD50*VLOOKUP('Données projet'!$B$11,Paramètres!$A$1:$I$89,3,0)*VLOOKUP('Données projet'!$B$11,Paramètres!$A$1:$I$89,5,0)</f>
        <v>150.59199999999998</v>
      </c>
      <c r="BF50" s="13">
        <f t="shared" si="37"/>
        <v>38.713088888505631</v>
      </c>
      <c r="BG50" s="20">
        <f t="shared" si="7"/>
        <v>329.70636314748066</v>
      </c>
      <c r="BH50" s="59">
        <f t="shared" si="8"/>
        <v>582.76760101167611</v>
      </c>
      <c r="BI50" s="59">
        <f ca="1">AVERAGE(OFFSET($BH$3,0,0,'Données projet'!$E$11+1,1))-AVERAGE(OFFSET($H$3,0,0,'Données projet'!$E$11+1,1))</f>
        <v>256.72534545771862</v>
      </c>
      <c r="BJ50" s="59">
        <f t="shared" si="38"/>
        <v>362.34519377447361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31.749549927168001</v>
      </c>
      <c r="BQ50" s="21">
        <f>EXP(-LN(2)/25)*BQ49+(1-EXP(-LN(2)/25))/(LN(2)/25)*Calculateur!BL50*Calculateur!BN50*VLOOKUP('Données projet'!$B$11,Paramètres!$A$1:$I$89,3,0)*0.475*44/12</f>
        <v>30.059233567633768</v>
      </c>
      <c r="BR50" s="21">
        <f>EXP(-LN(2)/2)*BR49+(1-EXP(-LN(2)/2))/(LN(2)/2)*BL50*BO50*VLOOKUP('Données projet'!$B$11,Paramètres!$A$1:$I$89,3,0)*0.475*44/12</f>
        <v>2.0093162760525867</v>
      </c>
      <c r="BS50" s="22">
        <f t="shared" si="9"/>
        <v>63.81809977085436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17.8</v>
      </c>
      <c r="N51" s="13">
        <f>IF('Données projet'!$A$36&gt;35,N50+M51-V50,IF(A51&lt;'Données projet'!$A$36,$K$205^A51,IF(A51='Données projet'!$A$36,'Données projet'!$B$36,N50+M51-V50)))</f>
        <v>593.39999999999986</v>
      </c>
      <c r="O51" s="13">
        <f>N51*VLOOKUP('Données projet'!$B$9,Paramètres!$A$1:$I$89,3,0)*VLOOKUP('Données projet'!$B$9,Paramètres!$A$1:$I$89,5,0)</f>
        <v>331.71059999999994</v>
      </c>
      <c r="P51" s="13">
        <f t="shared" si="33"/>
        <v>77.784851407016433</v>
      </c>
      <c r="Q51" s="20">
        <f t="shared" si="53"/>
        <v>713.20457786722011</v>
      </c>
      <c r="R51" s="59">
        <f t="shared" si="0"/>
        <v>966.96444655288781</v>
      </c>
      <c r="S51" s="59">
        <f ca="1">AVERAGE(OFFSET($R$3,0,0,'Données projet'!$E$9+1,1))-AVERAGE(OFFSET($H$3,0,0,'Données projet'!$E$9+1,1))</f>
        <v>459.83870442974046</v>
      </c>
      <c r="T51" s="59">
        <f t="shared" si="34"/>
        <v>565.68976940602215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27.058684654238714</v>
      </c>
      <c r="AA51" s="21">
        <f>EXP(-LN(2)/25)*AA50+(1-EXP(-LN(2)/25))/(LN(2)/25)*Calculateur!V51*Calculateur!X51*VLOOKUP('Données projet'!$B$9,Paramètres!$A$1:$I$89,3,0)*0.475*44/12</f>
        <v>37.197517151717229</v>
      </c>
      <c r="AB51" s="21">
        <f>EXP(-LN(2)/2)*AB50+(1-EXP(-LN(2)/2))/(LN(2)/2)*V51*Y51*VLOOKUP('Données projet'!$B$9,Paramètres!$A$1:$I$89,3,0)*0.475*44/12</f>
        <v>4.0326296669768356</v>
      </c>
      <c r="AC51" s="22">
        <f t="shared" si="3"/>
        <v>68.28883147293277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-1.7053025658242404E-13</v>
      </c>
      <c r="AJ51" s="13">
        <f>AI51*VLOOKUP('Données projet'!$B$10,Paramètres!$A$1:$I$89,3,0)*VLOOKUP('Données projet'!$B$10,Paramètres!$A$1:$I$89,5,0)</f>
        <v>-1.5429577615577727E-13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376.97234030481559</v>
      </c>
      <c r="AO51" s="59">
        <f t="shared" si="36"/>
        <v>532.90758914457615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66.008244206790351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66.008244206790351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252</v>
      </c>
      <c r="BB51" s="12">
        <f>VLOOKUP(A51,'Données projet'!$A$87:$I$107,9,0)</f>
        <v>10.666666666666666</v>
      </c>
      <c r="BC51" s="12">
        <f t="array" ref="BC51">INDEX(BB:BB,MIN(IF(ISNUMBER(BB51:BB247),ROW(BB51:BB247),"")))</f>
        <v>10.666666666666666</v>
      </c>
      <c r="BD51" s="12">
        <f>IF('Données projet'!$A$88&gt;35,BD50+BC51-BL50,IF(A51&lt;'Données projet'!$A$88,$BA$205^A51,IF(A51='Données projet'!$A$88,'Données projet'!$B$88,BD50+BC51-BL50)))</f>
        <v>251.99999999999997</v>
      </c>
      <c r="BE51" s="13">
        <f>BD51*VLOOKUP('Données projet'!$B$11,Paramètres!$A$1:$I$89,3,0)*VLOOKUP('Données projet'!$B$11,Paramètres!$A$1:$I$89,5,0)</f>
        <v>157.24799999999999</v>
      </c>
      <c r="BF51" s="13">
        <f t="shared" si="37"/>
        <v>40.22116874434861</v>
      </c>
      <c r="BG51" s="20">
        <f t="shared" si="7"/>
        <v>343.92546889640715</v>
      </c>
      <c r="BH51" s="59">
        <f t="shared" si="8"/>
        <v>597.68533758207491</v>
      </c>
      <c r="BI51" s="59">
        <f ca="1">AVERAGE(OFFSET($BH$3,0,0,'Données projet'!$E$11+1,1))-AVERAGE(OFFSET($H$3,0,0,'Données projet'!$E$11+1,1))</f>
        <v>256.72534545771862</v>
      </c>
      <c r="BJ51" s="59">
        <f t="shared" si="38"/>
        <v>362.34519377447361</v>
      </c>
      <c r="BK51" s="15">
        <f>IF(ISNA(VLOOKUP(A51,'Données projet'!$A$87:$I$107,3,0)),0,VLOOKUP(A51,'Données projet'!$A$87:$I$107,3,0))</f>
        <v>7</v>
      </c>
      <c r="BL51" s="15">
        <f>IF(ISNA(VLOOKUP(A51,'Données projet'!$A$87:$I$107,4,0)),0,VLOOKUP(A51,'Données projet'!$A$87:$I$107,4,0))</f>
        <v>65</v>
      </c>
      <c r="BM51" s="16">
        <f>IF(ISNA(VLOOKUP(A51,'Données projet'!$A$87:$I$107,5,0)),0%,VLOOKUP(A51,'Données projet'!$A$87:$I$107,5,0)*VLOOKUP('Données projet'!$B$11,Paramètres!$A$1:$I$89,7,0))</f>
        <v>0.42</v>
      </c>
      <c r="BN51" s="16">
        <f>IF(ISNA(VLOOKUP(A51,'Données projet'!$A$87:$I$107,6,0)),0%,VLOOKUP(A51,'Données projet'!$A$87:$I$107,6,0)*VLOOKUP('Données projet'!$B$11,Paramètres!$A$1:$I$89,7,0))</f>
        <v>0.12</v>
      </c>
      <c r="BO51" s="16">
        <f>IF(ISNA(VLOOKUP(A51,'Données projet'!$A$87:$I$107,7,0)),0%,VLOOKUP(A51,'Données projet'!$A$87:$I$107,7,0))</f>
        <v>0.1</v>
      </c>
      <c r="BP51" s="21">
        <f>EXP(-LN(2)/35)*BP50+(1-EXP(-LN(2)/35))/(LN(2)/35)*BL51*BM51*VLOOKUP('Données projet'!$B$11,Paramètres!$A$1:$I$89,3,0)*0.475*44/12</f>
        <v>53.725251429713182</v>
      </c>
      <c r="BQ51" s="21">
        <f>EXP(-LN(2)/25)*BQ50+(1-EXP(-LN(2)/25))/(LN(2)/25)*Calculateur!BL51*Calculateur!BN51*VLOOKUP('Données projet'!$B$11,Paramètres!$A$1:$I$89,3,0)*0.475*44/12</f>
        <v>35.668494453482054</v>
      </c>
      <c r="BR51" s="21">
        <f>EXP(-LN(2)/2)*BR50+(1-EXP(-LN(2)/2))/(LN(2)/2)*BL51*BO51*VLOOKUP('Données projet'!$B$11,Paramètres!$A$1:$I$89,3,0)*0.475*44/12</f>
        <v>6.0131353631126307</v>
      </c>
      <c r="BS51" s="22">
        <f t="shared" si="9"/>
        <v>95.406881246307861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17.8</v>
      </c>
      <c r="N52" s="13">
        <f>IF('Données projet'!$A$36&gt;35,N51+M52-V51,IF(A52&lt;'Données projet'!$A$36,$K$205^A52,IF(A52='Données projet'!$A$36,'Données projet'!$B$36,N51+M52-V51)))</f>
        <v>611.19999999999982</v>
      </c>
      <c r="O52" s="13">
        <f>N52*VLOOKUP('Données projet'!$B$9,Paramètres!$A$1:$I$89,3,0)*VLOOKUP('Données projet'!$B$9,Paramètres!$A$1:$I$89,5,0)</f>
        <v>341.66079999999988</v>
      </c>
      <c r="P52" s="13">
        <f t="shared" si="33"/>
        <v>79.842980844864144</v>
      </c>
      <c r="Q52" s="20">
        <f t="shared" si="53"/>
        <v>734.11908497147158</v>
      </c>
      <c r="R52" s="59">
        <f t="shared" si="0"/>
        <v>988.56546479576355</v>
      </c>
      <c r="S52" s="59">
        <f ca="1">AVERAGE(OFFSET($R$3,0,0,'Données projet'!$E$9+1,1))-AVERAGE(OFFSET($H$3,0,0,'Données projet'!$E$9+1,1))</f>
        <v>459.83870442974046</v>
      </c>
      <c r="T52" s="59">
        <f t="shared" si="34"/>
        <v>565.68976940602215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26.528080352337081</v>
      </c>
      <c r="AA52" s="21">
        <f>EXP(-LN(2)/25)*AA51+(1-EXP(-LN(2)/25))/(LN(2)/25)*Calculateur!V52*Calculateur!X52*VLOOKUP('Données projet'!$B$9,Paramètres!$A$1:$I$89,3,0)*0.475*44/12</f>
        <v>36.180349089071107</v>
      </c>
      <c r="AB52" s="21">
        <f>EXP(-LN(2)/2)*AB51+(1-EXP(-LN(2)/2))/(LN(2)/2)*V52*Y52*VLOOKUP('Données projet'!$B$9,Paramètres!$A$1:$I$89,3,0)*0.475*44/12</f>
        <v>2.8514997835333693</v>
      </c>
      <c r="AC52" s="22">
        <f t="shared" si="3"/>
        <v>65.559929224941556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-1.7053025658242404E-13</v>
      </c>
      <c r="AJ52" s="13">
        <f>AI52*VLOOKUP('Données projet'!$B$10,Paramètres!$A$1:$I$89,3,0)*VLOOKUP('Données projet'!$B$10,Paramètres!$A$1:$I$89,5,0)</f>
        <v>-1.5429577615577727E-13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376.97234030481559</v>
      </c>
      <c r="AO52" s="59">
        <f t="shared" si="36"/>
        <v>532.90758914457615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64.713862798948711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64.713862798948711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9.75</v>
      </c>
      <c r="BD52" s="12">
        <f>IF('Données projet'!$A$88&gt;35,BD51+BC52-BL51,IF(A52&lt;'Données projet'!$A$88,$BA$205^A52,IF(A52='Données projet'!$A$88,'Données projet'!$B$88,BD51+BC52-BL51)))</f>
        <v>196.75</v>
      </c>
      <c r="BE52" s="13">
        <f>BD52*VLOOKUP('Données projet'!$B$11,Paramètres!$A$1:$I$89,3,0)*VLOOKUP('Données projet'!$B$11,Paramètres!$A$1:$I$89,5,0)</f>
        <v>122.77200000000001</v>
      </c>
      <c r="BF52" s="13">
        <f t="shared" si="37"/>
        <v>32.320660955470466</v>
      </c>
      <c r="BG52" s="20">
        <f t="shared" si="7"/>
        <v>270.11971783077774</v>
      </c>
      <c r="BH52" s="59">
        <f t="shared" si="8"/>
        <v>524.56609765506971</v>
      </c>
      <c r="BI52" s="59">
        <f ca="1">AVERAGE(OFFSET($BH$3,0,0,'Données projet'!$E$11+1,1))-AVERAGE(OFFSET($H$3,0,0,'Données projet'!$E$11+1,1))</f>
        <v>256.72534545771862</v>
      </c>
      <c r="BJ52" s="59">
        <f t="shared" si="38"/>
        <v>362.34519377447361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52.671732018344194</v>
      </c>
      <c r="BQ52" s="21">
        <f>EXP(-LN(2)/25)*BQ51+(1-EXP(-LN(2)/25))/(LN(2)/25)*Calculateur!BL52*Calculateur!BN52*VLOOKUP('Données projet'!$B$11,Paramètres!$A$1:$I$89,3,0)*0.475*44/12</f>
        <v>34.693137596926988</v>
      </c>
      <c r="BR52" s="21">
        <f>EXP(-LN(2)/2)*BR51+(1-EXP(-LN(2)/2))/(LN(2)/2)*BL52*BO52*VLOOKUP('Données projet'!$B$11,Paramètres!$A$1:$I$89,3,0)*0.475*44/12</f>
        <v>4.2519287914495747</v>
      </c>
      <c r="BS52" s="22">
        <f t="shared" si="9"/>
        <v>91.616798406720747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629</v>
      </c>
      <c r="L53" s="12">
        <f>VLOOKUP(A53,'Données projet'!$A$35:$I$55,9,0)</f>
        <v>17.8</v>
      </c>
      <c r="M53" s="12">
        <f t="array" ref="M53">INDEX(L:L,MIN(IF(ISNUMBER(L53:L249),ROW(L53:L249),"")))</f>
        <v>17.8</v>
      </c>
      <c r="N53" s="13">
        <f>IF('Données projet'!$A$36&gt;35,N52+M53-V52,IF(A53&lt;'Données projet'!$A$36,$K$205^A53,IF(A53='Données projet'!$A$36,'Données projet'!$B$36,N52+M53-V52)))</f>
        <v>628.99999999999977</v>
      </c>
      <c r="O53" s="13">
        <f>N53*VLOOKUP('Données projet'!$B$9,Paramètres!$A$1:$I$89,3,0)*VLOOKUP('Données projet'!$B$9,Paramètres!$A$1:$I$89,5,0)</f>
        <v>351.61099999999988</v>
      </c>
      <c r="P53" s="13">
        <f t="shared" si="33"/>
        <v>81.89414415728541</v>
      </c>
      <c r="Q53" s="20">
        <f t="shared" si="53"/>
        <v>755.02145940727178</v>
      </c>
      <c r="R53" s="59">
        <f t="shared" si="0"/>
        <v>1010.1424409367419</v>
      </c>
      <c r="S53" s="59">
        <f ca="1">AVERAGE(OFFSET($R$3,0,0,'Données projet'!$E$9+1,1))-AVERAGE(OFFSET($H$3,0,0,'Données projet'!$E$9+1,1))</f>
        <v>459.83870442974046</v>
      </c>
      <c r="T53" s="59">
        <f t="shared" si="34"/>
        <v>565.68976940602215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48</v>
      </c>
      <c r="W53" s="16">
        <f>IF(ISNA(VLOOKUP(A53,'Données projet'!$A$35:$I$55,5,0)),0%,VLOOKUP(A53,'Données projet'!$A$35:$I$55,5,0)*VLOOKUP('Données projet'!$B$9,Paramètres!$A$1:$I$89,7,0))</f>
        <v>0.27500000000000002</v>
      </c>
      <c r="X53" s="16">
        <f>IF(ISNA(VLOOKUP(A53,'Données projet'!$A$35:$I$55,6,0)),0%,VLOOKUP(A53,'Données projet'!$A$35:$I$55,6,0)*VLOOKUP('Données projet'!$B$9,Paramètres!$A$1:$I$89,7,0))</f>
        <v>0.16500000000000001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35.796334680956349</v>
      </c>
      <c r="AA53" s="21">
        <f>EXP(-LN(2)/25)*AA52+(1-EXP(-LN(2)/25))/(LN(2)/25)*Calculateur!V53*Calculateur!X53*VLOOKUP('Données projet'!$B$9,Paramètres!$A$1:$I$89,3,0)*0.475*44/12</f>
        <v>41.040943299475643</v>
      </c>
      <c r="AB53" s="21">
        <f>EXP(-LN(2)/2)*AB52+(1-EXP(-LN(2)/2))/(LN(2)/2)*V53*Y53*VLOOKUP('Données projet'!$B$9,Paramètres!$A$1:$I$89,3,0)*0.475*44/12</f>
        <v>8.0923262349344451</v>
      </c>
      <c r="AC53" s="22">
        <f t="shared" si="3"/>
        <v>84.929604215366439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-1.7053025658242404E-13</v>
      </c>
      <c r="AJ53" s="13">
        <f>AI53*VLOOKUP('Données projet'!$B$10,Paramètres!$A$1:$I$89,3,0)*VLOOKUP('Données projet'!$B$10,Paramètres!$A$1:$I$89,5,0)</f>
        <v>-1.5429577615577727E-13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376.97234030481559</v>
      </c>
      <c r="AO53" s="59">
        <f t="shared" si="36"/>
        <v>532.90758914457615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63.444863421020138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63.444863421020138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9.75</v>
      </c>
      <c r="BD53" s="12">
        <f>IF('Données projet'!$A$88&gt;35,BD52+BC53-BL52,IF(A53&lt;'Données projet'!$A$88,$BA$205^A53,IF(A53='Données projet'!$A$88,'Données projet'!$B$88,BD52+BC53-BL52)))</f>
        <v>206.5</v>
      </c>
      <c r="BE53" s="13">
        <f>BD53*VLOOKUP('Données projet'!$B$11,Paramètres!$A$1:$I$89,3,0)*VLOOKUP('Données projet'!$B$11,Paramètres!$A$1:$I$89,5,0)</f>
        <v>128.85599999999999</v>
      </c>
      <c r="BF53" s="13">
        <f t="shared" si="37"/>
        <v>33.731878688740906</v>
      </c>
      <c r="BG53" s="20">
        <f t="shared" si="7"/>
        <v>283.1738887162237</v>
      </c>
      <c r="BH53" s="59">
        <f t="shared" si="8"/>
        <v>538.2948702456938</v>
      </c>
      <c r="BI53" s="59">
        <f ca="1">AVERAGE(OFFSET($BH$3,0,0,'Données projet'!$E$11+1,1))-AVERAGE(OFFSET($H$3,0,0,'Données projet'!$E$11+1,1))</f>
        <v>256.72534545771862</v>
      </c>
      <c r="BJ53" s="59">
        <f t="shared" si="38"/>
        <v>362.34519377447361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51.638871480048756</v>
      </c>
      <c r="BQ53" s="21">
        <f>EXP(-LN(2)/25)*BQ52+(1-EXP(-LN(2)/25))/(LN(2)/25)*Calculateur!BL53*Calculateur!BN53*VLOOKUP('Données projet'!$B$11,Paramètres!$A$1:$I$89,3,0)*0.475*44/12</f>
        <v>33.744451924906208</v>
      </c>
      <c r="BR53" s="21">
        <f>EXP(-LN(2)/2)*BR52+(1-EXP(-LN(2)/2))/(LN(2)/2)*BL53*BO53*VLOOKUP('Données projet'!$B$11,Paramètres!$A$1:$I$89,3,0)*0.475*44/12</f>
        <v>3.0065676815563163</v>
      </c>
      <c r="BS53" s="22">
        <f t="shared" si="9"/>
        <v>88.389891086511284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13.8</v>
      </c>
      <c r="N54" s="13">
        <f>IF('Données projet'!$A$36&gt;35,N53+M54-V53,IF(A54&lt;'Données projet'!$A$36,$K$205^A54,IF(A54='Données projet'!$A$36,'Données projet'!$B$36,N53+M54-V53)))</f>
        <v>594.79999999999973</v>
      </c>
      <c r="O54" s="13">
        <f>N54*VLOOKUP('Données projet'!$B$9,Paramètres!$A$1:$I$89,3,0)*VLOOKUP('Données projet'!$B$9,Paramètres!$A$1:$I$89,5,0)</f>
        <v>332.49319999999983</v>
      </c>
      <c r="P54" s="13">
        <f t="shared" si="33"/>
        <v>77.946984490524827</v>
      </c>
      <c r="Q54" s="20">
        <f t="shared" si="53"/>
        <v>714.84998798766367</v>
      </c>
      <c r="R54" s="59">
        <f t="shared" si="0"/>
        <v>970.63386839091049</v>
      </c>
      <c r="S54" s="59">
        <f ca="1">AVERAGE(OFFSET($R$3,0,0,'Données projet'!$E$9+1,1))-AVERAGE(OFFSET($H$3,0,0,'Données projet'!$E$9+1,1))</f>
        <v>459.83870442974046</v>
      </c>
      <c r="T54" s="59">
        <f t="shared" si="34"/>
        <v>565.68976940602215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35.094390391471059</v>
      </c>
      <c r="AA54" s="21">
        <f>EXP(-LN(2)/25)*AA53+(1-EXP(-LN(2)/25))/(LN(2)/25)*Calculateur!V54*Calculateur!X54*VLOOKUP('Données projet'!$B$9,Paramètres!$A$1:$I$89,3,0)*0.475*44/12</f>
        <v>39.918676546702073</v>
      </c>
      <c r="AB54" s="21">
        <f>EXP(-LN(2)/2)*AB53+(1-EXP(-LN(2)/2))/(LN(2)/2)*V54*Y54*VLOOKUP('Données projet'!$B$9,Paramètres!$A$1:$I$89,3,0)*0.475*44/12</f>
        <v>5.7221387562959487</v>
      </c>
      <c r="AC54" s="22">
        <f t="shared" si="3"/>
        <v>80.735205694469073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-1.7053025658242404E-13</v>
      </c>
      <c r="AJ54" s="13">
        <f>AI54*VLOOKUP('Données projet'!$B$10,Paramètres!$A$1:$I$89,3,0)*VLOOKUP('Données projet'!$B$10,Paramètres!$A$1:$I$89,5,0)</f>
        <v>-1.5429577615577727E-13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376.97234030481559</v>
      </c>
      <c r="AO54" s="59">
        <f t="shared" si="36"/>
        <v>532.90758914457615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62.200748346879557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62.200748346879557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9.75</v>
      </c>
      <c r="BD54" s="12">
        <f>IF('Données projet'!$A$88&gt;35,BD53+BC54-BL53,IF(A54&lt;'Données projet'!$A$88,$BA$205^A54,IF(A54='Données projet'!$A$88,'Données projet'!$B$88,BD53+BC54-BL53)))</f>
        <v>216.25</v>
      </c>
      <c r="BE54" s="13">
        <f>BD54*VLOOKUP('Données projet'!$B$11,Paramètres!$A$1:$I$89,3,0)*VLOOKUP('Données projet'!$B$11,Paramètres!$A$1:$I$89,5,0)</f>
        <v>134.94</v>
      </c>
      <c r="BF54" s="13">
        <f t="shared" si="37"/>
        <v>35.135358771568036</v>
      </c>
      <c r="BG54" s="20">
        <f t="shared" si="7"/>
        <v>296.21458319381429</v>
      </c>
      <c r="BH54" s="59">
        <f t="shared" si="8"/>
        <v>551.99846359706112</v>
      </c>
      <c r="BI54" s="59">
        <f ca="1">AVERAGE(OFFSET($BH$3,0,0,'Données projet'!$E$11+1,1))-AVERAGE(OFFSET($H$3,0,0,'Données projet'!$E$11+1,1))</f>
        <v>256.72534545771862</v>
      </c>
      <c r="BJ54" s="59">
        <f t="shared" si="38"/>
        <v>362.34519377447361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50.62626470692657</v>
      </c>
      <c r="BQ54" s="21">
        <f>EXP(-LN(2)/25)*BQ53+(1-EXP(-LN(2)/25))/(LN(2)/25)*Calculateur!BL54*Calculateur!BN54*VLOOKUP('Données projet'!$B$11,Paramètres!$A$1:$I$89,3,0)*0.475*44/12</f>
        <v>32.821708112476045</v>
      </c>
      <c r="BR54" s="21">
        <f>EXP(-LN(2)/2)*BR53+(1-EXP(-LN(2)/2))/(LN(2)/2)*BL54*BO54*VLOOKUP('Données projet'!$B$11,Paramètres!$A$1:$I$89,3,0)*0.475*44/12</f>
        <v>2.1259643957247878</v>
      </c>
      <c r="BS54" s="22">
        <f t="shared" si="9"/>
        <v>85.573937215127415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13.8</v>
      </c>
      <c r="N55" s="13">
        <f>IF('Données projet'!$A$36&gt;35,N54+M55-V54,IF(A55&lt;'Données projet'!$A$36,$K$205^A55,IF(A55='Données projet'!$A$36,'Données projet'!$B$36,N54+M55-V54)))</f>
        <v>608.59999999999968</v>
      </c>
      <c r="O55" s="13">
        <f>N55*VLOOKUP('Données projet'!$B$9,Paramètres!$A$1:$I$89,3,0)*VLOOKUP('Données projet'!$B$9,Paramètres!$A$1:$I$89,5,0)</f>
        <v>340.20739999999984</v>
      </c>
      <c r="P55" s="13">
        <f t="shared" si="33"/>
        <v>79.542795053996059</v>
      </c>
      <c r="Q55" s="20">
        <f t="shared" si="53"/>
        <v>731.06492305237623</v>
      </c>
      <c r="R55" s="59">
        <f t="shared" si="0"/>
        <v>987.50020251595959</v>
      </c>
      <c r="S55" s="59">
        <f ca="1">AVERAGE(OFFSET($R$3,0,0,'Données projet'!$E$9+1,1))-AVERAGE(OFFSET($H$3,0,0,'Données projet'!$E$9+1,1))</f>
        <v>459.83870442974046</v>
      </c>
      <c r="T55" s="59">
        <f t="shared" si="34"/>
        <v>565.68976940602215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34.406210801358839</v>
      </c>
      <c r="AA55" s="21">
        <f>EXP(-LN(2)/25)*AA54+(1-EXP(-LN(2)/25))/(LN(2)/25)*Calculateur!V55*Calculateur!X55*VLOOKUP('Données projet'!$B$9,Paramètres!$A$1:$I$89,3,0)*0.475*44/12</f>
        <v>38.82709823730054</v>
      </c>
      <c r="AB55" s="21">
        <f>EXP(-LN(2)/2)*AB54+(1-EXP(-LN(2)/2))/(LN(2)/2)*V55*Y55*VLOOKUP('Données projet'!$B$9,Paramètres!$A$1:$I$89,3,0)*0.475*44/12</f>
        <v>4.0461631174672226</v>
      </c>
      <c r="AC55" s="22">
        <f t="shared" si="3"/>
        <v>77.279472156126587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-1.7053025658242404E-13</v>
      </c>
      <c r="AJ55" s="13">
        <f>AI55*VLOOKUP('Données projet'!$B$10,Paramètres!$A$1:$I$89,3,0)*VLOOKUP('Données projet'!$B$10,Paramètres!$A$1:$I$89,5,0)</f>
        <v>-1.5429577615577727E-13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376.97234030481559</v>
      </c>
      <c r="AO55" s="59">
        <f t="shared" si="36"/>
        <v>532.90758914457615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60.981029610507605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60.981029610507605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9.75</v>
      </c>
      <c r="BD55" s="12">
        <f>IF('Données projet'!$A$88&gt;35,BD54+BC55-BL54,IF(A55&lt;'Données projet'!$A$88,$BA$205^A55,IF(A55='Données projet'!$A$88,'Données projet'!$B$88,BD54+BC55-BL54)))</f>
        <v>226</v>
      </c>
      <c r="BE55" s="13">
        <f>BD55*VLOOKUP('Données projet'!$B$11,Paramètres!$A$1:$I$89,3,0)*VLOOKUP('Données projet'!$B$11,Paramètres!$A$1:$I$89,5,0)</f>
        <v>141.024</v>
      </c>
      <c r="BF55" s="13">
        <f t="shared" si="37"/>
        <v>36.531489925882461</v>
      </c>
      <c r="BG55" s="20">
        <f t="shared" si="7"/>
        <v>309.24247828757859</v>
      </c>
      <c r="BH55" s="59">
        <f t="shared" si="8"/>
        <v>565.67775775116195</v>
      </c>
      <c r="BI55" s="59">
        <f ca="1">AVERAGE(OFFSET($BH$3,0,0,'Données projet'!$E$11+1,1))-AVERAGE(OFFSET($H$3,0,0,'Données projet'!$E$11+1,1))</f>
        <v>256.72534545771862</v>
      </c>
      <c r="BJ55" s="59">
        <f t="shared" si="38"/>
        <v>362.34519377447361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49.633514534996166</v>
      </c>
      <c r="BQ55" s="21">
        <f>EXP(-LN(2)/25)*BQ54+(1-EXP(-LN(2)/25))/(LN(2)/25)*Calculateur!BL55*Calculateur!BN55*VLOOKUP('Données projet'!$B$11,Paramètres!$A$1:$I$89,3,0)*0.475*44/12</f>
        <v>31.924196778121772</v>
      </c>
      <c r="BR55" s="21">
        <f>EXP(-LN(2)/2)*BR54+(1-EXP(-LN(2)/2))/(LN(2)/2)*BL55*BO55*VLOOKUP('Données projet'!$B$11,Paramètres!$A$1:$I$89,3,0)*0.475*44/12</f>
        <v>1.5032838407781584</v>
      </c>
      <c r="BS55" s="22">
        <f t="shared" si="9"/>
        <v>83.060995153896087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13.8</v>
      </c>
      <c r="N56" s="13">
        <f>IF('Données projet'!$A$36&gt;35,N55+M56-V55,IF(A56&lt;'Données projet'!$A$36,$K$205^A56,IF(A56='Données projet'!$A$36,'Données projet'!$B$36,N55+M56-V55)))</f>
        <v>622.39999999999964</v>
      </c>
      <c r="O56" s="13">
        <f>N56*VLOOKUP('Données projet'!$B$9,Paramètres!$A$1:$I$89,3,0)*VLOOKUP('Données projet'!$B$9,Paramètres!$A$1:$I$89,5,0)</f>
        <v>347.92159999999978</v>
      </c>
      <c r="P56" s="13">
        <f t="shared" si="33"/>
        <v>81.134398856989449</v>
      </c>
      <c r="Q56" s="20">
        <f t="shared" si="53"/>
        <v>747.27253134258956</v>
      </c>
      <c r="R56" s="59">
        <f t="shared" si="0"/>
        <v>1004.3479095491227</v>
      </c>
      <c r="S56" s="59">
        <f ca="1">AVERAGE(OFFSET($R$3,0,0,'Données projet'!$E$9+1,1))-AVERAGE(OFFSET($H$3,0,0,'Données projet'!$E$9+1,1))</f>
        <v>459.83870442974046</v>
      </c>
      <c r="T56" s="59">
        <f t="shared" si="34"/>
        <v>565.68976940602215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33.731525993260611</v>
      </c>
      <c r="AA56" s="21">
        <f>EXP(-LN(2)/25)*AA55+(1-EXP(-LN(2)/25))/(LN(2)/25)*Calculateur!V56*Calculateur!X56*VLOOKUP('Données projet'!$B$9,Paramètres!$A$1:$I$89,3,0)*0.475*44/12</f>
        <v>37.765369194173203</v>
      </c>
      <c r="AB56" s="21">
        <f>EXP(-LN(2)/2)*AB55+(1-EXP(-LN(2)/2))/(LN(2)/2)*V56*Y56*VLOOKUP('Données projet'!$B$9,Paramètres!$A$1:$I$89,3,0)*0.475*44/12</f>
        <v>2.8610693781479744</v>
      </c>
      <c r="AC56" s="22">
        <f t="shared" si="3"/>
        <v>74.357964565581781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-1.7053025658242404E-13</v>
      </c>
      <c r="AJ56" s="13">
        <f>AI56*VLOOKUP('Données projet'!$B$10,Paramètres!$A$1:$I$89,3,0)*VLOOKUP('Données projet'!$B$10,Paramètres!$A$1:$I$89,5,0)</f>
        <v>-1.5429577615577727E-13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376.97234030481559</v>
      </c>
      <c r="AO56" s="59">
        <f t="shared" si="36"/>
        <v>532.90758914457615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59.785228814600934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59.785228814600934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9.75</v>
      </c>
      <c r="BD56" s="12">
        <f>IF('Données projet'!$A$88&gt;35,BD55+BC56-BL55,IF(A56&lt;'Données projet'!$A$88,$BA$205^A56,IF(A56='Données projet'!$A$88,'Données projet'!$B$88,BD55+BC56-BL55)))</f>
        <v>235.75</v>
      </c>
      <c r="BE56" s="13">
        <f>BD56*VLOOKUP('Données projet'!$B$11,Paramètres!$A$1:$I$89,3,0)*VLOOKUP('Données projet'!$B$11,Paramètres!$A$1:$I$89,5,0)</f>
        <v>147.108</v>
      </c>
      <c r="BF56" s="13">
        <f t="shared" si="37"/>
        <v>37.920625436598897</v>
      </c>
      <c r="BG56" s="20">
        <f t="shared" si="7"/>
        <v>322.25818930207646</v>
      </c>
      <c r="BH56" s="59">
        <f t="shared" si="8"/>
        <v>579.33356750860969</v>
      </c>
      <c r="BI56" s="59">
        <f ca="1">AVERAGE(OFFSET($BH$3,0,0,'Données projet'!$E$11+1,1))-AVERAGE(OFFSET($H$3,0,0,'Données projet'!$E$11+1,1))</f>
        <v>256.72534545771862</v>
      </c>
      <c r="BJ56" s="59">
        <f t="shared" si="38"/>
        <v>362.34519377447361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48.660231588419499</v>
      </c>
      <c r="BQ56" s="21">
        <f>EXP(-LN(2)/25)*BQ55+(1-EXP(-LN(2)/25))/(LN(2)/25)*Calculateur!BL56*Calculateur!BN56*VLOOKUP('Données projet'!$B$11,Paramètres!$A$1:$I$89,3,0)*0.475*44/12</f>
        <v>31.051227938403485</v>
      </c>
      <c r="BR56" s="21">
        <f>EXP(-LN(2)/2)*BR55+(1-EXP(-LN(2)/2))/(LN(2)/2)*BL56*BO56*VLOOKUP('Données projet'!$B$11,Paramètres!$A$1:$I$89,3,0)*0.475*44/12</f>
        <v>1.0629821978623941</v>
      </c>
      <c r="BS56" s="22">
        <f t="shared" si="9"/>
        <v>80.774441724685374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13.8</v>
      </c>
      <c r="N57" s="13">
        <f>IF('Données projet'!$A$36&gt;35,N56+M57-V56,IF(A57&lt;'Données projet'!$A$36,$K$205^A57,IF(A57='Données projet'!$A$36,'Données projet'!$B$36,N56+M57-V56)))</f>
        <v>636.19999999999959</v>
      </c>
      <c r="O57" s="13">
        <f>N57*VLOOKUP('Données projet'!$B$9,Paramètres!$A$1:$I$89,3,0)*VLOOKUP('Données projet'!$B$9,Paramètres!$A$1:$I$89,5,0)</f>
        <v>355.63579999999973</v>
      </c>
      <c r="P57" s="13">
        <f t="shared" si="33"/>
        <v>82.721899912765039</v>
      </c>
      <c r="Q57" s="20">
        <f t="shared" si="53"/>
        <v>763.47299401473185</v>
      </c>
      <c r="R57" s="59">
        <f t="shared" si="0"/>
        <v>1021.1773666820711</v>
      </c>
      <c r="S57" s="59">
        <f ca="1">AVERAGE(OFFSET($R$3,0,0,'Données projet'!$E$9+1,1))-AVERAGE(OFFSET($H$3,0,0,'Données projet'!$E$9+1,1))</f>
        <v>459.83870442974046</v>
      </c>
      <c r="T57" s="59">
        <f t="shared" si="34"/>
        <v>565.68976940602215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33.070071342732092</v>
      </c>
      <c r="AA57" s="21">
        <f>EXP(-LN(2)/25)*AA56+(1-EXP(-LN(2)/25))/(LN(2)/25)*Calculateur!V57*Calculateur!X57*VLOOKUP('Données projet'!$B$9,Paramètres!$A$1:$I$89,3,0)*0.475*44/12</f>
        <v>36.732673187564082</v>
      </c>
      <c r="AB57" s="21">
        <f>EXP(-LN(2)/2)*AB56+(1-EXP(-LN(2)/2))/(LN(2)/2)*V57*Y57*VLOOKUP('Données projet'!$B$9,Paramètres!$A$1:$I$89,3,0)*0.475*44/12</f>
        <v>2.0230815587336113</v>
      </c>
      <c r="AC57" s="22">
        <f t="shared" si="3"/>
        <v>71.825826089029775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-1.7053025658242404E-13</v>
      </c>
      <c r="AJ57" s="13">
        <f>AI57*VLOOKUP('Données projet'!$B$10,Paramètres!$A$1:$I$89,3,0)*VLOOKUP('Données projet'!$B$10,Paramètres!$A$1:$I$89,5,0)</f>
        <v>-1.5429577615577727E-13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376.97234030481559</v>
      </c>
      <c r="AO57" s="59">
        <f t="shared" si="36"/>
        <v>532.90758914457615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58.612876942935529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58.612876942935529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9.75</v>
      </c>
      <c r="BD57" s="12">
        <f>IF('Données projet'!$A$88&gt;35,BD56+BC57-BL56,IF(A57&lt;'Données projet'!$A$88,$BA$205^A57,IF(A57='Données projet'!$A$88,'Données projet'!$B$88,BD56+BC57-BL56)))</f>
        <v>245.5</v>
      </c>
      <c r="BE57" s="13">
        <f>BD57*VLOOKUP('Données projet'!$B$11,Paramètres!$A$1:$I$89,3,0)*VLOOKUP('Données projet'!$B$11,Paramètres!$A$1:$I$89,5,0)</f>
        <v>153.19199999999998</v>
      </c>
      <c r="BF57" s="13">
        <f t="shared" si="37"/>
        <v>39.303087713366921</v>
      </c>
      <c r="BG57" s="20">
        <f t="shared" si="7"/>
        <v>335.2622777674473</v>
      </c>
      <c r="BH57" s="59">
        <f t="shared" si="8"/>
        <v>592.96665043478663</v>
      </c>
      <c r="BI57" s="59">
        <f ca="1">AVERAGE(OFFSET($BH$3,0,0,'Données projet'!$E$11+1,1))-AVERAGE(OFFSET($H$3,0,0,'Données projet'!$E$11+1,1))</f>
        <v>256.72534545771862</v>
      </c>
      <c r="BJ57" s="59">
        <f t="shared" si="38"/>
        <v>362.34519377447361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47.706034126781226</v>
      </c>
      <c r="BQ57" s="21">
        <f>EXP(-LN(2)/25)*BQ56+(1-EXP(-LN(2)/25))/(LN(2)/25)*Calculateur!BL57*Calculateur!BN57*VLOOKUP('Données projet'!$B$11,Paramètres!$A$1:$I$89,3,0)*0.475*44/12</f>
        <v>30.202130477514732</v>
      </c>
      <c r="BR57" s="21">
        <f>EXP(-LN(2)/2)*BR56+(1-EXP(-LN(2)/2))/(LN(2)/2)*BL57*BO57*VLOOKUP('Données projet'!$B$11,Paramètres!$A$1:$I$89,3,0)*0.475*44/12</f>
        <v>0.75164192038907929</v>
      </c>
      <c r="BS57" s="22">
        <f t="shared" si="9"/>
        <v>78.659806524685038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650</v>
      </c>
      <c r="L58" s="12">
        <f>VLOOKUP(A58,'Données projet'!$A$35:$I$55,9,0)</f>
        <v>13.8</v>
      </c>
      <c r="M58" s="12">
        <f t="array" ref="M58">INDEX(L:L,MIN(IF(ISNUMBER(L58:L254),ROW(L58:L254),"")))</f>
        <v>13.8</v>
      </c>
      <c r="N58" s="13">
        <f>IF('Données projet'!$A$36&gt;35,N57+M58-V57,IF(A58&lt;'Données projet'!$A$36,$K$205^A58,IF(A58='Données projet'!$A$36,'Données projet'!$B$36,N57+M58-V57)))</f>
        <v>649.99999999999955</v>
      </c>
      <c r="O58" s="13">
        <f>N58*VLOOKUP('Données projet'!$B$9,Paramètres!$A$1:$I$89,3,0)*VLOOKUP('Données projet'!$B$9,Paramètres!$A$1:$I$89,5,0)</f>
        <v>363.34999999999974</v>
      </c>
      <c r="P58" s="13">
        <f t="shared" si="33"/>
        <v>84.305397464498199</v>
      </c>
      <c r="Q58" s="20">
        <f t="shared" si="53"/>
        <v>779.66648391733395</v>
      </c>
      <c r="R58" s="59">
        <f t="shared" si="0"/>
        <v>1037.9889393978053</v>
      </c>
      <c r="S58" s="59">
        <f ca="1">AVERAGE(OFFSET($R$3,0,0,'Données projet'!$E$9+1,1))-AVERAGE(OFFSET($H$3,0,0,'Données projet'!$E$9+1,1))</f>
        <v>459.83870442974046</v>
      </c>
      <c r="T58" s="59">
        <f t="shared" si="34"/>
        <v>565.68976940602215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35</v>
      </c>
      <c r="W58" s="16">
        <f>IF(ISNA(VLOOKUP(A58,'Données projet'!$A$35:$I$55,5,0)),0%,VLOOKUP(A58,'Données projet'!$A$35:$I$55,5,0)*VLOOKUP('Données projet'!$B$9,Paramètres!$A$1:$I$89,7,0))</f>
        <v>0.33</v>
      </c>
      <c r="X58" s="16">
        <f>IF(ISNA(VLOOKUP(A58,'Données projet'!$A$35:$I$55,6,0)),0%,VLOOKUP(A58,'Données projet'!$A$35:$I$55,6,0)*VLOOKUP('Données projet'!$B$9,Paramètres!$A$1:$I$89,7,0))</f>
        <v>0.11000000000000001</v>
      </c>
      <c r="Y58" s="16">
        <f>IF(ISNA(VLOOKUP(A58,'Données projet'!$A$35:$I$55,7,0)),0%,VLOOKUP(A58,'Données projet'!$A$35:$I$55,7,0))</f>
        <v>0.2</v>
      </c>
      <c r="Z58" s="21">
        <f>EXP(-LN(2)/35)*Z57+(1-EXP(-LN(2)/35))/(LN(2)/35)*V58*W58*VLOOKUP('Données projet'!$B$9,Paramètres!$A$1:$I$89,3,0)*0.475*44/12</f>
        <v>40.98648449277556</v>
      </c>
      <c r="AA58" s="21">
        <f>EXP(-LN(2)/25)*AA57+(1-EXP(-LN(2)/25))/(LN(2)/25)*Calculateur!V58*Calculateur!X58*VLOOKUP('Données projet'!$B$9,Paramètres!$A$1:$I$89,3,0)*0.475*44/12</f>
        <v>38.571940912577354</v>
      </c>
      <c r="AB58" s="21">
        <f>EXP(-LN(2)/2)*AB57+(1-EXP(-LN(2)/2))/(LN(2)/2)*V58*Y58*VLOOKUP('Données projet'!$B$9,Paramètres!$A$1:$I$89,3,0)*0.475*44/12</f>
        <v>5.8609596692950481</v>
      </c>
      <c r="AC58" s="22">
        <f t="shared" si="3"/>
        <v>85.419385074647963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-1.7053025658242404E-13</v>
      </c>
      <c r="AJ58" s="13">
        <f>AI58*VLOOKUP('Données projet'!$B$10,Paramètres!$A$1:$I$89,3,0)*VLOOKUP('Données projet'!$B$10,Paramètres!$A$1:$I$89,5,0)</f>
        <v>-1.5429577615577727E-13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376.97234030481559</v>
      </c>
      <c r="AO58" s="59">
        <f t="shared" si="36"/>
        <v>532.90758914457615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57.463514176409447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57.463514176409447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9.75</v>
      </c>
      <c r="BD58" s="12">
        <f>IF('Données projet'!$A$88&gt;35,BD57+BC58-BL57,IF(A58&lt;'Données projet'!$A$88,$BA$205^A58,IF(A58='Données projet'!$A$88,'Données projet'!$B$88,BD57+BC58-BL57)))</f>
        <v>255.25</v>
      </c>
      <c r="BE58" s="13">
        <f>BD58*VLOOKUP('Données projet'!$B$11,Paramètres!$A$1:$I$89,3,0)*VLOOKUP('Données projet'!$B$11,Paramètres!$A$1:$I$89,5,0)</f>
        <v>159.27600000000001</v>
      </c>
      <c r="BF58" s="13">
        <f t="shared" si="37"/>
        <v>40.679172107249002</v>
      </c>
      <c r="BG58" s="20">
        <f t="shared" si="7"/>
        <v>348.25525808679203</v>
      </c>
      <c r="BH58" s="59">
        <f t="shared" si="8"/>
        <v>606.57771356726334</v>
      </c>
      <c r="BI58" s="59">
        <f ca="1">AVERAGE(OFFSET($BH$3,0,0,'Données projet'!$E$11+1,1))-AVERAGE(OFFSET($H$3,0,0,'Données projet'!$E$11+1,1))</f>
        <v>256.72534545771862</v>
      </c>
      <c r="BJ58" s="59">
        <f t="shared" si="38"/>
        <v>362.34519377447361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46.770547895362697</v>
      </c>
      <c r="BQ58" s="21">
        <f>EXP(-LN(2)/25)*BQ57+(1-EXP(-LN(2)/25))/(LN(2)/25)*Calculateur!BL58*Calculateur!BN58*VLOOKUP('Données projet'!$B$11,Paramètres!$A$1:$I$89,3,0)*0.475*44/12</f>
        <v>29.376251631346079</v>
      </c>
      <c r="BR58" s="21">
        <f>EXP(-LN(2)/2)*BR57+(1-EXP(-LN(2)/2))/(LN(2)/2)*BL58*BO58*VLOOKUP('Données projet'!$B$11,Paramètres!$A$1:$I$89,3,0)*0.475*44/12</f>
        <v>0.53149109893119706</v>
      </c>
      <c r="BS58" s="22">
        <f t="shared" si="9"/>
        <v>76.678290625639974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10.199999999999999</v>
      </c>
      <c r="N59" s="13">
        <f>IF('Données projet'!$A$36&gt;35,N58+M59-V58,IF(A59&lt;'Données projet'!$A$36,$K$205^A59,IF(A59='Données projet'!$A$36,'Données projet'!$B$36,N58+M59-V58)))</f>
        <v>625.19999999999959</v>
      </c>
      <c r="O59" s="13">
        <f>N59*VLOOKUP('Données projet'!$B$9,Paramètres!$A$1:$I$89,3,0)*VLOOKUP('Données projet'!$B$9,Paramètres!$A$1:$I$89,5,0)</f>
        <v>349.48679999999979</v>
      </c>
      <c r="P59" s="13">
        <f t="shared" si="33"/>
        <v>81.45682900536228</v>
      </c>
      <c r="Q59" s="20">
        <f t="shared" si="53"/>
        <v>750.56015385100557</v>
      </c>
      <c r="R59" s="59">
        <f t="shared" si="0"/>
        <v>1009.4899697896274</v>
      </c>
      <c r="S59" s="59">
        <f ca="1">AVERAGE(OFFSET($R$3,0,0,'Données projet'!$E$9+1,1))-AVERAGE(OFFSET($H$3,0,0,'Données projet'!$E$9+1,1))</f>
        <v>459.83870442974046</v>
      </c>
      <c r="T59" s="59">
        <f t="shared" si="34"/>
        <v>565.68976940602215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40.1827645311593</v>
      </c>
      <c r="AA59" s="21">
        <f>EXP(-LN(2)/25)*AA58+(1-EXP(-LN(2)/25))/(LN(2)/25)*Calculateur!V59*Calculateur!X59*VLOOKUP('Données projet'!$B$9,Paramètres!$A$1:$I$89,3,0)*0.475*44/12</f>
        <v>37.517189159912711</v>
      </c>
      <c r="AB59" s="21">
        <f>EXP(-LN(2)/2)*AB58+(1-EXP(-LN(2)/2))/(LN(2)/2)*V59*Y59*VLOOKUP('Données projet'!$B$9,Paramètres!$A$1:$I$89,3,0)*0.475*44/12</f>
        <v>4.1443243264193939</v>
      </c>
      <c r="AC59" s="22">
        <f t="shared" si="3"/>
        <v>81.844278017491405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-1.7053025658242404E-13</v>
      </c>
      <c r="AJ59" s="13">
        <f>AI59*VLOOKUP('Données projet'!$B$10,Paramètres!$A$1:$I$89,3,0)*VLOOKUP('Données projet'!$B$10,Paramètres!$A$1:$I$89,5,0)</f>
        <v>-1.5429577615577727E-13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376.97234030481559</v>
      </c>
      <c r="AO59" s="59">
        <f t="shared" si="36"/>
        <v>532.90758914457615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56.336689712692873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56.336689712692873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9.75</v>
      </c>
      <c r="BD59" s="12">
        <f>IF('Données projet'!$A$88&gt;35,BD58+BC59-BL58,IF(A59&lt;'Données projet'!$A$88,$BA$205^A59,IF(A59='Données projet'!$A$88,'Données projet'!$B$88,BD58+BC59-BL58)))</f>
        <v>265</v>
      </c>
      <c r="BE59" s="13">
        <f>BD59*VLOOKUP('Données projet'!$B$11,Paramètres!$A$1:$I$89,3,0)*VLOOKUP('Données projet'!$B$11,Paramètres!$A$1:$I$89,5,0)</f>
        <v>165.35999999999999</v>
      </c>
      <c r="BF59" s="13">
        <f t="shared" si="37"/>
        <v>42.04915012784209</v>
      </c>
      <c r="BG59" s="20">
        <f t="shared" si="7"/>
        <v>361.2376031393249</v>
      </c>
      <c r="BH59" s="59">
        <f t="shared" si="8"/>
        <v>620.16741907794665</v>
      </c>
      <c r="BI59" s="59">
        <f ca="1">AVERAGE(OFFSET($BH$3,0,0,'Données projet'!$E$11+1,1))-AVERAGE(OFFSET($H$3,0,0,'Données projet'!$E$11+1,1))</f>
        <v>256.72534545771862</v>
      </c>
      <c r="BJ59" s="59">
        <f t="shared" si="38"/>
        <v>362.34519377447361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45.853405978352022</v>
      </c>
      <c r="BQ59" s="21">
        <f>EXP(-LN(2)/25)*BQ58+(1-EXP(-LN(2)/25))/(LN(2)/25)*Calculateur!BL59*Calculateur!BN59*VLOOKUP('Données projet'!$B$11,Paramètres!$A$1:$I$89,3,0)*0.475*44/12</f>
        <v>28.572956485656988</v>
      </c>
      <c r="BR59" s="21">
        <f>EXP(-LN(2)/2)*BR58+(1-EXP(-LN(2)/2))/(LN(2)/2)*BL59*BO59*VLOOKUP('Données projet'!$B$11,Paramètres!$A$1:$I$89,3,0)*0.475*44/12</f>
        <v>0.37582096019453964</v>
      </c>
      <c r="BS59" s="22">
        <f t="shared" si="9"/>
        <v>74.802183424203548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10.199999999999999</v>
      </c>
      <c r="N60" s="13">
        <f>IF('Données projet'!$A$36&gt;35,N59+M60-V59,IF(A60&lt;'Données projet'!$A$36,$K$205^A60,IF(A60='Données projet'!$A$36,'Données projet'!$B$36,N59+M60-V59)))</f>
        <v>635.39999999999964</v>
      </c>
      <c r="O60" s="13">
        <f>N60*VLOOKUP('Données projet'!$B$9,Paramètres!$A$1:$I$89,3,0)*VLOOKUP('Données projet'!$B$9,Paramètres!$A$1:$I$89,5,0)</f>
        <v>355.18859999999984</v>
      </c>
      <c r="P60" s="13">
        <f t="shared" si="33"/>
        <v>82.629981116726043</v>
      </c>
      <c r="Q60" s="20">
        <f t="shared" si="53"/>
        <v>762.53402877829774</v>
      </c>
      <c r="R60" s="59">
        <f t="shared" si="0"/>
        <v>1022.0606688289754</v>
      </c>
      <c r="S60" s="59">
        <f ca="1">AVERAGE(OFFSET($R$3,0,0,'Données projet'!$E$9+1,1))-AVERAGE(OFFSET($H$3,0,0,'Données projet'!$E$9+1,1))</f>
        <v>459.83870442974046</v>
      </c>
      <c r="T60" s="59">
        <f t="shared" si="34"/>
        <v>565.68976940602215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39.394805027769564</v>
      </c>
      <c r="AA60" s="21">
        <f>EXP(-LN(2)/25)*AA59+(1-EXP(-LN(2)/25))/(LN(2)/25)*Calculateur!V60*Calculateur!X60*VLOOKUP('Données projet'!$B$9,Paramètres!$A$1:$I$89,3,0)*0.475*44/12</f>
        <v>36.491279649391664</v>
      </c>
      <c r="AB60" s="21">
        <f>EXP(-LN(2)/2)*AB59+(1-EXP(-LN(2)/2))/(LN(2)/2)*V60*Y60*VLOOKUP('Données projet'!$B$9,Paramètres!$A$1:$I$89,3,0)*0.475*44/12</f>
        <v>2.9304798346475245</v>
      </c>
      <c r="AC60" s="22">
        <f t="shared" si="3"/>
        <v>78.81656451180875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-1.7053025658242404E-13</v>
      </c>
      <c r="AJ60" s="13">
        <f>AI60*VLOOKUP('Données projet'!$B$10,Paramètres!$A$1:$I$89,3,0)*VLOOKUP('Données projet'!$B$10,Paramètres!$A$1:$I$89,5,0)</f>
        <v>-1.5429577615577727E-13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376.97234030481559</v>
      </c>
      <c r="AO60" s="59">
        <f t="shared" si="36"/>
        <v>532.90758914457615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55.231961589414723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55.231961589414723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9.75</v>
      </c>
      <c r="BD60" s="12">
        <f>IF('Données projet'!$A$88&gt;35,BD59+BC60-BL59,IF(A60&lt;'Données projet'!$A$88,$BA$205^A60,IF(A60='Données projet'!$A$88,'Données projet'!$B$88,BD59+BC60-BL59)))</f>
        <v>274.75</v>
      </c>
      <c r="BE60" s="13">
        <f>BD60*VLOOKUP('Données projet'!$B$11,Paramètres!$A$1:$I$89,3,0)*VLOOKUP('Données projet'!$B$11,Paramètres!$A$1:$I$89,5,0)</f>
        <v>171.44399999999999</v>
      </c>
      <c r="BF60" s="13">
        <f t="shared" si="37"/>
        <v>43.413272173627242</v>
      </c>
      <c r="BG60" s="20">
        <f t="shared" si="7"/>
        <v>374.20974903573409</v>
      </c>
      <c r="BH60" s="59">
        <f t="shared" si="8"/>
        <v>633.7363890864118</v>
      </c>
      <c r="BI60" s="59">
        <f ca="1">AVERAGE(OFFSET($BH$3,0,0,'Données projet'!$E$11+1,1))-AVERAGE(OFFSET($H$3,0,0,'Données projet'!$E$11+1,1))</f>
        <v>256.72534545771862</v>
      </c>
      <c r="BJ60" s="59">
        <f t="shared" si="38"/>
        <v>362.34519377447361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44.954248654932591</v>
      </c>
      <c r="BQ60" s="21">
        <f>EXP(-LN(2)/25)*BQ59+(1-EXP(-LN(2)/25))/(LN(2)/25)*Calculateur!BL60*Calculateur!BN60*VLOOKUP('Données projet'!$B$11,Paramètres!$A$1:$I$89,3,0)*0.475*44/12</f>
        <v>27.791627487970221</v>
      </c>
      <c r="BR60" s="21">
        <f>EXP(-LN(2)/2)*BR59+(1-EXP(-LN(2)/2))/(LN(2)/2)*BL60*BO60*VLOOKUP('Données projet'!$B$11,Paramètres!$A$1:$I$89,3,0)*0.475*44/12</f>
        <v>0.26574554946559853</v>
      </c>
      <c r="BS60" s="22">
        <f t="shared" si="9"/>
        <v>73.011621692368408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10.199999999999999</v>
      </c>
      <c r="N61" s="13">
        <f>IF('Données projet'!$A$36&gt;35,N60+M61-V60,IF(A61&lt;'Données projet'!$A$36,$K$205^A61,IF(A61='Données projet'!$A$36,'Données projet'!$B$36,N60+M61-V60)))</f>
        <v>645.59999999999968</v>
      </c>
      <c r="O61" s="13">
        <f>N61*VLOOKUP('Données projet'!$B$9,Paramètres!$A$1:$I$89,3,0)*VLOOKUP('Données projet'!$B$9,Paramètres!$A$1:$I$89,5,0)</f>
        <v>360.89039999999977</v>
      </c>
      <c r="P61" s="13">
        <f t="shared" si="33"/>
        <v>83.800943075865291</v>
      </c>
      <c r="Q61" s="20">
        <f t="shared" si="53"/>
        <v>774.50408919046504</v>
      </c>
      <c r="R61" s="59">
        <f t="shared" si="0"/>
        <v>1034.6171997891533</v>
      </c>
      <c r="S61" s="59">
        <f ca="1">AVERAGE(OFFSET($R$3,0,0,'Données projet'!$E$9+1,1))-AVERAGE(OFFSET($H$3,0,0,'Données projet'!$E$9+1,1))</f>
        <v>459.83870442974046</v>
      </c>
      <c r="T61" s="59">
        <f t="shared" si="34"/>
        <v>565.68976940602215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38.622296929633457</v>
      </c>
      <c r="AA61" s="21">
        <f>EXP(-LN(2)/25)*AA60+(1-EXP(-LN(2)/25))/(LN(2)/25)*Calculateur!V61*Calculateur!X61*VLOOKUP('Données projet'!$B$9,Paramètres!$A$1:$I$89,3,0)*0.475*44/12</f>
        <v>35.493423688386052</v>
      </c>
      <c r="AB61" s="21">
        <f>EXP(-LN(2)/2)*AB60+(1-EXP(-LN(2)/2))/(LN(2)/2)*V61*Y61*VLOOKUP('Données projet'!$B$9,Paramètres!$A$1:$I$89,3,0)*0.475*44/12</f>
        <v>2.0721621632096974</v>
      </c>
      <c r="AC61" s="22">
        <f t="shared" si="3"/>
        <v>76.187882781229206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-1.7053025658242404E-13</v>
      </c>
      <c r="AJ61" s="13">
        <f>AI61*VLOOKUP('Données projet'!$B$10,Paramètres!$A$1:$I$89,3,0)*VLOOKUP('Données projet'!$B$10,Paramètres!$A$1:$I$89,5,0)</f>
        <v>-1.5429577615577727E-13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376.97234030481559</v>
      </c>
      <c r="AO61" s="59">
        <f t="shared" si="36"/>
        <v>532.90758914457615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54.148896510816442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54.148896510816442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9.75</v>
      </c>
      <c r="BD61" s="12">
        <f>IF('Données projet'!$A$88&gt;35,BD60+BC61-BL60,IF(A61&lt;'Données projet'!$A$88,$BA$205^A61,IF(A61='Données projet'!$A$88,'Données projet'!$B$88,BD60+BC61-BL60)))</f>
        <v>284.5</v>
      </c>
      <c r="BE61" s="13">
        <f>BD61*VLOOKUP('Données projet'!$B$11,Paramètres!$A$1:$I$89,3,0)*VLOOKUP('Données projet'!$B$11,Paramètres!$A$1:$I$89,5,0)</f>
        <v>177.52800000000002</v>
      </c>
      <c r="BF61" s="13">
        <f t="shared" si="37"/>
        <v>44.771769863863661</v>
      </c>
      <c r="BG61" s="20">
        <f t="shared" si="7"/>
        <v>387.17209917956257</v>
      </c>
      <c r="BH61" s="59">
        <f t="shared" si="8"/>
        <v>647.28520977825099</v>
      </c>
      <c r="BI61" s="59">
        <f ca="1">AVERAGE(OFFSET($BH$3,0,0,'Données projet'!$E$11+1,1))-AVERAGE(OFFSET($H$3,0,0,'Données projet'!$E$11+1,1))</f>
        <v>256.72534545771862</v>
      </c>
      <c r="BJ61" s="59">
        <f t="shared" si="38"/>
        <v>362.34519377447361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44.072723258193605</v>
      </c>
      <c r="BQ61" s="21">
        <f>EXP(-LN(2)/25)*BQ60+(1-EXP(-LN(2)/25))/(LN(2)/25)*Calculateur!BL61*Calculateur!BN61*VLOOKUP('Données projet'!$B$11,Paramètres!$A$1:$I$89,3,0)*0.475*44/12</f>
        <v>27.031663972813504</v>
      </c>
      <c r="BR61" s="21">
        <f>EXP(-LN(2)/2)*BR60+(1-EXP(-LN(2)/2))/(LN(2)/2)*BL61*BO61*VLOOKUP('Données projet'!$B$11,Paramètres!$A$1:$I$89,3,0)*0.475*44/12</f>
        <v>0.18791048009726982</v>
      </c>
      <c r="BS61" s="22">
        <f t="shared" si="9"/>
        <v>71.292297711104382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10.199999999999999</v>
      </c>
      <c r="N62" s="13">
        <f>IF('Données projet'!$A$36&gt;35,N61+M62-V61,IF(A62&lt;'Données projet'!$A$36,$K$205^A62,IF(A62='Données projet'!$A$36,'Données projet'!$B$36,N61+M62-V61)))</f>
        <v>655.79999999999973</v>
      </c>
      <c r="O62" s="13">
        <f>N62*VLOOKUP('Données projet'!$B$9,Paramètres!$A$1:$I$89,3,0)*VLOOKUP('Données projet'!$B$9,Paramètres!$A$1:$I$89,5,0)</f>
        <v>366.59219999999982</v>
      </c>
      <c r="P62" s="13">
        <f t="shared" si="33"/>
        <v>84.969753481055022</v>
      </c>
      <c r="Q62" s="20">
        <f t="shared" si="53"/>
        <v>786.47040231283711</v>
      </c>
      <c r="R62" s="59">
        <f t="shared" si="0"/>
        <v>1047.1598095066799</v>
      </c>
      <c r="S62" s="59">
        <f ca="1">AVERAGE(OFFSET($R$3,0,0,'Données projet'!$E$9+1,1))-AVERAGE(OFFSET($H$3,0,0,'Données projet'!$E$9+1,1))</f>
        <v>459.83870442974046</v>
      </c>
      <c r="T62" s="59">
        <f t="shared" si="34"/>
        <v>565.68976940602215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37.864937244118387</v>
      </c>
      <c r="AA62" s="21">
        <f>EXP(-LN(2)/25)*AA61+(1-EXP(-LN(2)/25))/(LN(2)/25)*Calculateur!V62*Calculateur!X62*VLOOKUP('Données projet'!$B$9,Paramètres!$A$1:$I$89,3,0)*0.475*44/12</f>
        <v>34.522854151109108</v>
      </c>
      <c r="AB62" s="21">
        <f>EXP(-LN(2)/2)*AB61+(1-EXP(-LN(2)/2))/(LN(2)/2)*V62*Y62*VLOOKUP('Données projet'!$B$9,Paramètres!$A$1:$I$89,3,0)*0.475*44/12</f>
        <v>1.4652399173237625</v>
      </c>
      <c r="AC62" s="22">
        <f t="shared" si="3"/>
        <v>73.853031312551252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-1.7053025658242404E-13</v>
      </c>
      <c r="AJ62" s="13">
        <f>AI62*VLOOKUP('Données projet'!$B$10,Paramètres!$A$1:$I$89,3,0)*VLOOKUP('Données projet'!$B$10,Paramètres!$A$1:$I$89,5,0)</f>
        <v>-1.5429577615577727E-13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376.97234030481559</v>
      </c>
      <c r="AO62" s="59">
        <f t="shared" si="36"/>
        <v>532.90758914457615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53.087069677805005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53.087069677805005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9.75</v>
      </c>
      <c r="BD62" s="12">
        <f>IF('Données projet'!$A$88&gt;35,BD61+BC62-BL61,IF(A62&lt;'Données projet'!$A$88,$BA$205^A62,IF(A62='Données projet'!$A$88,'Données projet'!$B$88,BD61+BC62-BL61)))</f>
        <v>294.25</v>
      </c>
      <c r="BE62" s="13">
        <f>BD62*VLOOKUP('Données projet'!$B$11,Paramètres!$A$1:$I$89,3,0)*VLOOKUP('Données projet'!$B$11,Paramètres!$A$1:$I$89,5,0)</f>
        <v>183.61199999999999</v>
      </c>
      <c r="BF62" s="13">
        <f t="shared" si="37"/>
        <v>46.124858041839339</v>
      </c>
      <c r="BG62" s="20">
        <f t="shared" si="7"/>
        <v>400.12502775620351</v>
      </c>
      <c r="BH62" s="59">
        <f t="shared" si="8"/>
        <v>660.81443495004623</v>
      </c>
      <c r="BI62" s="59">
        <f ca="1">AVERAGE(OFFSET($BH$3,0,0,'Données projet'!$E$11+1,1))-AVERAGE(OFFSET($H$3,0,0,'Données projet'!$E$11+1,1))</f>
        <v>256.72534545771862</v>
      </c>
      <c r="BJ62" s="59">
        <f t="shared" si="38"/>
        <v>362.34519377447361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43.20848403680727</v>
      </c>
      <c r="BQ62" s="21">
        <f>EXP(-LN(2)/25)*BQ61+(1-EXP(-LN(2)/25))/(LN(2)/25)*Calculateur!BL62*Calculateur!BN62*VLOOKUP('Données projet'!$B$11,Paramètres!$A$1:$I$89,3,0)*0.475*44/12</f>
        <v>26.292481699943494</v>
      </c>
      <c r="BR62" s="21">
        <f>EXP(-LN(2)/2)*BR61+(1-EXP(-LN(2)/2))/(LN(2)/2)*BL62*BO62*VLOOKUP('Données projet'!$B$11,Paramètres!$A$1:$I$89,3,0)*0.475*44/12</f>
        <v>0.13287277473279926</v>
      </c>
      <c r="BS62" s="22">
        <f t="shared" si="9"/>
        <v>69.633838511483575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666</v>
      </c>
      <c r="L63" s="12">
        <f>VLOOKUP(A63,'Données projet'!$A$35:$I$55,9,0)</f>
        <v>10.199999999999999</v>
      </c>
      <c r="M63" s="12">
        <f t="array" ref="M63">INDEX(L:L,MIN(IF(ISNUMBER(L63:L259),ROW(L63:L259),"")))</f>
        <v>10.199999999999999</v>
      </c>
      <c r="N63" s="13">
        <f>IF('Données projet'!$A$36&gt;35,N62+M63-V62,IF(A63&lt;'Données projet'!$A$36,$K$205^A63,IF(A63='Données projet'!$A$36,'Données projet'!$B$36,N62+M63-V62)))</f>
        <v>665.99999999999977</v>
      </c>
      <c r="O63" s="13">
        <f>N63*VLOOKUP('Données projet'!$B$9,Paramètres!$A$1:$I$89,3,0)*VLOOKUP('Données projet'!$B$9,Paramètres!$A$1:$I$89,5,0)</f>
        <v>372.29399999999987</v>
      </c>
      <c r="P63" s="13">
        <f t="shared" si="33"/>
        <v>86.136449661008839</v>
      </c>
      <c r="Q63" s="20">
        <f t="shared" si="53"/>
        <v>798.43303315959008</v>
      </c>
      <c r="R63" s="59">
        <f t="shared" si="0"/>
        <v>1059.6887394910675</v>
      </c>
      <c r="S63" s="59">
        <f ca="1">AVERAGE(OFFSET($R$3,0,0,'Données projet'!$E$9+1,1))-AVERAGE(OFFSET($H$3,0,0,'Données projet'!$E$9+1,1))</f>
        <v>459.83870442974046</v>
      </c>
      <c r="T63" s="59">
        <f t="shared" si="34"/>
        <v>565.68976940602215</v>
      </c>
      <c r="U63" s="15" t="str">
        <f>IF(ISNA(VLOOKUP(A63,'Données projet'!$A$35:$I$55,3,0)),0,VLOOKUP(A63,'Données projet'!$A$35:$I$55,3,0))</f>
        <v>CR</v>
      </c>
      <c r="V63" s="15">
        <f>IF(ISNA(VLOOKUP(A63,'Données projet'!$A$35:$I$55,4,0)),0,VLOOKUP(A63,'Données projet'!$A$35:$I$55,4,0))</f>
        <v>666</v>
      </c>
      <c r="W63" s="16">
        <f>IF(ISNA(VLOOKUP(A63,'Données projet'!$A$35:$I$55,5,0)),0%,VLOOKUP(A63,'Données projet'!$A$35:$I$55,5,0)*VLOOKUP('Données projet'!$B$9,Paramètres!$A$1:$I$89,7,0))</f>
        <v>0.44000000000000006</v>
      </c>
      <c r="X63" s="16">
        <f>IF(ISNA(VLOOKUP(A63,'Données projet'!$A$35:$I$55,6,0)),0%,VLOOKUP(A63,'Données projet'!$A$35:$I$55,6,0)*VLOOKUP('Données projet'!$B$9,Paramètres!$A$1:$I$89,7,0))</f>
        <v>5.5000000000000007E-2</v>
      </c>
      <c r="Y63" s="16">
        <f>IF(ISNA(VLOOKUP(A63,'Données projet'!$A$35:$I$55,7,0)),0%,VLOOKUP(A63,'Données projet'!$A$35:$I$55,7,0))</f>
        <v>0.1</v>
      </c>
      <c r="Z63" s="21">
        <f>EXP(-LN(2)/35)*Z62+(1-EXP(-LN(2)/35))/(LN(2)/35)*V63*W63*VLOOKUP('Données projet'!$B$9,Paramètres!$A$1:$I$89,3,0)*0.475*44/12</f>
        <v>254.42610336439211</v>
      </c>
      <c r="AA63" s="21">
        <f>EXP(-LN(2)/25)*AA62+(1-EXP(-LN(2)/25))/(LN(2)/25)*Calculateur!V63*Calculateur!X63*VLOOKUP('Données projet'!$B$9,Paramètres!$A$1:$I$89,3,0)*0.475*44/12</f>
        <v>60.634833273721668</v>
      </c>
      <c r="AB63" s="21">
        <f>EXP(-LN(2)/2)*AB62+(1-EXP(-LN(2)/2))/(LN(2)/2)*V63*Y63*VLOOKUP('Données projet'!$B$9,Paramètres!$A$1:$I$89,3,0)*0.475*44/12</f>
        <v>43.18841017913666</v>
      </c>
      <c r="AC63" s="22">
        <f t="shared" si="3"/>
        <v>358.24934681725045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-1.7053025658242404E-13</v>
      </c>
      <c r="AJ63" s="13">
        <f>AI63*VLOOKUP('Données projet'!$B$10,Paramètres!$A$1:$I$89,3,0)*VLOOKUP('Données projet'!$B$10,Paramètres!$A$1:$I$89,5,0)</f>
        <v>-1.5429577615577727E-13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376.97234030481559</v>
      </c>
      <c r="AO63" s="59">
        <f t="shared" si="36"/>
        <v>532.90758914457615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52.046064621338502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52.046064621338502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304</v>
      </c>
      <c r="BB63" s="12">
        <f>VLOOKUP(A63,'Données projet'!$A$87:$I$107,9,0)</f>
        <v>9.75</v>
      </c>
      <c r="BC63" s="12">
        <f t="array" ref="BC63">INDEX(BB:BB,MIN(IF(ISNUMBER(BB63:BB259),ROW(BB63:BB259),"")))</f>
        <v>9.75</v>
      </c>
      <c r="BD63" s="12">
        <f>IF('Données projet'!$A$88&gt;35,BD62+BC63-BL62,IF(A63&lt;'Données projet'!$A$88,$BA$205^A63,IF(A63='Données projet'!$A$88,'Données projet'!$B$88,BD62+BC63-BL62)))</f>
        <v>304</v>
      </c>
      <c r="BE63" s="13">
        <f>BD63*VLOOKUP('Données projet'!$B$11,Paramètres!$A$1:$I$89,3,0)*VLOOKUP('Données projet'!$B$11,Paramètres!$A$1:$I$89,5,0)</f>
        <v>189.696</v>
      </c>
      <c r="BF63" s="13">
        <f t="shared" si="37"/>
        <v>47.472736505152469</v>
      </c>
      <c r="BG63" s="20">
        <f t="shared" si="7"/>
        <v>413.06888274647389</v>
      </c>
      <c r="BH63" s="59">
        <f t="shared" si="8"/>
        <v>674.32458907795137</v>
      </c>
      <c r="BI63" s="59">
        <f ca="1">AVERAGE(OFFSET($BH$3,0,0,'Données projet'!$E$11+1,1))-AVERAGE(OFFSET($H$3,0,0,'Données projet'!$E$11+1,1))</f>
        <v>256.72534545771862</v>
      </c>
      <c r="BJ63" s="59">
        <f t="shared" si="38"/>
        <v>362.34519377447361</v>
      </c>
      <c r="BK63" s="15" t="str">
        <f>IF(ISNA(VLOOKUP(A63,'Données projet'!$A$87:$I$107,3,0)),0,VLOOKUP(A63,'Données projet'!$A$87:$I$107,3,0))</f>
        <v>CR</v>
      </c>
      <c r="BL63" s="15">
        <f>IF(ISNA(VLOOKUP(A63,'Données projet'!$A$87:$I$107,4,0)),0,VLOOKUP(A63,'Données projet'!$A$87:$I$107,4,0))</f>
        <v>304</v>
      </c>
      <c r="BM63" s="16">
        <f>IF(ISNA(VLOOKUP(A63,'Données projet'!$A$87:$I$107,5,0)),0%,VLOOKUP(A63,'Données projet'!$A$87:$I$107,5,0)*VLOOKUP('Données projet'!$B$11,Paramètres!$A$1:$I$89,7,0))</f>
        <v>0.48</v>
      </c>
      <c r="BN63" s="16">
        <f>IF(ISNA(VLOOKUP(A63,'Données projet'!$A$87:$I$107,6,0)),0%,VLOOKUP(A63,'Données projet'!$A$87:$I$107,6,0)*VLOOKUP('Données projet'!$B$11,Paramètres!$A$1:$I$89,7,0))</f>
        <v>0.06</v>
      </c>
      <c r="BO63" s="16">
        <f>IF(ISNA(VLOOKUP(A63,'Données projet'!$A$87:$I$107,7,0)),0%,VLOOKUP(A63,'Données projet'!$A$87:$I$107,7,0))</f>
        <v>0.1</v>
      </c>
      <c r="BP63" s="21">
        <f>EXP(-LN(2)/35)*BP62+(1-EXP(-LN(2)/35))/(LN(2)/35)*BL63*BM63*VLOOKUP('Données projet'!$B$11,Paramètres!$A$1:$I$89,3,0)*0.475*44/12</f>
        <v>163.15029807016677</v>
      </c>
      <c r="BQ63" s="21">
        <f>EXP(-LN(2)/25)*BQ62+(1-EXP(-LN(2)/25))/(LN(2)/25)*Calculateur!BL63*Calculateur!BN63*VLOOKUP('Données projet'!$B$11,Paramètres!$A$1:$I$89,3,0)*0.475*44/12</f>
        <v>40.612701569693129</v>
      </c>
      <c r="BR63" s="21">
        <f>EXP(-LN(2)/2)*BR62+(1-EXP(-LN(2)/2))/(LN(2)/2)*BL63*BO63*VLOOKUP('Données projet'!$B$11,Paramètres!$A$1:$I$89,3,0)*0.475*44/12</f>
        <v>21.571949031206682</v>
      </c>
      <c r="BS63" s="22">
        <f t="shared" si="9"/>
        <v>225.3349486710666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459.83870442974046</v>
      </c>
      <c r="T64" s="59">
        <f t="shared" si="34"/>
        <v>565.68976940602215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249.43696266201621</v>
      </c>
      <c r="AA64" s="21">
        <f>EXP(-LN(2)/25)*AA63+(1-EXP(-LN(2)/25))/(LN(2)/25)*Calculateur!V64*Calculateur!X64*VLOOKUP('Données projet'!$B$9,Paramètres!$A$1:$I$89,3,0)*0.475*44/12</f>
        <v>58.976770569204447</v>
      </c>
      <c r="AB64" s="21">
        <f>EXP(-LN(2)/2)*AB63+(1-EXP(-LN(2)/2))/(LN(2)/2)*V64*Y64*VLOOKUP('Données projet'!$B$9,Paramètres!$A$1:$I$89,3,0)*0.475*44/12</f>
        <v>30.538817706333649</v>
      </c>
      <c r="AC64" s="22">
        <f t="shared" si="3"/>
        <v>338.95255093755429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-1.7053025658242404E-13</v>
      </c>
      <c r="AJ64" s="13">
        <f>AI64*VLOOKUP('Données projet'!$B$10,Paramètres!$A$1:$I$89,3,0)*VLOOKUP('Données projet'!$B$10,Paramètres!$A$1:$I$89,5,0)</f>
        <v>-1.5429577615577727E-13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376.97234030481559</v>
      </c>
      <c r="AO64" s="59">
        <f t="shared" si="36"/>
        <v>532.90758914457615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51.025473039078918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51.025473039078918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256.72534545771862</v>
      </c>
      <c r="BJ64" s="59">
        <f t="shared" si="38"/>
        <v>362.34519377447361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159.95102023686664</v>
      </c>
      <c r="BQ64" s="21">
        <f>EXP(-LN(2)/25)*BQ63+(1-EXP(-LN(2)/25))/(LN(2)/25)*Calculateur!BL64*Calculateur!BN64*VLOOKUP('Données projet'!$B$11,Paramètres!$A$1:$I$89,3,0)*0.475*44/12</f>
        <v>39.50214510954072</v>
      </c>
      <c r="BR64" s="21">
        <f>EXP(-LN(2)/2)*BR63+(1-EXP(-LN(2)/2))/(LN(2)/2)*BL64*BO64*VLOOKUP('Données projet'!$B$11,Paramètres!$A$1:$I$89,3,0)*0.475*44/12</f>
        <v>15.25367144337682</v>
      </c>
      <c r="BS64" s="22">
        <f t="shared" si="9"/>
        <v>214.70683678978418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459.83870442974046</v>
      </c>
      <c r="T65" s="59">
        <f t="shared" si="34"/>
        <v>565.68976940602215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244.54565596573858</v>
      </c>
      <c r="AA65" s="21">
        <f>EXP(-LN(2)/25)*AA64+(1-EXP(-LN(2)/25))/(LN(2)/25)*Calculateur!V65*Calculateur!X65*VLOOKUP('Données projet'!$B$9,Paramètres!$A$1:$I$89,3,0)*0.475*44/12</f>
        <v>57.364047676535982</v>
      </c>
      <c r="AB65" s="21">
        <f>EXP(-LN(2)/2)*AB64+(1-EXP(-LN(2)/2))/(LN(2)/2)*V65*Y65*VLOOKUP('Données projet'!$B$9,Paramètres!$A$1:$I$89,3,0)*0.475*44/12</f>
        <v>21.594205089568334</v>
      </c>
      <c r="AC65" s="22">
        <f t="shared" si="3"/>
        <v>323.5039087318429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-1.7053025658242404E-13</v>
      </c>
      <c r="AJ65" s="13">
        <f>AI65*VLOOKUP('Données projet'!$B$10,Paramètres!$A$1:$I$89,3,0)*VLOOKUP('Données projet'!$B$10,Paramètres!$A$1:$I$89,5,0)</f>
        <v>-1.5429577615577727E-13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376.97234030481559</v>
      </c>
      <c r="AO65" s="59">
        <f t="shared" si="36"/>
        <v>532.90758914457615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50.024894635248046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50.024894635248046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256.72534545771862</v>
      </c>
      <c r="BJ65" s="59">
        <f t="shared" si="38"/>
        <v>362.34519377447361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156.81447829051072</v>
      </c>
      <c r="BQ65" s="21">
        <f>EXP(-LN(2)/25)*BQ64+(1-EXP(-LN(2)/25))/(LN(2)/25)*Calculateur!BL65*Calculateur!BN65*VLOOKUP('Données projet'!$B$11,Paramètres!$A$1:$I$89,3,0)*0.475*44/12</f>
        <v>38.421956874192801</v>
      </c>
      <c r="BR65" s="21">
        <f>EXP(-LN(2)/2)*BR64+(1-EXP(-LN(2)/2))/(LN(2)/2)*BL65*BO65*VLOOKUP('Données projet'!$B$11,Paramètres!$A$1:$I$89,3,0)*0.475*44/12</f>
        <v>10.785974515603343</v>
      </c>
      <c r="BS65" s="22">
        <f t="shared" si="9"/>
        <v>206.02240968030685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459.83870442974046</v>
      </c>
      <c r="T66" s="59">
        <f t="shared" si="34"/>
        <v>565.68976940602215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239.75026481037244</v>
      </c>
      <c r="AA66" s="21">
        <f>EXP(-LN(2)/25)*AA65+(1-EXP(-LN(2)/25))/(LN(2)/25)*Calculateur!V66*Calculateur!X66*VLOOKUP('Données projet'!$B$9,Paramètres!$A$1:$I$89,3,0)*0.475*44/12</f>
        <v>55.795424776176944</v>
      </c>
      <c r="AB66" s="21">
        <f>EXP(-LN(2)/2)*AB65+(1-EXP(-LN(2)/2))/(LN(2)/2)*V66*Y66*VLOOKUP('Données projet'!$B$9,Paramètres!$A$1:$I$89,3,0)*0.475*44/12</f>
        <v>15.269408853166828</v>
      </c>
      <c r="AC66" s="22">
        <f t="shared" si="3"/>
        <v>310.81509843971622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-1.7053025658242404E-13</v>
      </c>
      <c r="AJ66" s="13">
        <f>AI66*VLOOKUP('Données projet'!$B$10,Paramètres!$A$1:$I$89,3,0)*VLOOKUP('Données projet'!$B$10,Paramètres!$A$1:$I$89,5,0)</f>
        <v>-1.5429577615577727E-13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376.97234030481559</v>
      </c>
      <c r="AO66" s="59">
        <f t="shared" si="36"/>
        <v>532.90758914457615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49.043936963623736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49.043936963623736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256.72534545771862</v>
      </c>
      <c r="BJ66" s="59">
        <f t="shared" si="38"/>
        <v>362.34519377447361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153.73944201862116</v>
      </c>
      <c r="BQ66" s="21">
        <f>EXP(-LN(2)/25)*BQ65+(1-EXP(-LN(2)/25))/(LN(2)/25)*Calculateur!BL66*Calculateur!BN66*VLOOKUP('Données projet'!$B$11,Paramètres!$A$1:$I$89,3,0)*0.475*44/12</f>
        <v>37.371306442945105</v>
      </c>
      <c r="BR66" s="21">
        <f>EXP(-LN(2)/2)*BR65+(1-EXP(-LN(2)/2))/(LN(2)/2)*BL66*BO66*VLOOKUP('Données projet'!$B$11,Paramètres!$A$1:$I$89,3,0)*0.475*44/12</f>
        <v>7.6268357216884111</v>
      </c>
      <c r="BS66" s="22">
        <f t="shared" si="9"/>
        <v>198.73758418325468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459.83870442974046</v>
      </c>
      <c r="T67" s="59">
        <f t="shared" si="34"/>
        <v>565.68976940602215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235.04890835066325</v>
      </c>
      <c r="AA67" s="21">
        <f>EXP(-LN(2)/25)*AA66+(1-EXP(-LN(2)/25))/(LN(2)/25)*Calculateur!V67*Calculateur!X67*VLOOKUP('Données projet'!$B$9,Paramètres!$A$1:$I$89,3,0)*0.475*44/12</f>
        <v>54.269695951518521</v>
      </c>
      <c r="AB67" s="21">
        <f>EXP(-LN(2)/2)*AB66+(1-EXP(-LN(2)/2))/(LN(2)/2)*V67*Y67*VLOOKUP('Données projet'!$B$9,Paramètres!$A$1:$I$89,3,0)*0.475*44/12</f>
        <v>10.797102544784169</v>
      </c>
      <c r="AC67" s="22">
        <f t="shared" si="3"/>
        <v>300.11570684696596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-1.7053025658242404E-13</v>
      </c>
      <c r="AJ67" s="13">
        <f>AI67*VLOOKUP('Données projet'!$B$10,Paramètres!$A$1:$I$89,3,0)*VLOOKUP('Données projet'!$B$10,Paramètres!$A$1:$I$89,5,0)</f>
        <v>-1.5429577615577727E-13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376.97234030481559</v>
      </c>
      <c r="AO67" s="59">
        <f t="shared" si="36"/>
        <v>532.90758914457615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48.082215273614878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48.082215273614878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256.72534545771862</v>
      </c>
      <c r="BJ67" s="59">
        <f t="shared" si="38"/>
        <v>362.34519377447361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150.72470533243643</v>
      </c>
      <c r="BQ67" s="21">
        <f>EXP(-LN(2)/25)*BQ66+(1-EXP(-LN(2)/25))/(LN(2)/25)*Calculateur!BL67*Calculateur!BN67*VLOOKUP('Données projet'!$B$11,Paramètres!$A$1:$I$89,3,0)*0.475*44/12</f>
        <v>36.349386102991176</v>
      </c>
      <c r="BR67" s="21">
        <f>EXP(-LN(2)/2)*BR66+(1-EXP(-LN(2)/2))/(LN(2)/2)*BL67*BO67*VLOOKUP('Données projet'!$B$11,Paramètres!$A$1:$I$89,3,0)*0.475*44/12</f>
        <v>5.3929872578016722</v>
      </c>
      <c r="BS67" s="22">
        <f t="shared" si="9"/>
        <v>192.46707869322927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459.83870442974046</v>
      </c>
      <c r="T68" s="59">
        <f t="shared" si="34"/>
        <v>565.68976940602215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230.43974262358466</v>
      </c>
      <c r="AA68" s="21">
        <f>EXP(-LN(2)/25)*AA67+(1-EXP(-LN(2)/25))/(LN(2)/25)*Calculateur!V68*Calculateur!X68*VLOOKUP('Données projet'!$B$9,Paramètres!$A$1:$I$89,3,0)*0.475*44/12</f>
        <v>52.785688261804971</v>
      </c>
      <c r="AB68" s="21">
        <f>EXP(-LN(2)/2)*AB67+(1-EXP(-LN(2)/2))/(LN(2)/2)*V68*Y68*VLOOKUP('Données projet'!$B$9,Paramètres!$A$1:$I$89,3,0)*0.475*44/12</f>
        <v>7.634704426583415</v>
      </c>
      <c r="AC68" s="22">
        <f t="shared" ref="AC68:AC131" si="57">SUM(Z68:AB68)</f>
        <v>290.86013531197307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-1.7053025658242404E-13</v>
      </c>
      <c r="AJ68" s="13">
        <f>AI68*VLOOKUP('Données projet'!$B$10,Paramètres!$A$1:$I$89,3,0)*VLOOKUP('Données projet'!$B$10,Paramètres!$A$1:$I$89,5,0)</f>
        <v>-1.5429577615577727E-13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376.97234030481559</v>
      </c>
      <c r="AO68" s="59">
        <f t="shared" si="36"/>
        <v>532.90758914457615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47.139352359354781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47.139352359354781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256.72534545771862</v>
      </c>
      <c r="BJ68" s="59">
        <f t="shared" si="38"/>
        <v>362.34519377447361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147.76908579385997</v>
      </c>
      <c r="BQ68" s="21">
        <f>EXP(-LN(2)/25)*BQ67+(1-EXP(-LN(2)/25))/(LN(2)/25)*Calculateur!BL68*Calculateur!BN68*VLOOKUP('Données projet'!$B$11,Paramètres!$A$1:$I$89,3,0)*0.475*44/12</f>
        <v>35.355410228473744</v>
      </c>
      <c r="BR68" s="21">
        <f>EXP(-LN(2)/2)*BR67+(1-EXP(-LN(2)/2))/(LN(2)/2)*BL68*BO68*VLOOKUP('Données projet'!$B$11,Paramètres!$A$1:$I$89,3,0)*0.475*44/12</f>
        <v>3.8134178608442064</v>
      </c>
      <c r="BS68" s="22">
        <f t="shared" ref="BS68:BS131" si="63">SUM(BP68:BR68)</f>
        <v>186.93791388317791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459.83870442974046</v>
      </c>
      <c r="T69" s="59">
        <f t="shared" ref="T69:T132" si="88">$T$3</f>
        <v>565.68976940602215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225.92095982510057</v>
      </c>
      <c r="AA69" s="21">
        <f>EXP(-LN(2)/25)*AA68+(1-EXP(-LN(2)/25))/(LN(2)/25)*Calculateur!V69*Calculateur!X69*VLOOKUP('Données projet'!$B$9,Paramètres!$A$1:$I$89,3,0)*0.475*44/12</f>
        <v>51.342260840407214</v>
      </c>
      <c r="AB69" s="21">
        <f>EXP(-LN(2)/2)*AB68+(1-EXP(-LN(2)/2))/(LN(2)/2)*V69*Y69*VLOOKUP('Données projet'!$B$9,Paramètres!$A$1:$I$89,3,0)*0.475*44/12</f>
        <v>5.3985512723920852</v>
      </c>
      <c r="AC69" s="22">
        <f t="shared" si="57"/>
        <v>282.66177193789986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-1.7053025658242404E-13</v>
      </c>
      <c r="AJ69" s="13">
        <f>AI69*VLOOKUP('Données projet'!$B$10,Paramètres!$A$1:$I$89,3,0)*VLOOKUP('Données projet'!$B$10,Paramètres!$A$1:$I$89,5,0)</f>
        <v>-1.5429577615577727E-13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376.97234030481559</v>
      </c>
      <c r="AO69" s="59">
        <f t="shared" ref="AO69:AO132" si="90">$AO$3</f>
        <v>532.90758914457615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46.214978411753734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46.214978411753734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256.72534545771862</v>
      </c>
      <c r="BJ69" s="59">
        <f t="shared" ref="BJ69:BJ132" si="92">$BJ$3</f>
        <v>362.34519377447361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144.87142415168509</v>
      </c>
      <c r="BQ69" s="21">
        <f>EXP(-LN(2)/25)*BQ68+(1-EXP(-LN(2)/25))/(LN(2)/25)*Calculateur!BL69*Calculateur!BN69*VLOOKUP('Données projet'!$B$11,Paramètres!$A$1:$I$89,3,0)*0.475*44/12</f>
        <v>34.388614676515914</v>
      </c>
      <c r="BR69" s="21">
        <f>EXP(-LN(2)/2)*BR68+(1-EXP(-LN(2)/2))/(LN(2)/2)*BL69*BO69*VLOOKUP('Données projet'!$B$11,Paramètres!$A$1:$I$89,3,0)*0.475*44/12</f>
        <v>2.6964936289008365</v>
      </c>
      <c r="BS69" s="22">
        <f t="shared" si="63"/>
        <v>181.95653245710184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459.83870442974046</v>
      </c>
      <c r="T70" s="59">
        <f t="shared" si="88"/>
        <v>565.68976940602215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221.49078760110939</v>
      </c>
      <c r="AA70" s="21">
        <f>EXP(-LN(2)/25)*AA69+(1-EXP(-LN(2)/25))/(LN(2)/25)*Calculateur!V70*Calculateur!X70*VLOOKUP('Données projet'!$B$9,Paramètres!$A$1:$I$89,3,0)*0.475*44/12</f>
        <v>49.938304017754128</v>
      </c>
      <c r="AB70" s="21">
        <f>EXP(-LN(2)/2)*AB69+(1-EXP(-LN(2)/2))/(LN(2)/2)*V70*Y70*VLOOKUP('Données projet'!$B$9,Paramètres!$A$1:$I$89,3,0)*0.475*44/12</f>
        <v>3.8173522132917084</v>
      </c>
      <c r="AC70" s="22">
        <f t="shared" si="57"/>
        <v>275.24644383215525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-1.7053025658242404E-13</v>
      </c>
      <c r="AJ70" s="13">
        <f>AI70*VLOOKUP('Données projet'!$B$10,Paramètres!$A$1:$I$89,3,0)*VLOOKUP('Données projet'!$B$10,Paramètres!$A$1:$I$89,5,0)</f>
        <v>-1.5429577615577727E-13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376.97234030481559</v>
      </c>
      <c r="AO70" s="59">
        <f t="shared" si="90"/>
        <v>532.90758914457615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45.308730873452703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45.308730873452703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256.72534545771862</v>
      </c>
      <c r="BJ70" s="59">
        <f t="shared" si="92"/>
        <v>362.34519377447361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142.03058388691417</v>
      </c>
      <c r="BQ70" s="21">
        <f>EXP(-LN(2)/25)*BQ69+(1-EXP(-LN(2)/25))/(LN(2)/25)*Calculateur!BL70*Calculateur!BN70*VLOOKUP('Données projet'!$B$11,Paramètres!$A$1:$I$89,3,0)*0.475*44/12</f>
        <v>33.44825619976794</v>
      </c>
      <c r="BR70" s="21">
        <f>EXP(-LN(2)/2)*BR69+(1-EXP(-LN(2)/2))/(LN(2)/2)*BL70*BO70*VLOOKUP('Données projet'!$B$11,Paramètres!$A$1:$I$89,3,0)*0.475*44/12</f>
        <v>1.9067089304221034</v>
      </c>
      <c r="BS70" s="22">
        <f t="shared" si="63"/>
        <v>177.38554901710421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459.83870442974046</v>
      </c>
      <c r="T71" s="59">
        <f t="shared" si="88"/>
        <v>565.68976940602215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217.14748835229244</v>
      </c>
      <c r="AA71" s="21">
        <f>EXP(-LN(2)/25)*AA70+(1-EXP(-LN(2)/25))/(LN(2)/25)*Calculateur!V71*Calculateur!X71*VLOOKUP('Données projet'!$B$9,Paramètres!$A$1:$I$89,3,0)*0.475*44/12</f>
        <v>48.572738468247366</v>
      </c>
      <c r="AB71" s="21">
        <f>EXP(-LN(2)/2)*AB70+(1-EXP(-LN(2)/2))/(LN(2)/2)*V71*Y71*VLOOKUP('Données projet'!$B$9,Paramètres!$A$1:$I$89,3,0)*0.475*44/12</f>
        <v>2.699275636196043</v>
      </c>
      <c r="AC71" s="22">
        <f t="shared" si="57"/>
        <v>268.41950245673581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-1.7053025658242404E-13</v>
      </c>
      <c r="AJ71" s="13">
        <f>AI71*VLOOKUP('Données projet'!$B$10,Paramètres!$A$1:$I$89,3,0)*VLOOKUP('Données projet'!$B$10,Paramètres!$A$1:$I$89,5,0)</f>
        <v>-1.5429577615577727E-13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376.97234030481559</v>
      </c>
      <c r="AO71" s="59">
        <f t="shared" si="90"/>
        <v>532.90758914457615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44.420254296621337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44.420254296621337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256.72534545771862</v>
      </c>
      <c r="BJ71" s="59">
        <f t="shared" si="92"/>
        <v>362.34519377447361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139.24545076699394</v>
      </c>
      <c r="BQ71" s="21">
        <f>EXP(-LN(2)/25)*BQ70+(1-EXP(-LN(2)/25))/(LN(2)/25)*Calculateur!BL71*Calculateur!BN71*VLOOKUP('Données projet'!$B$11,Paramètres!$A$1:$I$89,3,0)*0.475*44/12</f>
        <v>32.533611875017939</v>
      </c>
      <c r="BR71" s="21">
        <f>EXP(-LN(2)/2)*BR70+(1-EXP(-LN(2)/2))/(LN(2)/2)*BL71*BO71*VLOOKUP('Données projet'!$B$11,Paramètres!$A$1:$I$89,3,0)*0.475*44/12</f>
        <v>1.3482468144504185</v>
      </c>
      <c r="BS71" s="22">
        <f t="shared" si="63"/>
        <v>173.12730945646229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459.83870442974046</v>
      </c>
      <c r="T72" s="59">
        <f t="shared" si="88"/>
        <v>565.68976940602215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212.88935855259385</v>
      </c>
      <c r="AA72" s="21">
        <f>EXP(-LN(2)/25)*AA71+(1-EXP(-LN(2)/25))/(LN(2)/25)*Calculateur!V72*Calculateur!X72*VLOOKUP('Données projet'!$B$9,Paramètres!$A$1:$I$89,3,0)*0.475*44/12</f>
        <v>47.244514380503837</v>
      </c>
      <c r="AB72" s="21">
        <f>EXP(-LN(2)/2)*AB71+(1-EXP(-LN(2)/2))/(LN(2)/2)*V72*Y72*VLOOKUP('Données projet'!$B$9,Paramètres!$A$1:$I$89,3,0)*0.475*44/12</f>
        <v>1.9086761066458544</v>
      </c>
      <c r="AC72" s="22">
        <f t="shared" si="57"/>
        <v>262.04254903974351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-1.7053025658242404E-13</v>
      </c>
      <c r="AJ72" s="13">
        <f>AI72*VLOOKUP('Données projet'!$B$10,Paramètres!$A$1:$I$89,3,0)*VLOOKUP('Données projet'!$B$10,Paramètres!$A$1:$I$89,5,0)</f>
        <v>-1.5429577615577727E-13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376.97234030481559</v>
      </c>
      <c r="AO72" s="59">
        <f t="shared" si="90"/>
        <v>532.90758914457615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43.549200203544437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43.549200203544437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256.72534545771862</v>
      </c>
      <c r="BJ72" s="59">
        <f t="shared" si="92"/>
        <v>362.34519377447361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136.51493240879188</v>
      </c>
      <c r="BQ72" s="21">
        <f>EXP(-LN(2)/25)*BQ71+(1-EXP(-LN(2)/25))/(LN(2)/25)*Calculateur!BL72*Calculateur!BN72*VLOOKUP('Données projet'!$B$11,Paramètres!$A$1:$I$89,3,0)*0.475*44/12</f>
        <v>31.643978547427281</v>
      </c>
      <c r="BR72" s="21">
        <f>EXP(-LN(2)/2)*BR71+(1-EXP(-LN(2)/2))/(LN(2)/2)*BL72*BO72*VLOOKUP('Données projet'!$B$11,Paramètres!$A$1:$I$89,3,0)*0.475*44/12</f>
        <v>0.95335446521105183</v>
      </c>
      <c r="BS72" s="22">
        <f t="shared" si="63"/>
        <v>169.11226542143021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459.83870442974046</v>
      </c>
      <c r="T73" s="59">
        <f t="shared" si="88"/>
        <v>565.68976940602215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208.71472808106461</v>
      </c>
      <c r="AA73" s="21">
        <f>EXP(-LN(2)/25)*AA72+(1-EXP(-LN(2)/25))/(LN(2)/25)*Calculateur!V73*Calculateur!X73*VLOOKUP('Données projet'!$B$9,Paramètres!$A$1:$I$89,3,0)*0.475*44/12</f>
        <v>45.95261065028793</v>
      </c>
      <c r="AB73" s="21">
        <f>EXP(-LN(2)/2)*AB72+(1-EXP(-LN(2)/2))/(LN(2)/2)*V73*Y73*VLOOKUP('Données projet'!$B$9,Paramètres!$A$1:$I$89,3,0)*0.475*44/12</f>
        <v>1.3496378180980217</v>
      </c>
      <c r="AC73" s="22">
        <f t="shared" si="57"/>
        <v>256.01697654945059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-1.7053025658242404E-13</v>
      </c>
      <c r="AJ73" s="13">
        <f>AI73*VLOOKUP('Données projet'!$B$10,Paramètres!$A$1:$I$89,3,0)*VLOOKUP('Données projet'!$B$10,Paramètres!$A$1:$I$89,5,0)</f>
        <v>-1.5429577615577727E-13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376.97234030481559</v>
      </c>
      <c r="AO73" s="59">
        <f t="shared" si="90"/>
        <v>532.90758914457615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42.695226949942239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42.695226949942239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256.72534545771862</v>
      </c>
      <c r="BJ73" s="59">
        <f t="shared" si="92"/>
        <v>362.34519377447361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133.8379578501424</v>
      </c>
      <c r="BQ73" s="21">
        <f>EXP(-LN(2)/25)*BQ72+(1-EXP(-LN(2)/25))/(LN(2)/25)*Calculateur!BL73*Calculateur!BN73*VLOOKUP('Données projet'!$B$11,Paramètres!$A$1:$I$89,3,0)*0.475*44/12</f>
        <v>30.778672289963374</v>
      </c>
      <c r="BR73" s="21">
        <f>EXP(-LN(2)/2)*BR72+(1-EXP(-LN(2)/2))/(LN(2)/2)*BL73*BO73*VLOOKUP('Données projet'!$B$11,Paramètres!$A$1:$I$89,3,0)*0.475*44/12</f>
        <v>0.67412340722520936</v>
      </c>
      <c r="BS73" s="22">
        <f t="shared" si="63"/>
        <v>165.29075354733098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459.83870442974046</v>
      </c>
      <c r="T74" s="59">
        <f t="shared" si="88"/>
        <v>565.68976940602215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204.6219595668089</v>
      </c>
      <c r="AA74" s="21">
        <f>EXP(-LN(2)/25)*AA73+(1-EXP(-LN(2)/25))/(LN(2)/25)*Calculateur!V74*Calculateur!X74*VLOOKUP('Données projet'!$B$9,Paramètres!$A$1:$I$89,3,0)*0.475*44/12</f>
        <v>44.696034095513042</v>
      </c>
      <c r="AB74" s="21">
        <f>EXP(-LN(2)/2)*AB73+(1-EXP(-LN(2)/2))/(LN(2)/2)*V74*Y74*VLOOKUP('Données projet'!$B$9,Paramètres!$A$1:$I$89,3,0)*0.475*44/12</f>
        <v>0.95433805332292732</v>
      </c>
      <c r="AC74" s="22">
        <f t="shared" si="57"/>
        <v>250.27233171564487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-1.7053025658242404E-13</v>
      </c>
      <c r="AJ74" s="13">
        <f>AI74*VLOOKUP('Données projet'!$B$10,Paramètres!$A$1:$I$89,3,0)*VLOOKUP('Données projet'!$B$10,Paramètres!$A$1:$I$89,5,0)</f>
        <v>-1.5429577615577727E-13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376.97234030481559</v>
      </c>
      <c r="AO74" s="59">
        <f t="shared" si="90"/>
        <v>532.90758914457615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41.857999590970927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41.857999590970927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256.72534545771862</v>
      </c>
      <c r="BJ74" s="59">
        <f t="shared" si="92"/>
        <v>362.34519377447361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131.2134771297948</v>
      </c>
      <c r="BQ74" s="21">
        <f>EXP(-LN(2)/25)*BQ73+(1-EXP(-LN(2)/25))/(LN(2)/25)*Calculateur!BL74*Calculateur!BN74*VLOOKUP('Données projet'!$B$11,Paramètres!$A$1:$I$89,3,0)*0.475*44/12</f>
        <v>29.937027877614295</v>
      </c>
      <c r="BR74" s="21">
        <f>EXP(-LN(2)/2)*BR73+(1-EXP(-LN(2)/2))/(LN(2)/2)*BL74*BO74*VLOOKUP('Données projet'!$B$11,Paramètres!$A$1:$I$89,3,0)*0.475*44/12</f>
        <v>0.47667723260552602</v>
      </c>
      <c r="BS74" s="22">
        <f t="shared" si="63"/>
        <v>161.62718224001463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459.83870442974046</v>
      </c>
      <c r="T75" s="59">
        <f t="shared" si="88"/>
        <v>565.68976940602215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200.60944774677543</v>
      </c>
      <c r="AA75" s="21">
        <f>EXP(-LN(2)/25)*AA74+(1-EXP(-LN(2)/25))/(LN(2)/25)*Calculateur!V75*Calculateur!X75*VLOOKUP('Données projet'!$B$9,Paramètres!$A$1:$I$89,3,0)*0.475*44/12</f>
        <v>43.47381869270896</v>
      </c>
      <c r="AB75" s="21">
        <f>EXP(-LN(2)/2)*AB74+(1-EXP(-LN(2)/2))/(LN(2)/2)*V75*Y75*VLOOKUP('Données projet'!$B$9,Paramètres!$A$1:$I$89,3,0)*0.475*44/12</f>
        <v>0.67481890904901098</v>
      </c>
      <c r="AC75" s="22">
        <f t="shared" si="57"/>
        <v>244.7580853485334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-1.7053025658242404E-13</v>
      </c>
      <c r="AJ75" s="13">
        <f>AI75*VLOOKUP('Données projet'!$B$10,Paramètres!$A$1:$I$89,3,0)*VLOOKUP('Données projet'!$B$10,Paramètres!$A$1:$I$89,5,0)</f>
        <v>-1.5429577615577727E-13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376.97234030481559</v>
      </c>
      <c r="AO75" s="59">
        <f t="shared" si="90"/>
        <v>532.90758914457615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41.037189749850775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41.037189749850775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256.72534545771862</v>
      </c>
      <c r="BJ75" s="59">
        <f t="shared" si="92"/>
        <v>362.34519377447361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128.64046087559802</v>
      </c>
      <c r="BQ75" s="21">
        <f>EXP(-LN(2)/25)*BQ74+(1-EXP(-LN(2)/25))/(LN(2)/25)*Calculateur!BL75*Calculateur!BN75*VLOOKUP('Données projet'!$B$11,Paramètres!$A$1:$I$89,3,0)*0.475*44/12</f>
        <v>29.118398275981058</v>
      </c>
      <c r="BR75" s="21">
        <f>EXP(-LN(2)/2)*BR74+(1-EXP(-LN(2)/2))/(LN(2)/2)*BL75*BO75*VLOOKUP('Données projet'!$B$11,Paramètres!$A$1:$I$89,3,0)*0.475*44/12</f>
        <v>0.33706170361260474</v>
      </c>
      <c r="BS75" s="22">
        <f t="shared" si="63"/>
        <v>158.09592085519168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459.83870442974046</v>
      </c>
      <c r="T76" s="59">
        <f t="shared" si="88"/>
        <v>565.68976940602215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196.67561883614226</v>
      </c>
      <c r="AA76" s="21">
        <f>EXP(-LN(2)/25)*AA75+(1-EXP(-LN(2)/25))/(LN(2)/25)*Calculateur!V76*Calculateur!X76*VLOOKUP('Données projet'!$B$9,Paramètres!$A$1:$I$89,3,0)*0.475*44/12</f>
        <v>42.285024834368066</v>
      </c>
      <c r="AB76" s="21">
        <f>EXP(-LN(2)/2)*AB75+(1-EXP(-LN(2)/2))/(LN(2)/2)*V76*Y76*VLOOKUP('Données projet'!$B$9,Paramètres!$A$1:$I$89,3,0)*0.475*44/12</f>
        <v>0.47716902666146377</v>
      </c>
      <c r="AC76" s="22">
        <f t="shared" si="57"/>
        <v>239.43781269717181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-1.7053025658242404E-13</v>
      </c>
      <c r="AJ76" s="13">
        <f>AI76*VLOOKUP('Données projet'!$B$10,Paramètres!$A$1:$I$89,3,0)*VLOOKUP('Données projet'!$B$10,Paramètres!$A$1:$I$89,5,0)</f>
        <v>-1.5429577615577727E-13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376.97234030481559</v>
      </c>
      <c r="AO76" s="59">
        <f t="shared" si="90"/>
        <v>532.90758914457615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40.232475489070417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40.232475489070417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256.72534545771862</v>
      </c>
      <c r="BJ76" s="59">
        <f t="shared" si="92"/>
        <v>362.34519377447361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126.1178999007611</v>
      </c>
      <c r="BQ76" s="21">
        <f>EXP(-LN(2)/25)*BQ75+(1-EXP(-LN(2)/25))/(LN(2)/25)*Calculateur!BL76*Calculateur!BN76*VLOOKUP('Données projet'!$B$11,Paramètres!$A$1:$I$89,3,0)*0.475*44/12</f>
        <v>28.322154143854341</v>
      </c>
      <c r="BR76" s="21">
        <f>EXP(-LN(2)/2)*BR75+(1-EXP(-LN(2)/2))/(LN(2)/2)*BL76*BO76*VLOOKUP('Données projet'!$B$11,Paramètres!$A$1:$I$89,3,0)*0.475*44/12</f>
        <v>0.23833861630276304</v>
      </c>
      <c r="BS76" s="22">
        <f t="shared" si="63"/>
        <v>154.67839266091821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459.83870442974046</v>
      </c>
      <c r="T77" s="59">
        <f t="shared" si="88"/>
        <v>565.68976940602215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192.81892991104792</v>
      </c>
      <c r="AA77" s="21">
        <f>EXP(-LN(2)/25)*AA76+(1-EXP(-LN(2)/25))/(LN(2)/25)*Calculateur!V77*Calculateur!X77*VLOOKUP('Données projet'!$B$9,Paramètres!$A$1:$I$89,3,0)*0.475*44/12</f>
        <v>41.128738606599462</v>
      </c>
      <c r="AB77" s="21">
        <f>EXP(-LN(2)/2)*AB76+(1-EXP(-LN(2)/2))/(LN(2)/2)*V77*Y77*VLOOKUP('Données projet'!$B$9,Paramètres!$A$1:$I$89,3,0)*0.475*44/12</f>
        <v>0.33740945452450555</v>
      </c>
      <c r="AC77" s="22">
        <f t="shared" si="57"/>
        <v>234.28507797217188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-1.7053025658242404E-13</v>
      </c>
      <c r="AJ77" s="13">
        <f>AI77*VLOOKUP('Données projet'!$B$10,Paramètres!$A$1:$I$89,3,0)*VLOOKUP('Données projet'!$B$10,Paramètres!$A$1:$I$89,5,0)</f>
        <v>-1.5429577615577727E-13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376.97234030481559</v>
      </c>
      <c r="AO77" s="59">
        <f t="shared" si="90"/>
        <v>532.90758914457615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39.443541184116732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39.443541184116732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256.72534545771862</v>
      </c>
      <c r="BJ77" s="59">
        <f t="shared" si="92"/>
        <v>362.34519377447361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123.64480480803047</v>
      </c>
      <c r="BQ77" s="21">
        <f>EXP(-LN(2)/25)*BQ76+(1-EXP(-LN(2)/25))/(LN(2)/25)*Calculateur!BL77*Calculateur!BN77*VLOOKUP('Données projet'!$B$11,Paramètres!$A$1:$I$89,3,0)*0.475*44/12</f>
        <v>27.547683349393289</v>
      </c>
      <c r="BR77" s="21">
        <f>EXP(-LN(2)/2)*BR76+(1-EXP(-LN(2)/2))/(LN(2)/2)*BL77*BO77*VLOOKUP('Données projet'!$B$11,Paramètres!$A$1:$I$89,3,0)*0.475*44/12</f>
        <v>0.1685308518063024</v>
      </c>
      <c r="BS77" s="22">
        <f t="shared" si="63"/>
        <v>151.36101900923006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459.83870442974046</v>
      </c>
      <c r="T78" s="59">
        <f t="shared" si="88"/>
        <v>565.68976940602215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189.03786830342671</v>
      </c>
      <c r="AA78" s="21">
        <f>EXP(-LN(2)/25)*AA77+(1-EXP(-LN(2)/25))/(LN(2)/25)*Calculateur!V78*Calculateur!X78*VLOOKUP('Données projet'!$B$9,Paramètres!$A$1:$I$89,3,0)*0.475*44/12</f>
        <v>40.004071086535639</v>
      </c>
      <c r="AB78" s="21">
        <f>EXP(-LN(2)/2)*AB77+(1-EXP(-LN(2)/2))/(LN(2)/2)*V78*Y78*VLOOKUP('Données projet'!$B$9,Paramètres!$A$1:$I$89,3,0)*0.475*44/12</f>
        <v>0.23858451333073191</v>
      </c>
      <c r="AC78" s="22">
        <f t="shared" si="57"/>
        <v>229.28052390329307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-1.7053025658242404E-13</v>
      </c>
      <c r="AJ78" s="13">
        <f>AI78*VLOOKUP('Données projet'!$B$10,Paramètres!$A$1:$I$89,3,0)*VLOOKUP('Données projet'!$B$10,Paramètres!$A$1:$I$89,5,0)</f>
        <v>-1.5429577615577727E-13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376.97234030481559</v>
      </c>
      <c r="AO78" s="59">
        <f t="shared" si="90"/>
        <v>532.90758914457615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38.670077399680778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38.670077399680778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256.72534545771862</v>
      </c>
      <c r="BJ78" s="59">
        <f t="shared" si="92"/>
        <v>362.34519377447361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121.22020560162923</v>
      </c>
      <c r="BQ78" s="21">
        <f>EXP(-LN(2)/25)*BQ77+(1-EXP(-LN(2)/25))/(LN(2)/25)*Calculateur!BL78*Calculateur!BN78*VLOOKUP('Données projet'!$B$11,Paramètres!$A$1:$I$89,3,0)*0.475*44/12</f>
        <v>26.794390499534423</v>
      </c>
      <c r="BR78" s="21">
        <f>EXP(-LN(2)/2)*BR77+(1-EXP(-LN(2)/2))/(LN(2)/2)*BL78*BO78*VLOOKUP('Données projet'!$B$11,Paramètres!$A$1:$I$89,3,0)*0.475*44/12</f>
        <v>0.11916930815138155</v>
      </c>
      <c r="BS78" s="22">
        <f t="shared" si="63"/>
        <v>148.13376540931503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459.83870442974046</v>
      </c>
      <c r="T79" s="59">
        <f t="shared" si="88"/>
        <v>565.68976940602215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185.33095100771106</v>
      </c>
      <c r="AA79" s="21">
        <f>EXP(-LN(2)/25)*AA78+(1-EXP(-LN(2)/25))/(LN(2)/25)*Calculateur!V79*Calculateur!X79*VLOOKUP('Données projet'!$B$9,Paramètres!$A$1:$I$89,3,0)*0.475*44/12</f>
        <v>38.910157658951654</v>
      </c>
      <c r="AB79" s="21">
        <f>EXP(-LN(2)/2)*AB78+(1-EXP(-LN(2)/2))/(LN(2)/2)*V79*Y79*VLOOKUP('Données projet'!$B$9,Paramètres!$A$1:$I$89,3,0)*0.475*44/12</f>
        <v>0.1687047272622528</v>
      </c>
      <c r="AC79" s="22">
        <f t="shared" si="57"/>
        <v>224.40981339392496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-1.7053025658242404E-13</v>
      </c>
      <c r="AJ79" s="13">
        <f>AI79*VLOOKUP('Données projet'!$B$10,Paramètres!$A$1:$I$89,3,0)*VLOOKUP('Données projet'!$B$10,Paramètres!$A$1:$I$89,5,0)</f>
        <v>-1.5429577615577727E-13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376.97234030481559</v>
      </c>
      <c r="AO79" s="59">
        <f t="shared" si="90"/>
        <v>532.90758914457615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37.911780768291287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37.911780768291287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256.72534545771862</v>
      </c>
      <c r="BJ79" s="59">
        <f t="shared" si="92"/>
        <v>362.34519377447361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118.84315130680602</v>
      </c>
      <c r="BQ79" s="21">
        <f>EXP(-LN(2)/25)*BQ78+(1-EXP(-LN(2)/25))/(LN(2)/25)*Calculateur!BL79*Calculateur!BN79*VLOOKUP('Données projet'!$B$11,Paramètres!$A$1:$I$89,3,0)*0.475*44/12</f>
        <v>26.061696482268896</v>
      </c>
      <c r="BR79" s="21">
        <f>EXP(-LN(2)/2)*BR78+(1-EXP(-LN(2)/2))/(LN(2)/2)*BL79*BO79*VLOOKUP('Données projet'!$B$11,Paramètres!$A$1:$I$89,3,0)*0.475*44/12</f>
        <v>8.4265425903151212E-2</v>
      </c>
      <c r="BS79" s="22">
        <f t="shared" si="63"/>
        <v>144.98911321497806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459.83870442974046</v>
      </c>
      <c r="T80" s="59">
        <f t="shared" si="88"/>
        <v>565.68976940602215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181.69672409916811</v>
      </c>
      <c r="AA80" s="21">
        <f>EXP(-LN(2)/25)*AA79+(1-EXP(-LN(2)/25))/(LN(2)/25)*Calculateur!V80*Calculateur!X80*VLOOKUP('Données projet'!$B$9,Paramètres!$A$1:$I$89,3,0)*0.475*44/12</f>
        <v>37.846157351571357</v>
      </c>
      <c r="AB80" s="21">
        <f>EXP(-LN(2)/2)*AB79+(1-EXP(-LN(2)/2))/(LN(2)/2)*V80*Y80*VLOOKUP('Données projet'!$B$9,Paramètres!$A$1:$I$89,3,0)*0.475*44/12</f>
        <v>0.11929225666536598</v>
      </c>
      <c r="AC80" s="22">
        <f t="shared" si="57"/>
        <v>219.66217370740483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-1.7053025658242404E-13</v>
      </c>
      <c r="AJ80" s="13">
        <f>AI80*VLOOKUP('Données projet'!$B$10,Paramètres!$A$1:$I$89,3,0)*VLOOKUP('Données projet'!$B$10,Paramètres!$A$1:$I$89,5,0)</f>
        <v>-1.5429577615577727E-13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376.97234030481559</v>
      </c>
      <c r="AO80" s="59">
        <f t="shared" si="90"/>
        <v>532.90758914457615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37.168353871328065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37.168353871328065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256.72534545771862</v>
      </c>
      <c r="BJ80" s="59">
        <f t="shared" si="92"/>
        <v>362.34519377447361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116.51270959684435</v>
      </c>
      <c r="BQ80" s="21">
        <f>EXP(-LN(2)/25)*BQ79+(1-EXP(-LN(2)/25))/(LN(2)/25)*Calculateur!BL80*Calculateur!BN80*VLOOKUP('Données projet'!$B$11,Paramètres!$A$1:$I$89,3,0)*0.475*44/12</f>
        <v>25.349038021436201</v>
      </c>
      <c r="BR80" s="21">
        <f>EXP(-LN(2)/2)*BR79+(1-EXP(-LN(2)/2))/(LN(2)/2)*BL80*BO80*VLOOKUP('Données projet'!$B$11,Paramètres!$A$1:$I$89,3,0)*0.475*44/12</f>
        <v>5.9584654075690781E-2</v>
      </c>
      <c r="BS80" s="22">
        <f t="shared" si="63"/>
        <v>141.92133227235624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459.83870442974046</v>
      </c>
      <c r="T81" s="59">
        <f t="shared" si="88"/>
        <v>565.68976940602215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178.13376216364216</v>
      </c>
      <c r="AA81" s="21">
        <f>EXP(-LN(2)/25)*AA80+(1-EXP(-LN(2)/25))/(LN(2)/25)*Calculateur!V81*Calculateur!X81*VLOOKUP('Données projet'!$B$9,Paramètres!$A$1:$I$89,3,0)*0.475*44/12</f>
        <v>36.811252188549723</v>
      </c>
      <c r="AB81" s="21">
        <f>EXP(-LN(2)/2)*AB80+(1-EXP(-LN(2)/2))/(LN(2)/2)*V81*Y81*VLOOKUP('Données projet'!$B$9,Paramètres!$A$1:$I$89,3,0)*0.475*44/12</f>
        <v>8.4352363631126415E-2</v>
      </c>
      <c r="AC81" s="22">
        <f t="shared" si="57"/>
        <v>215.02936671582302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-1.7053025658242404E-13</v>
      </c>
      <c r="AJ81" s="13">
        <f>AI81*VLOOKUP('Données projet'!$B$10,Paramètres!$A$1:$I$89,3,0)*VLOOKUP('Données projet'!$B$10,Paramètres!$A$1:$I$89,5,0)</f>
        <v>-1.5429577615577727E-13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376.97234030481559</v>
      </c>
      <c r="AO81" s="59">
        <f t="shared" si="90"/>
        <v>532.90758914457615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36.439505122368665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36.439505122368665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256.72534545771862</v>
      </c>
      <c r="BJ81" s="59">
        <f t="shared" si="92"/>
        <v>362.34519377447361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114.22796642738592</v>
      </c>
      <c r="BQ81" s="21">
        <f>EXP(-LN(2)/25)*BQ80+(1-EXP(-LN(2)/25))/(LN(2)/25)*Calculateur!BL81*Calculateur!BN81*VLOOKUP('Données projet'!$B$11,Paramètres!$A$1:$I$89,3,0)*0.475*44/12</f>
        <v>24.655867243692054</v>
      </c>
      <c r="BR81" s="21">
        <f>EXP(-LN(2)/2)*BR80+(1-EXP(-LN(2)/2))/(LN(2)/2)*BL81*BO81*VLOOKUP('Données projet'!$B$11,Paramètres!$A$1:$I$89,3,0)*0.475*44/12</f>
        <v>4.2132712951575613E-2</v>
      </c>
      <c r="BS81" s="22">
        <f t="shared" si="63"/>
        <v>138.92596638402955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459.83870442974046</v>
      </c>
      <c r="T82" s="59">
        <f t="shared" si="88"/>
        <v>565.68976940602215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174.64066773847966</v>
      </c>
      <c r="AA82" s="21">
        <f>EXP(-LN(2)/25)*AA81+(1-EXP(-LN(2)/25))/(LN(2)/25)*Calculateur!V82*Calculateur!X82*VLOOKUP('Données projet'!$B$9,Paramètres!$A$1:$I$89,3,0)*0.475*44/12</f>
        <v>35.804646561634215</v>
      </c>
      <c r="AB82" s="21">
        <f>EXP(-LN(2)/2)*AB81+(1-EXP(-LN(2)/2))/(LN(2)/2)*V82*Y82*VLOOKUP('Données projet'!$B$9,Paramètres!$A$1:$I$89,3,0)*0.475*44/12</f>
        <v>5.9646128332682999E-2</v>
      </c>
      <c r="AC82" s="22">
        <f t="shared" si="57"/>
        <v>210.50496042844654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-1.7053025658242404E-13</v>
      </c>
      <c r="AJ82" s="13">
        <f>AI82*VLOOKUP('Données projet'!$B$10,Paramètres!$A$1:$I$89,3,0)*VLOOKUP('Données projet'!$B$10,Paramètres!$A$1:$I$89,5,0)</f>
        <v>-1.5429577615577727E-13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376.97234030481559</v>
      </c>
      <c r="AO82" s="59">
        <f t="shared" si="90"/>
        <v>532.90758914457615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35.724948652822512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35.724948652822512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256.72534545771862</v>
      </c>
      <c r="BJ82" s="59">
        <f t="shared" si="92"/>
        <v>362.34519377447361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111.98802567792485</v>
      </c>
      <c r="BQ82" s="21">
        <f>EXP(-LN(2)/25)*BQ81+(1-EXP(-LN(2)/25))/(LN(2)/25)*Calculateur!BL82*Calculateur!BN82*VLOOKUP('Données projet'!$B$11,Paramètres!$A$1:$I$89,3,0)*0.475*44/12</f>
        <v>23.981651257317587</v>
      </c>
      <c r="BR82" s="21">
        <f>EXP(-LN(2)/2)*BR81+(1-EXP(-LN(2)/2))/(LN(2)/2)*BL82*BO82*VLOOKUP('Données projet'!$B$11,Paramètres!$A$1:$I$89,3,0)*0.475*44/12</f>
        <v>2.9792327037845397E-2</v>
      </c>
      <c r="BS82" s="22">
        <f t="shared" si="63"/>
        <v>135.99946926228029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459.83870442974046</v>
      </c>
      <c r="T83" s="59">
        <f t="shared" si="88"/>
        <v>565.68976940602215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171.2160707644174</v>
      </c>
      <c r="AA83" s="21">
        <f>EXP(-LN(2)/25)*AA82+(1-EXP(-LN(2)/25))/(LN(2)/25)*Calculateur!V83*Calculateur!X83*VLOOKUP('Données projet'!$B$9,Paramètres!$A$1:$I$89,3,0)*0.475*44/12</f>
        <v>34.825566618521798</v>
      </c>
      <c r="AB83" s="21">
        <f>EXP(-LN(2)/2)*AB82+(1-EXP(-LN(2)/2))/(LN(2)/2)*V83*Y83*VLOOKUP('Données projet'!$B$9,Paramètres!$A$1:$I$89,3,0)*0.475*44/12</f>
        <v>4.2176181815563214E-2</v>
      </c>
      <c r="AC83" s="22">
        <f t="shared" si="57"/>
        <v>206.08381356475476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-1.7053025658242404E-13</v>
      </c>
      <c r="AJ83" s="13">
        <f>AI83*VLOOKUP('Données projet'!$B$10,Paramètres!$A$1:$I$89,3,0)*VLOOKUP('Données projet'!$B$10,Paramètres!$A$1:$I$89,5,0)</f>
        <v>-1.5429577615577727E-13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376.97234030481559</v>
      </c>
      <c r="AO83" s="59">
        <f t="shared" si="90"/>
        <v>532.90758914457615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35.024404199807748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35.024404199807748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256.72534545771862</v>
      </c>
      <c r="BJ83" s="59">
        <f t="shared" si="92"/>
        <v>362.34519377447361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109.79200880033176</v>
      </c>
      <c r="BQ83" s="21">
        <f>EXP(-LN(2)/25)*BQ82+(1-EXP(-LN(2)/25))/(LN(2)/25)*Calculateur!BL83*Calculateur!BN83*VLOOKUP('Données projet'!$B$11,Paramètres!$A$1:$I$89,3,0)*0.475*44/12</f>
        <v>23.32587174254601</v>
      </c>
      <c r="BR83" s="21">
        <f>EXP(-LN(2)/2)*BR82+(1-EXP(-LN(2)/2))/(LN(2)/2)*BL83*BO83*VLOOKUP('Données projet'!$B$11,Paramètres!$A$1:$I$89,3,0)*0.475*44/12</f>
        <v>2.106635647578781E-2</v>
      </c>
      <c r="BS83" s="22">
        <f t="shared" si="63"/>
        <v>133.13894689935356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459.83870442974046</v>
      </c>
      <c r="T84" s="59">
        <f t="shared" si="88"/>
        <v>565.68976940602215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167.85862804821858</v>
      </c>
      <c r="AA84" s="21">
        <f>EXP(-LN(2)/25)*AA83+(1-EXP(-LN(2)/25))/(LN(2)/25)*Calculateur!V84*Calculateur!X84*VLOOKUP('Données projet'!$B$9,Paramètres!$A$1:$I$89,3,0)*0.475*44/12</f>
        <v>33.873259667941369</v>
      </c>
      <c r="AB84" s="21">
        <f>EXP(-LN(2)/2)*AB83+(1-EXP(-LN(2)/2))/(LN(2)/2)*V84*Y84*VLOOKUP('Données projet'!$B$9,Paramètres!$A$1:$I$89,3,0)*0.475*44/12</f>
        <v>2.9823064166341503E-2</v>
      </c>
      <c r="AC84" s="22">
        <f t="shared" si="57"/>
        <v>201.7617107803263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-1.7053025658242404E-13</v>
      </c>
      <c r="AJ84" s="13">
        <f>AI84*VLOOKUP('Données projet'!$B$10,Paramètres!$A$1:$I$89,3,0)*VLOOKUP('Données projet'!$B$10,Paramètres!$A$1:$I$89,5,0)</f>
        <v>-1.5429577615577727E-13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376.97234030481559</v>
      </c>
      <c r="AO84" s="59">
        <f t="shared" si="90"/>
        <v>532.90758914457615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34.337596996226679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34.337596996226679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256.72534545771862</v>
      </c>
      <c r="BJ84" s="59">
        <f t="shared" si="92"/>
        <v>362.34519377447361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107.63905447427022</v>
      </c>
      <c r="BQ84" s="21">
        <f>EXP(-LN(2)/25)*BQ83+(1-EXP(-LN(2)/25))/(LN(2)/25)*Calculateur!BL84*Calculateur!BN84*VLOOKUP('Données projet'!$B$11,Paramètres!$A$1:$I$89,3,0)*0.475*44/12</f>
        <v>22.688024553091807</v>
      </c>
      <c r="BR84" s="21">
        <f>EXP(-LN(2)/2)*BR83+(1-EXP(-LN(2)/2))/(LN(2)/2)*BL84*BO84*VLOOKUP('Données projet'!$B$11,Paramètres!$A$1:$I$89,3,0)*0.475*44/12</f>
        <v>1.48961635189227E-2</v>
      </c>
      <c r="BS84" s="22">
        <f t="shared" si="63"/>
        <v>130.34197519088096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459.83870442974046</v>
      </c>
      <c r="T85" s="59">
        <f t="shared" si="88"/>
        <v>565.68976940602215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164.56702273584656</v>
      </c>
      <c r="AA85" s="21">
        <f>EXP(-LN(2)/25)*AA84+(1-EXP(-LN(2)/25))/(LN(2)/25)*Calculateur!V85*Calculateur!X85*VLOOKUP('Données projet'!$B$9,Paramètres!$A$1:$I$89,3,0)*0.475*44/12</f>
        <v>32.946993601004202</v>
      </c>
      <c r="AB85" s="21">
        <f>EXP(-LN(2)/2)*AB84+(1-EXP(-LN(2)/2))/(LN(2)/2)*V85*Y85*VLOOKUP('Données projet'!$B$9,Paramètres!$A$1:$I$89,3,0)*0.475*44/12</f>
        <v>2.1088090907781611E-2</v>
      </c>
      <c r="AC85" s="22">
        <f t="shared" si="57"/>
        <v>197.53510442775857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-1.7053025658242404E-13</v>
      </c>
      <c r="AJ85" s="13">
        <f>AI85*VLOOKUP('Données projet'!$B$10,Paramètres!$A$1:$I$89,3,0)*VLOOKUP('Données projet'!$B$10,Paramètres!$A$1:$I$89,5,0)</f>
        <v>-1.5429577615577727E-13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376.97234030481559</v>
      </c>
      <c r="AO85" s="59">
        <f t="shared" si="90"/>
        <v>532.90758914457615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33.664257662996803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33.664257662996803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256.72534545771862</v>
      </c>
      <c r="BJ85" s="59">
        <f t="shared" si="92"/>
        <v>362.34519377447361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105.52831826937029</v>
      </c>
      <c r="BQ85" s="21">
        <f>EXP(-LN(2)/25)*BQ84+(1-EXP(-LN(2)/25))/(LN(2)/25)*Calculateur!BL85*Calculateur!BN85*VLOOKUP('Données projet'!$B$11,Paramètres!$A$1:$I$89,3,0)*0.475*44/12</f>
        <v>22.067619328576153</v>
      </c>
      <c r="BR85" s="21">
        <f>EXP(-LN(2)/2)*BR84+(1-EXP(-LN(2)/2))/(LN(2)/2)*BL85*BO85*VLOOKUP('Données projet'!$B$11,Paramètres!$A$1:$I$89,3,0)*0.475*44/12</f>
        <v>1.0533178237893907E-2</v>
      </c>
      <c r="BS85" s="22">
        <f t="shared" si="63"/>
        <v>127.60647077618434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459.83870442974046</v>
      </c>
      <c r="T86" s="59">
        <f t="shared" si="88"/>
        <v>565.68976940602215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161.33996379596917</v>
      </c>
      <c r="AA86" s="21">
        <f>EXP(-LN(2)/25)*AA85+(1-EXP(-LN(2)/25))/(LN(2)/25)*Calculateur!V86*Calculateur!X86*VLOOKUP('Données projet'!$B$9,Paramètres!$A$1:$I$89,3,0)*0.475*44/12</f>
        <v>32.046056328377652</v>
      </c>
      <c r="AB86" s="21">
        <f>EXP(-LN(2)/2)*AB85+(1-EXP(-LN(2)/2))/(LN(2)/2)*V86*Y86*VLOOKUP('Données projet'!$B$9,Paramètres!$A$1:$I$89,3,0)*0.475*44/12</f>
        <v>1.4911532083170755E-2</v>
      </c>
      <c r="AC86" s="22">
        <f t="shared" si="57"/>
        <v>193.40093165643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-1.7053025658242404E-13</v>
      </c>
      <c r="AJ86" s="13">
        <f>AI86*VLOOKUP('Données projet'!$B$10,Paramètres!$A$1:$I$89,3,0)*VLOOKUP('Données projet'!$B$10,Paramètres!$A$1:$I$89,5,0)</f>
        <v>-1.5429577615577727E-13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376.97234030481559</v>
      </c>
      <c r="AO86" s="59">
        <f t="shared" si="90"/>
        <v>532.90758914457615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33.004122103395126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33.004122103395126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256.72534545771862</v>
      </c>
      <c r="BJ86" s="59">
        <f t="shared" si="92"/>
        <v>362.34519377447361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103.45897231402647</v>
      </c>
      <c r="BQ86" s="21">
        <f>EXP(-LN(2)/25)*BQ85+(1-EXP(-LN(2)/25))/(LN(2)/25)*Calculateur!BL86*Calculateur!BN86*VLOOKUP('Données projet'!$B$11,Paramètres!$A$1:$I$89,3,0)*0.475*44/12</f>
        <v>21.464179117550575</v>
      </c>
      <c r="BR86" s="21">
        <f>EXP(-LN(2)/2)*BR85+(1-EXP(-LN(2)/2))/(LN(2)/2)*BL86*BO86*VLOOKUP('Données projet'!$B$11,Paramètres!$A$1:$I$89,3,0)*0.475*44/12</f>
        <v>7.4480817594613511E-3</v>
      </c>
      <c r="BS86" s="22">
        <f t="shared" si="63"/>
        <v>124.9305995133365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459.83870442974046</v>
      </c>
      <c r="T87" s="59">
        <f t="shared" si="88"/>
        <v>565.68976940602215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158.17618551359118</v>
      </c>
      <c r="AA87" s="21">
        <f>EXP(-LN(2)/25)*AA86+(1-EXP(-LN(2)/25))/(LN(2)/25)*Calculateur!V87*Calculateur!X87*VLOOKUP('Données projet'!$B$9,Paramètres!$A$1:$I$89,3,0)*0.475*44/12</f>
        <v>31.169755232849305</v>
      </c>
      <c r="AB87" s="21">
        <f>EXP(-LN(2)/2)*AB86+(1-EXP(-LN(2)/2))/(LN(2)/2)*V87*Y87*VLOOKUP('Données projet'!$B$9,Paramètres!$A$1:$I$89,3,0)*0.475*44/12</f>
        <v>1.0544045453890807E-2</v>
      </c>
      <c r="AC87" s="22">
        <f t="shared" si="57"/>
        <v>189.35648479189436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-1.7053025658242404E-13</v>
      </c>
      <c r="AJ87" s="13">
        <f>AI87*VLOOKUP('Données projet'!$B$10,Paramètres!$A$1:$I$89,3,0)*VLOOKUP('Données projet'!$B$10,Paramètres!$A$1:$I$89,5,0)</f>
        <v>-1.5429577615577727E-13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376.97234030481559</v>
      </c>
      <c r="AO87" s="59">
        <f t="shared" si="90"/>
        <v>532.90758914457615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32.356931399474306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32.356931399474306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256.72534545771862</v>
      </c>
      <c r="BJ87" s="59">
        <f t="shared" si="92"/>
        <v>362.34519377447361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101.43020497069054</v>
      </c>
      <c r="BQ87" s="21">
        <f>EXP(-LN(2)/25)*BQ86+(1-EXP(-LN(2)/25))/(LN(2)/25)*Calculateur!BL87*Calculateur!BN87*VLOOKUP('Données projet'!$B$11,Paramètres!$A$1:$I$89,3,0)*0.475*44/12</f>
        <v>20.877240010829031</v>
      </c>
      <c r="BR87" s="21">
        <f>EXP(-LN(2)/2)*BR86+(1-EXP(-LN(2)/2))/(LN(2)/2)*BL87*BO87*VLOOKUP('Données projet'!$B$11,Paramètres!$A$1:$I$89,3,0)*0.475*44/12</f>
        <v>5.2665891189469542E-3</v>
      </c>
      <c r="BS87" s="22">
        <f t="shared" si="63"/>
        <v>122.31271157063851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459.83870442974046</v>
      </c>
      <c r="T88" s="59">
        <f t="shared" si="88"/>
        <v>565.68976940602215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155.07444699361642</v>
      </c>
      <c r="AA88" s="21">
        <f>EXP(-LN(2)/25)*AA87+(1-EXP(-LN(2)/25))/(LN(2)/25)*Calculateur!V88*Calculateur!X88*VLOOKUP('Données projet'!$B$9,Paramètres!$A$1:$I$89,3,0)*0.475*44/12</f>
        <v>30.317416636860852</v>
      </c>
      <c r="AB88" s="21">
        <f>EXP(-LN(2)/2)*AB87+(1-EXP(-LN(2)/2))/(LN(2)/2)*V88*Y88*VLOOKUP('Données projet'!$B$9,Paramètres!$A$1:$I$89,3,0)*0.475*44/12</f>
        <v>7.4557660415853783E-3</v>
      </c>
      <c r="AC88" s="22">
        <f t="shared" si="57"/>
        <v>185.39931939651885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-1.7053025658242404E-13</v>
      </c>
      <c r="AJ88" s="13">
        <f>AI88*VLOOKUP('Données projet'!$B$10,Paramètres!$A$1:$I$89,3,0)*VLOOKUP('Données projet'!$B$10,Paramètres!$A$1:$I$89,5,0)</f>
        <v>-1.5429577615577727E-13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376.97234030481559</v>
      </c>
      <c r="AO88" s="59">
        <f t="shared" si="90"/>
        <v>532.90758914457615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31.722431710510023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31.722431710510023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256.72534545771862</v>
      </c>
      <c r="BJ88" s="59">
        <f t="shared" si="92"/>
        <v>362.34519377447361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99.441220517531534</v>
      </c>
      <c r="BQ88" s="21">
        <f>EXP(-LN(2)/25)*BQ87+(1-EXP(-LN(2)/25))/(LN(2)/25)*Calculateur!BL88*Calculateur!BN88*VLOOKUP('Données projet'!$B$11,Paramètres!$A$1:$I$89,3,0)*0.475*44/12</f>
        <v>20.306350784846575</v>
      </c>
      <c r="BR88" s="21">
        <f>EXP(-LN(2)/2)*BR87+(1-EXP(-LN(2)/2))/(LN(2)/2)*BL88*BO88*VLOOKUP('Données projet'!$B$11,Paramètres!$A$1:$I$89,3,0)*0.475*44/12</f>
        <v>3.7240408797306764E-3</v>
      </c>
      <c r="BS88" s="22">
        <f t="shared" si="63"/>
        <v>119.75129534325784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459.83870442974046</v>
      </c>
      <c r="T89" s="59">
        <f t="shared" si="88"/>
        <v>565.68976940602215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152.03353167414465</v>
      </c>
      <c r="AA89" s="21">
        <f>EXP(-LN(2)/25)*AA88+(1-EXP(-LN(2)/25))/(LN(2)/25)*Calculateur!V89*Calculateur!X89*VLOOKUP('Données projet'!$B$9,Paramètres!$A$1:$I$89,3,0)*0.475*44/12</f>
        <v>29.488385284602241</v>
      </c>
      <c r="AB89" s="21">
        <f>EXP(-LN(2)/2)*AB88+(1-EXP(-LN(2)/2))/(LN(2)/2)*V89*Y89*VLOOKUP('Données projet'!$B$9,Paramètres!$A$1:$I$89,3,0)*0.475*44/12</f>
        <v>5.2720227269454044E-3</v>
      </c>
      <c r="AC89" s="22">
        <f t="shared" si="57"/>
        <v>181.52718898147384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-1.7053025658242404E-13</v>
      </c>
      <c r="AJ89" s="13">
        <f>AI89*VLOOKUP('Données projet'!$B$10,Paramètres!$A$1:$I$89,3,0)*VLOOKUP('Données projet'!$B$10,Paramètres!$A$1:$I$89,5,0)</f>
        <v>-1.5429577615577727E-13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376.97234030481559</v>
      </c>
      <c r="AO89" s="59">
        <f t="shared" si="90"/>
        <v>532.90758914457615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31.100374173439732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31.100374173439732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256.72534545771862</v>
      </c>
      <c r="BJ89" s="59">
        <f t="shared" si="92"/>
        <v>362.34519377447361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97.491238836338255</v>
      </c>
      <c r="BQ89" s="21">
        <f>EXP(-LN(2)/25)*BQ88+(1-EXP(-LN(2)/25))/(LN(2)/25)*Calculateur!BL89*Calculateur!BN89*VLOOKUP('Données projet'!$B$11,Paramètres!$A$1:$I$89,3,0)*0.475*44/12</f>
        <v>19.751072554770367</v>
      </c>
      <c r="BR89" s="21">
        <f>EXP(-LN(2)/2)*BR88+(1-EXP(-LN(2)/2))/(LN(2)/2)*BL89*BO89*VLOOKUP('Données projet'!$B$11,Paramètres!$A$1:$I$89,3,0)*0.475*44/12</f>
        <v>2.6332945594734775E-3</v>
      </c>
      <c r="BS89" s="22">
        <f t="shared" si="63"/>
        <v>117.24494468566809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459.83870442974046</v>
      </c>
      <c r="T90" s="59">
        <f t="shared" si="88"/>
        <v>565.68976940602215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149.05224684931255</v>
      </c>
      <c r="AA90" s="21">
        <f>EXP(-LN(2)/25)*AA89+(1-EXP(-LN(2)/25))/(LN(2)/25)*Calculateur!V90*Calculateur!X90*VLOOKUP('Données projet'!$B$9,Paramètres!$A$1:$I$89,3,0)*0.475*44/12</f>
        <v>28.682023838268009</v>
      </c>
      <c r="AB90" s="21">
        <f>EXP(-LN(2)/2)*AB89+(1-EXP(-LN(2)/2))/(LN(2)/2)*V90*Y90*VLOOKUP('Données projet'!$B$9,Paramètres!$A$1:$I$89,3,0)*0.475*44/12</f>
        <v>3.72788302079269E-3</v>
      </c>
      <c r="AC90" s="22">
        <f t="shared" si="57"/>
        <v>177.73799857060135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-1.7053025658242404E-13</v>
      </c>
      <c r="AJ90" s="13">
        <f>AI90*VLOOKUP('Données projet'!$B$10,Paramètres!$A$1:$I$89,3,0)*VLOOKUP('Données projet'!$B$10,Paramètres!$A$1:$I$89,5,0)</f>
        <v>-1.5429577615577727E-13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376.97234030481559</v>
      </c>
      <c r="AO90" s="59">
        <f t="shared" si="90"/>
        <v>532.90758914457615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30.490514805253756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30.490514805253756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256.72534545771862</v>
      </c>
      <c r="BJ90" s="59">
        <f t="shared" si="92"/>
        <v>362.34519377447361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95.579495106541785</v>
      </c>
      <c r="BQ90" s="21">
        <f>EXP(-LN(2)/25)*BQ89+(1-EXP(-LN(2)/25))/(LN(2)/25)*Calculateur!BL90*Calculateur!BN90*VLOOKUP('Données projet'!$B$11,Paramètres!$A$1:$I$89,3,0)*0.475*44/12</f>
        <v>19.210978437096408</v>
      </c>
      <c r="BR90" s="21">
        <f>EXP(-LN(2)/2)*BR89+(1-EXP(-LN(2)/2))/(LN(2)/2)*BL90*BO90*VLOOKUP('Données projet'!$B$11,Paramètres!$A$1:$I$89,3,0)*0.475*44/12</f>
        <v>1.8620204398653384E-3</v>
      </c>
      <c r="BS90" s="22">
        <f t="shared" si="63"/>
        <v>114.79233556407806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459.83870442974046</v>
      </c>
      <c r="T91" s="59">
        <f t="shared" si="88"/>
        <v>565.68976940602215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146.12942320149122</v>
      </c>
      <c r="AA91" s="21">
        <f>EXP(-LN(2)/25)*AA90+(1-EXP(-LN(2)/25))/(LN(2)/25)*Calculateur!V91*Calculateur!X91*VLOOKUP('Données projet'!$B$9,Paramètres!$A$1:$I$89,3,0)*0.475*44/12</f>
        <v>27.89771238808849</v>
      </c>
      <c r="AB91" s="21">
        <f>EXP(-LN(2)/2)*AB90+(1-EXP(-LN(2)/2))/(LN(2)/2)*V91*Y91*VLOOKUP('Données projet'!$B$9,Paramètres!$A$1:$I$89,3,0)*0.475*44/12</f>
        <v>2.6360113634727026E-3</v>
      </c>
      <c r="AC91" s="22">
        <f t="shared" si="57"/>
        <v>174.02977160094318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-1.7053025658242404E-13</v>
      </c>
      <c r="AJ91" s="13">
        <f>AI91*VLOOKUP('Données projet'!$B$10,Paramètres!$A$1:$I$89,3,0)*VLOOKUP('Données projet'!$B$10,Paramètres!$A$1:$I$89,5,0)</f>
        <v>-1.5429577615577727E-13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376.97234030481559</v>
      </c>
      <c r="AO91" s="59">
        <f t="shared" si="90"/>
        <v>532.90758914457615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29.892614407300425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29.892614407300425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256.72534545771862</v>
      </c>
      <c r="BJ91" s="59">
        <f t="shared" si="92"/>
        <v>362.34519377447361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93.705239505238097</v>
      </c>
      <c r="BQ91" s="21">
        <f>EXP(-LN(2)/25)*BQ90+(1-EXP(-LN(2)/25))/(LN(2)/25)*Calculateur!BL91*Calculateur!BN91*VLOOKUP('Données projet'!$B$11,Paramètres!$A$1:$I$89,3,0)*0.475*44/12</f>
        <v>18.685653221472556</v>
      </c>
      <c r="BR91" s="21">
        <f>EXP(-LN(2)/2)*BR90+(1-EXP(-LN(2)/2))/(LN(2)/2)*BL91*BO91*VLOOKUP('Données projet'!$B$11,Paramètres!$A$1:$I$89,3,0)*0.475*44/12</f>
        <v>1.316647279736739E-3</v>
      </c>
      <c r="BS91" s="22">
        <f t="shared" si="63"/>
        <v>112.3922093739904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459.83870442974046</v>
      </c>
      <c r="T92" s="59">
        <f t="shared" si="88"/>
        <v>565.68976940602215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143.26391434265727</v>
      </c>
      <c r="AA92" s="21">
        <f>EXP(-LN(2)/25)*AA91+(1-EXP(-LN(2)/25))/(LN(2)/25)*Calculateur!V92*Calculateur!X92*VLOOKUP('Données projet'!$B$9,Paramètres!$A$1:$I$89,3,0)*0.475*44/12</f>
        <v>27.134847975759275</v>
      </c>
      <c r="AB92" s="21">
        <f>EXP(-LN(2)/2)*AB91+(1-EXP(-LN(2)/2))/(LN(2)/2)*V92*Y92*VLOOKUP('Données projet'!$B$9,Paramètres!$A$1:$I$89,3,0)*0.475*44/12</f>
        <v>1.8639415103963452E-3</v>
      </c>
      <c r="AC92" s="22">
        <f t="shared" si="57"/>
        <v>170.40062625992695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-1.7053025658242404E-13</v>
      </c>
      <c r="AJ92" s="13">
        <f>AI92*VLOOKUP('Données projet'!$B$10,Paramètres!$A$1:$I$89,3,0)*VLOOKUP('Données projet'!$B$10,Paramètres!$A$1:$I$89,5,0)</f>
        <v>-1.5429577615577727E-13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376.97234030481559</v>
      </c>
      <c r="AO92" s="59">
        <f t="shared" si="90"/>
        <v>532.90758914457615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29.306438471467722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29.306438471467722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256.72534545771862</v>
      </c>
      <c r="BJ92" s="59">
        <f t="shared" si="92"/>
        <v>362.34519377447361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91.867736913092926</v>
      </c>
      <c r="BQ92" s="21">
        <f>EXP(-LN(2)/25)*BQ91+(1-EXP(-LN(2)/25))/(LN(2)/25)*Calculateur!BL92*Calculateur!BN92*VLOOKUP('Données projet'!$B$11,Paramètres!$A$1:$I$89,3,0)*0.475*44/12</f>
        <v>18.174693051495591</v>
      </c>
      <c r="BR92" s="21">
        <f>EXP(-LN(2)/2)*BR91+(1-EXP(-LN(2)/2))/(LN(2)/2)*BL92*BO92*VLOOKUP('Données projet'!$B$11,Paramètres!$A$1:$I$89,3,0)*0.475*44/12</f>
        <v>9.3101021993266943E-4</v>
      </c>
      <c r="BS92" s="22">
        <f t="shared" si="63"/>
        <v>110.04336097480845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459.83870442974046</v>
      </c>
      <c r="T93" s="59">
        <f t="shared" si="88"/>
        <v>565.68976940602215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140.45459636475721</v>
      </c>
      <c r="AA93" s="21">
        <f>EXP(-LN(2)/25)*AA92+(1-EXP(-LN(2)/25))/(LN(2)/25)*Calculateur!V93*Calculateur!X93*VLOOKUP('Données projet'!$B$9,Paramètres!$A$1:$I$89,3,0)*0.475*44/12</f>
        <v>26.3928441309025</v>
      </c>
      <c r="AB93" s="21">
        <f>EXP(-LN(2)/2)*AB92+(1-EXP(-LN(2)/2))/(LN(2)/2)*V93*Y93*VLOOKUP('Données projet'!$B$9,Paramètres!$A$1:$I$89,3,0)*0.475*44/12</f>
        <v>1.3180056817363515E-3</v>
      </c>
      <c r="AC93" s="22">
        <f t="shared" si="57"/>
        <v>166.84875850134142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-1.7053025658242404E-13</v>
      </c>
      <c r="AJ93" s="13">
        <f>AI93*VLOOKUP('Données projet'!$B$10,Paramètres!$A$1:$I$89,3,0)*VLOOKUP('Données projet'!$B$10,Paramètres!$A$1:$I$89,5,0)</f>
        <v>-1.5429577615577727E-13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376.97234030481559</v>
      </c>
      <c r="AO93" s="59">
        <f t="shared" si="90"/>
        <v>532.90758914457615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28.731757088204681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28.731757088204681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256.72534545771862</v>
      </c>
      <c r="BJ93" s="59">
        <f t="shared" si="92"/>
        <v>362.34519377447361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90.066266626013814</v>
      </c>
      <c r="BQ93" s="21">
        <f>EXP(-LN(2)/25)*BQ92+(1-EXP(-LN(2)/25))/(LN(2)/25)*Calculateur!BL93*Calculateur!BN93*VLOOKUP('Données projet'!$B$11,Paramètres!$A$1:$I$89,3,0)*0.475*44/12</f>
        <v>17.677705114236876</v>
      </c>
      <c r="BR93" s="21">
        <f>EXP(-LN(2)/2)*BR92+(1-EXP(-LN(2)/2))/(LN(2)/2)*BL93*BO93*VLOOKUP('Données projet'!$B$11,Paramètres!$A$1:$I$89,3,0)*0.475*44/12</f>
        <v>6.583236398683696E-4</v>
      </c>
      <c r="BS93" s="22">
        <f t="shared" si="63"/>
        <v>107.74463006389055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459.83870442974046</v>
      </c>
      <c r="T94" s="59">
        <f t="shared" si="88"/>
        <v>565.68976940602215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137.700367398889</v>
      </c>
      <c r="AA94" s="21">
        <f>EXP(-LN(2)/25)*AA93+(1-EXP(-LN(2)/25))/(LN(2)/25)*Calculateur!V94*Calculateur!X94*VLOOKUP('Données projet'!$B$9,Paramètres!$A$1:$I$89,3,0)*0.475*44/12</f>
        <v>25.671130420203621</v>
      </c>
      <c r="AB94" s="21">
        <f>EXP(-LN(2)/2)*AB93+(1-EXP(-LN(2)/2))/(LN(2)/2)*V94*Y94*VLOOKUP('Données projet'!$B$9,Paramètres!$A$1:$I$89,3,0)*0.475*44/12</f>
        <v>9.3197075519817283E-4</v>
      </c>
      <c r="AC94" s="22">
        <f t="shared" si="57"/>
        <v>163.37242978984781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-1.7053025658242404E-13</v>
      </c>
      <c r="AJ94" s="13">
        <f>AI94*VLOOKUP('Données projet'!$B$10,Paramètres!$A$1:$I$89,3,0)*VLOOKUP('Données projet'!$B$10,Paramètres!$A$1:$I$89,5,0)</f>
        <v>-1.5429577615577727E-13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376.97234030481559</v>
      </c>
      <c r="AO94" s="59">
        <f t="shared" si="90"/>
        <v>532.90758914457615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28.168344856346398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28.168344856346398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256.72534545771862</v>
      </c>
      <c r="BJ94" s="59">
        <f t="shared" si="92"/>
        <v>362.34519377447361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88.300122072475943</v>
      </c>
      <c r="BQ94" s="21">
        <f>EXP(-LN(2)/25)*BQ93+(1-EXP(-LN(2)/25))/(LN(2)/25)*Calculateur!BL94*Calculateur!BN94*VLOOKUP('Données projet'!$B$11,Paramètres!$A$1:$I$89,3,0)*0.475*44/12</f>
        <v>17.194307338257961</v>
      </c>
      <c r="BR94" s="21">
        <f>EXP(-LN(2)/2)*BR93+(1-EXP(-LN(2)/2))/(LN(2)/2)*BL94*BO94*VLOOKUP('Données projet'!$B$11,Paramètres!$A$1:$I$89,3,0)*0.475*44/12</f>
        <v>4.6550510996633477E-4</v>
      </c>
      <c r="BS94" s="22">
        <f t="shared" si="63"/>
        <v>105.49489491584387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459.83870442974046</v>
      </c>
      <c r="T95" s="59">
        <f t="shared" si="88"/>
        <v>565.68976940602215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135.00014718312769</v>
      </c>
      <c r="AA95" s="21">
        <f>EXP(-LN(2)/25)*AA94+(1-EXP(-LN(2)/25))/(LN(2)/25)*Calculateur!V95*Calculateur!X95*VLOOKUP('Données projet'!$B$9,Paramètres!$A$1:$I$89,3,0)*0.475*44/12</f>
        <v>24.969152008877078</v>
      </c>
      <c r="AB95" s="21">
        <f>EXP(-LN(2)/2)*AB94+(1-EXP(-LN(2)/2))/(LN(2)/2)*V95*Y95*VLOOKUP('Données projet'!$B$9,Paramètres!$A$1:$I$89,3,0)*0.475*44/12</f>
        <v>6.5900284086817587E-4</v>
      </c>
      <c r="AC95" s="22">
        <f t="shared" si="57"/>
        <v>159.96995819484565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-1.7053025658242404E-13</v>
      </c>
      <c r="AJ95" s="13">
        <f>AI95*VLOOKUP('Données projet'!$B$10,Paramètres!$A$1:$I$89,3,0)*VLOOKUP('Données projet'!$B$10,Paramètres!$A$1:$I$89,5,0)</f>
        <v>-1.5429577615577727E-13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376.97234030481559</v>
      </c>
      <c r="AO95" s="59">
        <f t="shared" si="90"/>
        <v>532.90758914457615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27.615980794707326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27.615980794707326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256.72534545771862</v>
      </c>
      <c r="BJ95" s="59">
        <f t="shared" si="92"/>
        <v>362.34519377447361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86.568610536391148</v>
      </c>
      <c r="BQ95" s="21">
        <f>EXP(-LN(2)/25)*BQ94+(1-EXP(-LN(2)/25))/(LN(2)/25)*Calculateur!BL95*Calculateur!BN95*VLOOKUP('Données projet'!$B$11,Paramètres!$A$1:$I$89,3,0)*0.475*44/12</f>
        <v>16.724128099883973</v>
      </c>
      <c r="BR95" s="21">
        <f>EXP(-LN(2)/2)*BR94+(1-EXP(-LN(2)/2))/(LN(2)/2)*BL95*BO95*VLOOKUP('Données projet'!$B$11,Paramètres!$A$1:$I$89,3,0)*0.475*44/12</f>
        <v>3.2916181993418485E-4</v>
      </c>
      <c r="BS95" s="22">
        <f t="shared" si="63"/>
        <v>103.29306779809505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459.83870442974046</v>
      </c>
      <c r="T96" s="59">
        <f t="shared" si="88"/>
        <v>565.68976940602215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132.35287663882576</v>
      </c>
      <c r="AA96" s="21">
        <f>EXP(-LN(2)/25)*AA95+(1-EXP(-LN(2)/25))/(LN(2)/25)*Calculateur!V96*Calculateur!X96*VLOOKUP('Données projet'!$B$9,Paramètres!$A$1:$I$89,3,0)*0.475*44/12</f>
        <v>24.286369234123697</v>
      </c>
      <c r="AB96" s="21">
        <f>EXP(-LN(2)/2)*AB95+(1-EXP(-LN(2)/2))/(LN(2)/2)*V96*Y96*VLOOKUP('Données projet'!$B$9,Paramètres!$A$1:$I$89,3,0)*0.475*44/12</f>
        <v>4.6598537759908647E-4</v>
      </c>
      <c r="AC96" s="22">
        <f t="shared" si="57"/>
        <v>156.63971185832705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-1.7053025658242404E-13</v>
      </c>
      <c r="AJ96" s="13">
        <f>AI96*VLOOKUP('Données projet'!$B$10,Paramètres!$A$1:$I$89,3,0)*VLOOKUP('Données projet'!$B$10,Paramètres!$A$1:$I$89,5,0)</f>
        <v>-1.5429577615577727E-13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376.97234030481559</v>
      </c>
      <c r="AO96" s="59">
        <f t="shared" si="90"/>
        <v>532.90758914457615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27.074448255408186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27.074448255408186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256.72534545771862</v>
      </c>
      <c r="BJ96" s="59">
        <f t="shared" si="92"/>
        <v>362.34519377447361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84.871052885411217</v>
      </c>
      <c r="BQ96" s="21">
        <f>EXP(-LN(2)/25)*BQ95+(1-EXP(-LN(2)/25))/(LN(2)/25)*Calculateur!BL96*Calculateur!BN96*VLOOKUP('Données projet'!$B$11,Paramètres!$A$1:$I$89,3,0)*0.475*44/12</f>
        <v>16.266805937508973</v>
      </c>
      <c r="BR96" s="21">
        <f>EXP(-LN(2)/2)*BR95+(1-EXP(-LN(2)/2))/(LN(2)/2)*BL96*BO96*VLOOKUP('Données projet'!$B$11,Paramètres!$A$1:$I$89,3,0)*0.475*44/12</f>
        <v>2.3275255498316741E-4</v>
      </c>
      <c r="BS96" s="22">
        <f t="shared" si="63"/>
        <v>101.13809157547517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459.83870442974046</v>
      </c>
      <c r="T97" s="59">
        <f t="shared" si="88"/>
        <v>565.68976940602215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129.75751745522197</v>
      </c>
      <c r="AA97" s="21">
        <f>EXP(-LN(2)/25)*AA96+(1-EXP(-LN(2)/25))/(LN(2)/25)*Calculateur!V97*Calculateur!X97*VLOOKUP('Données projet'!$B$9,Paramètres!$A$1:$I$89,3,0)*0.475*44/12</f>
        <v>23.622257190251933</v>
      </c>
      <c r="AB97" s="21">
        <f>EXP(-LN(2)/2)*AB96+(1-EXP(-LN(2)/2))/(LN(2)/2)*V97*Y97*VLOOKUP('Données projet'!$B$9,Paramètres!$A$1:$I$89,3,0)*0.475*44/12</f>
        <v>3.2950142043408799E-4</v>
      </c>
      <c r="AC97" s="22">
        <f t="shared" si="57"/>
        <v>153.38010414689433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-1.7053025658242404E-13</v>
      </c>
      <c r="AJ97" s="13">
        <f>AI97*VLOOKUP('Données projet'!$B$10,Paramètres!$A$1:$I$89,3,0)*VLOOKUP('Données projet'!$B$10,Paramètres!$A$1:$I$89,5,0)</f>
        <v>-1.5429577615577727E-13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376.97234030481559</v>
      </c>
      <c r="AO97" s="59">
        <f t="shared" si="90"/>
        <v>532.90758914457615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26.543534838902467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26.543534838902467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256.72534545771862</v>
      </c>
      <c r="BJ97" s="59">
        <f t="shared" si="92"/>
        <v>362.34519377447361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83.206783304559067</v>
      </c>
      <c r="BQ97" s="21">
        <f>EXP(-LN(2)/25)*BQ96+(1-EXP(-LN(2)/25))/(LN(2)/25)*Calculateur!BL97*Calculateur!BN97*VLOOKUP('Données projet'!$B$11,Paramètres!$A$1:$I$89,3,0)*0.475*44/12</f>
        <v>15.821989273713644</v>
      </c>
      <c r="BR97" s="21">
        <f>EXP(-LN(2)/2)*BR96+(1-EXP(-LN(2)/2))/(LN(2)/2)*BL97*BO97*VLOOKUP('Données projet'!$B$11,Paramètres!$A$1:$I$89,3,0)*0.475*44/12</f>
        <v>1.6458090996709245E-4</v>
      </c>
      <c r="BS97" s="22">
        <f t="shared" si="63"/>
        <v>99.028937159182675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459.83870442974046</v>
      </c>
      <c r="T98" s="59">
        <f t="shared" si="88"/>
        <v>565.68976940602215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127.21305168219587</v>
      </c>
      <c r="AA98" s="21">
        <f>EXP(-LN(2)/25)*AA97+(1-EXP(-LN(2)/25))/(LN(2)/25)*Calculateur!V98*Calculateur!X98*VLOOKUP('Données projet'!$B$9,Paramètres!$A$1:$I$89,3,0)*0.475*44/12</f>
        <v>22.976305325143976</v>
      </c>
      <c r="AB98" s="21">
        <f>EXP(-LN(2)/2)*AB97+(1-EXP(-LN(2)/2))/(LN(2)/2)*V98*Y98*VLOOKUP('Données projet'!$B$9,Paramètres!$A$1:$I$89,3,0)*0.475*44/12</f>
        <v>2.3299268879954326E-4</v>
      </c>
      <c r="AC98" s="22">
        <f t="shared" si="57"/>
        <v>150.18959000002866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-1.7053025658242404E-13</v>
      </c>
      <c r="AJ98" s="13">
        <f>AI98*VLOOKUP('Données projet'!$B$10,Paramètres!$A$1:$I$89,3,0)*VLOOKUP('Données projet'!$B$10,Paramètres!$A$1:$I$89,5,0)</f>
        <v>-1.5429577615577727E-13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376.97234030481559</v>
      </c>
      <c r="AO98" s="59">
        <f t="shared" si="90"/>
        <v>532.90758914457615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26.023032310669215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26.023032310669215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256.72534545771862</v>
      </c>
      <c r="BJ98" s="59">
        <f t="shared" si="92"/>
        <v>362.34519377447361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81.575149035083228</v>
      </c>
      <c r="BQ98" s="21">
        <f>EXP(-LN(2)/25)*BQ97+(1-EXP(-LN(2)/25))/(LN(2)/25)*Calculateur!BL98*Calculateur!BN98*VLOOKUP('Données projet'!$B$11,Paramètres!$A$1:$I$89,3,0)*0.475*44/12</f>
        <v>15.389336144981691</v>
      </c>
      <c r="BR98" s="21">
        <f>EXP(-LN(2)/2)*BR97+(1-EXP(-LN(2)/2))/(LN(2)/2)*BL98*BO98*VLOOKUP('Données projet'!$B$11,Paramètres!$A$1:$I$89,3,0)*0.475*44/12</f>
        <v>1.1637627749158373E-4</v>
      </c>
      <c r="BS98" s="22">
        <f t="shared" si="63"/>
        <v>96.964601556342402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459.83870442974046</v>
      </c>
      <c r="T99" s="59">
        <f t="shared" si="88"/>
        <v>565.68976940602215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124.71848133100794</v>
      </c>
      <c r="AA99" s="21">
        <f>EXP(-LN(2)/25)*AA98+(1-EXP(-LN(2)/25))/(LN(2)/25)*Calculateur!V99*Calculateur!X99*VLOOKUP('Données projet'!$B$9,Paramètres!$A$1:$I$89,3,0)*0.475*44/12</f>
        <v>22.348017047756528</v>
      </c>
      <c r="AB99" s="21">
        <f>EXP(-LN(2)/2)*AB98+(1-EXP(-LN(2)/2))/(LN(2)/2)*V99*Y99*VLOOKUP('Données projet'!$B$9,Paramètres!$A$1:$I$89,3,0)*0.475*44/12</f>
        <v>1.6475071021704402E-4</v>
      </c>
      <c r="AC99" s="22">
        <f t="shared" si="57"/>
        <v>147.06666312947468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-1.7053025658242404E-13</v>
      </c>
      <c r="AJ99" s="13">
        <f>AI99*VLOOKUP('Données projet'!$B$10,Paramètres!$A$1:$I$89,3,0)*VLOOKUP('Données projet'!$B$10,Paramètres!$A$1:$I$89,5,0)</f>
        <v>-1.5429577615577727E-13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376.97234030481559</v>
      </c>
      <c r="AO99" s="59">
        <f t="shared" si="90"/>
        <v>532.90758914457615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25.512736519539423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25.512736519539423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256.72534545771862</v>
      </c>
      <c r="BJ99" s="59">
        <f t="shared" si="92"/>
        <v>362.34519377447361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79.975510118433164</v>
      </c>
      <c r="BQ99" s="21">
        <f>EXP(-LN(2)/25)*BQ98+(1-EXP(-LN(2)/25))/(LN(2)/25)*Calculateur!BL99*Calculateur!BN99*VLOOKUP('Données projet'!$B$11,Paramètres!$A$1:$I$89,3,0)*0.475*44/12</f>
        <v>14.968513938807151</v>
      </c>
      <c r="BR99" s="21">
        <f>EXP(-LN(2)/2)*BR98+(1-EXP(-LN(2)/2))/(LN(2)/2)*BL99*BO99*VLOOKUP('Données projet'!$B$11,Paramètres!$A$1:$I$89,3,0)*0.475*44/12</f>
        <v>8.2290454983546241E-5</v>
      </c>
      <c r="BS99" s="22">
        <f t="shared" si="63"/>
        <v>94.944106347695296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459.83870442974046</v>
      </c>
      <c r="T100" s="59">
        <f t="shared" si="88"/>
        <v>565.68976940602215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122.27282798286912</v>
      </c>
      <c r="AA100" s="21">
        <f>EXP(-LN(2)/25)*AA99+(1-EXP(-LN(2)/25))/(LN(2)/25)*Calculateur!V100*Calculateur!X100*VLOOKUP('Données projet'!$B$9,Paramètres!$A$1:$I$89,3,0)*0.475*44/12</f>
        <v>21.736909346354487</v>
      </c>
      <c r="AB100" s="21">
        <f>EXP(-LN(2)/2)*AB99+(1-EXP(-LN(2)/2))/(LN(2)/2)*V100*Y100*VLOOKUP('Données projet'!$B$9,Paramètres!$A$1:$I$89,3,0)*0.475*44/12</f>
        <v>1.1649634439977166E-4</v>
      </c>
      <c r="AC100" s="22">
        <f t="shared" si="57"/>
        <v>144.009853825568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-1.7053025658242404E-13</v>
      </c>
      <c r="AJ100" s="13">
        <f>AI100*VLOOKUP('Données projet'!$B$10,Paramètres!$A$1:$I$89,3,0)*VLOOKUP('Données projet'!$B$10,Paramètres!$A$1:$I$89,5,0)</f>
        <v>-1.5429577615577727E-13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376.97234030481559</v>
      </c>
      <c r="AO100" s="59">
        <f t="shared" si="90"/>
        <v>532.90758914457615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25.012447317623987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25.012447317623987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256.72534545771862</v>
      </c>
      <c r="BJ100" s="59">
        <f t="shared" si="92"/>
        <v>362.34519377447361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78.407239145255218</v>
      </c>
      <c r="BQ100" s="21">
        <f>EXP(-LN(2)/25)*BQ99+(1-EXP(-LN(2)/25))/(LN(2)/25)*Calculateur!BL100*Calculateur!BN100*VLOOKUP('Données projet'!$B$11,Paramètres!$A$1:$I$89,3,0)*0.475*44/12</f>
        <v>14.559199137990532</v>
      </c>
      <c r="BR100" s="21">
        <f>EXP(-LN(2)/2)*BR99+(1-EXP(-LN(2)/2))/(LN(2)/2)*BL100*BO100*VLOOKUP('Données projet'!$B$11,Paramètres!$A$1:$I$89,3,0)*0.475*44/12</f>
        <v>5.8188138745791873E-5</v>
      </c>
      <c r="BS100" s="22">
        <f t="shared" si="63"/>
        <v>92.966496471384502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459.83870442974046</v>
      </c>
      <c r="T101" s="59">
        <f t="shared" si="88"/>
        <v>565.68976940602215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119.87513240518605</v>
      </c>
      <c r="AA101" s="21">
        <f>EXP(-LN(2)/25)*AA100+(1-EXP(-LN(2)/25))/(LN(2)/25)*Calculateur!V101*Calculateur!X101*VLOOKUP('Données projet'!$B$9,Paramètres!$A$1:$I$89,3,0)*0.475*44/12</f>
        <v>21.14251241718404</v>
      </c>
      <c r="AB101" s="21">
        <f>EXP(-LN(2)/2)*AB100+(1-EXP(-LN(2)/2))/(LN(2)/2)*V101*Y101*VLOOKUP('Données projet'!$B$9,Paramètres!$A$1:$I$89,3,0)*0.475*44/12</f>
        <v>8.2375355108522025E-5</v>
      </c>
      <c r="AC101" s="22">
        <f t="shared" si="57"/>
        <v>141.01772719772521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-1.7053025658242404E-13</v>
      </c>
      <c r="AJ101" s="13">
        <f>AI101*VLOOKUP('Données projet'!$B$10,Paramètres!$A$1:$I$89,3,0)*VLOOKUP('Données projet'!$B$10,Paramètres!$A$1:$I$89,5,0)</f>
        <v>-1.5429577615577727E-13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376.97234030481559</v>
      </c>
      <c r="AO101" s="59">
        <f t="shared" si="90"/>
        <v>532.90758914457615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24.521968481811832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24.521968481811832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256.72534545771862</v>
      </c>
      <c r="BJ101" s="59">
        <f t="shared" si="92"/>
        <v>362.34519377447361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76.869721009310439</v>
      </c>
      <c r="BQ101" s="21">
        <f>EXP(-LN(2)/25)*BQ100+(1-EXP(-LN(2)/25))/(LN(2)/25)*Calculateur!BL101*Calculateur!BN101*VLOOKUP('Données projet'!$B$11,Paramètres!$A$1:$I$89,3,0)*0.475*44/12</f>
        <v>14.161077071927174</v>
      </c>
      <c r="BR101" s="21">
        <f>EXP(-LN(2)/2)*BR100+(1-EXP(-LN(2)/2))/(LN(2)/2)*BL101*BO101*VLOOKUP('Données projet'!$B$11,Paramètres!$A$1:$I$89,3,0)*0.475*44/12</f>
        <v>4.1145227491773127E-5</v>
      </c>
      <c r="BS101" s="22">
        <f t="shared" si="63"/>
        <v>91.030839226465105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459.83870442974046</v>
      </c>
      <c r="T102" s="59">
        <f t="shared" si="88"/>
        <v>565.68976940602215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117.52445417533146</v>
      </c>
      <c r="AA102" s="21">
        <f>EXP(-LN(2)/25)*AA101+(1-EXP(-LN(2)/25))/(LN(2)/25)*Calculateur!V102*Calculateur!X102*VLOOKUP('Données projet'!$B$9,Paramètres!$A$1:$I$89,3,0)*0.475*44/12</f>
        <v>20.564369303299735</v>
      </c>
      <c r="AB102" s="21">
        <f>EXP(-LN(2)/2)*AB101+(1-EXP(-LN(2)/2))/(LN(2)/2)*V102*Y102*VLOOKUP('Données projet'!$B$9,Paramètres!$A$1:$I$89,3,0)*0.475*44/12</f>
        <v>5.8248172199885836E-5</v>
      </c>
      <c r="AC102" s="22">
        <f t="shared" si="57"/>
        <v>138.08888172680338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-1.7053025658242404E-13</v>
      </c>
      <c r="AJ102" s="13">
        <f>AI102*VLOOKUP('Données projet'!$B$10,Paramètres!$A$1:$I$89,3,0)*VLOOKUP('Données projet'!$B$10,Paramètres!$A$1:$I$89,5,0)</f>
        <v>-1.5429577615577727E-13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376.97234030481559</v>
      </c>
      <c r="AO102" s="59">
        <f t="shared" si="90"/>
        <v>532.90758914457615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24.041107636807403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24.041107636807403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256.72534545771862</v>
      </c>
      <c r="BJ102" s="59">
        <f t="shared" si="92"/>
        <v>362.34519377447361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75.362352666218072</v>
      </c>
      <c r="BQ102" s="21">
        <f>EXP(-LN(2)/25)*BQ101+(1-EXP(-LN(2)/25))/(LN(2)/25)*Calculateur!BL102*Calculateur!BN102*VLOOKUP('Données projet'!$B$11,Paramètres!$A$1:$I$89,3,0)*0.475*44/12</f>
        <v>13.773841674696648</v>
      </c>
      <c r="BR102" s="21">
        <f>EXP(-LN(2)/2)*BR101+(1-EXP(-LN(2)/2))/(LN(2)/2)*BL102*BO102*VLOOKUP('Données projet'!$B$11,Paramètres!$A$1:$I$89,3,0)*0.475*44/12</f>
        <v>2.9094069372895943E-5</v>
      </c>
      <c r="BS102" s="22">
        <f t="shared" si="63"/>
        <v>89.136223434984103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459.83870442974046</v>
      </c>
      <c r="T103" s="59">
        <f t="shared" si="88"/>
        <v>565.68976940602215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115.21987131179216</v>
      </c>
      <c r="AA103" s="21">
        <f>EXP(-LN(2)/25)*AA102+(1-EXP(-LN(2)/25))/(LN(2)/25)*Calculateur!V103*Calculateur!X103*VLOOKUP('Données projet'!$B$9,Paramètres!$A$1:$I$89,3,0)*0.475*44/12</f>
        <v>20.002035543267823</v>
      </c>
      <c r="AB103" s="21">
        <f>EXP(-LN(2)/2)*AB102+(1-EXP(-LN(2)/2))/(LN(2)/2)*V103*Y103*VLOOKUP('Données projet'!$B$9,Paramètres!$A$1:$I$89,3,0)*0.475*44/12</f>
        <v>4.1187677554261019E-5</v>
      </c>
      <c r="AC103" s="22">
        <f t="shared" si="57"/>
        <v>135.22194804273755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-1.7053025658242404E-13</v>
      </c>
      <c r="AJ103" s="13">
        <f>AI103*VLOOKUP('Données projet'!$B$10,Paramètres!$A$1:$I$89,3,0)*VLOOKUP('Données projet'!$B$10,Paramètres!$A$1:$I$89,5,0)</f>
        <v>-1.5429577615577727E-13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376.97234030481559</v>
      </c>
      <c r="AO103" s="59">
        <f t="shared" si="90"/>
        <v>532.90758914457615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23.569676179677355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23.569676179677355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256.72534545771862</v>
      </c>
      <c r="BJ103" s="59">
        <f t="shared" si="92"/>
        <v>362.34519377447361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73.884542896929844</v>
      </c>
      <c r="BQ103" s="21">
        <f>EXP(-LN(2)/25)*BQ102+(1-EXP(-LN(2)/25))/(LN(2)/25)*Calculateur!BL103*Calculateur!BN103*VLOOKUP('Données projet'!$B$11,Paramètres!$A$1:$I$89,3,0)*0.475*44/12</f>
        <v>13.397195249767215</v>
      </c>
      <c r="BR103" s="21">
        <f>EXP(-LN(2)/2)*BR102+(1-EXP(-LN(2)/2))/(LN(2)/2)*BL103*BO103*VLOOKUP('Données projet'!$B$11,Paramètres!$A$1:$I$89,3,0)*0.475*44/12</f>
        <v>2.0572613745886567E-5</v>
      </c>
      <c r="BS103" s="22">
        <f t="shared" si="63"/>
        <v>87.281758719310801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459.83870442974046</v>
      </c>
      <c r="T104" s="59">
        <f t="shared" si="88"/>
        <v>565.68976940602215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112.96047991255013</v>
      </c>
      <c r="AA104" s="21">
        <f>EXP(-LN(2)/25)*AA103+(1-EXP(-LN(2)/25))/(LN(2)/25)*Calculateur!V104*Calculateur!X104*VLOOKUP('Données projet'!$B$9,Paramètres!$A$1:$I$89,3,0)*0.475*44/12</f>
        <v>19.455078829475831</v>
      </c>
      <c r="AB104" s="21">
        <f>EXP(-LN(2)/2)*AB103+(1-EXP(-LN(2)/2))/(LN(2)/2)*V104*Y104*VLOOKUP('Données projet'!$B$9,Paramètres!$A$1:$I$89,3,0)*0.475*44/12</f>
        <v>2.9124086099942925E-5</v>
      </c>
      <c r="AC104" s="22">
        <f t="shared" si="57"/>
        <v>132.41558786611205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-1.7053025658242404E-13</v>
      </c>
      <c r="AJ104" s="13">
        <f>AI104*VLOOKUP('Données projet'!$B$10,Paramètres!$A$1:$I$89,3,0)*VLOOKUP('Données projet'!$B$10,Paramètres!$A$1:$I$89,5,0)</f>
        <v>-1.5429577615577727E-13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376.97234030481559</v>
      </c>
      <c r="AO104" s="59">
        <f t="shared" si="90"/>
        <v>532.90758914457615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23.107489205876831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23.107489205876831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256.72534545771862</v>
      </c>
      <c r="BJ104" s="59">
        <f t="shared" si="92"/>
        <v>362.34519377447361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72.435712075842403</v>
      </c>
      <c r="BQ104" s="21">
        <f>EXP(-LN(2)/25)*BQ103+(1-EXP(-LN(2)/25))/(LN(2)/25)*Calculateur!BL104*Calculateur!BN104*VLOOKUP('Données projet'!$B$11,Paramètres!$A$1:$I$89,3,0)*0.475*44/12</f>
        <v>13.030848241134452</v>
      </c>
      <c r="BR104" s="21">
        <f>EXP(-LN(2)/2)*BR103+(1-EXP(-LN(2)/2))/(LN(2)/2)*BL104*BO104*VLOOKUP('Données projet'!$B$11,Paramètres!$A$1:$I$89,3,0)*0.475*44/12</f>
        <v>1.4547034686447973E-5</v>
      </c>
      <c r="BS104" s="22">
        <f t="shared" si="63"/>
        <v>85.466574864011534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459.83870442974046</v>
      </c>
      <c r="T105" s="59">
        <f t="shared" si="88"/>
        <v>565.68976940602215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110.74539380055455</v>
      </c>
      <c r="AA105" s="21">
        <f>EXP(-LN(2)/25)*AA104+(1-EXP(-LN(2)/25))/(LN(2)/25)*Calculateur!V105*Calculateur!X105*VLOOKUP('Données projet'!$B$9,Paramètres!$A$1:$I$89,3,0)*0.475*44/12</f>
        <v>18.923078675785682</v>
      </c>
      <c r="AB105" s="21">
        <f>EXP(-LN(2)/2)*AB104+(1-EXP(-LN(2)/2))/(LN(2)/2)*V105*Y105*VLOOKUP('Données projet'!$B$9,Paramètres!$A$1:$I$89,3,0)*0.475*44/12</f>
        <v>2.0593838777130513E-5</v>
      </c>
      <c r="AC105" s="22">
        <f t="shared" si="57"/>
        <v>129.66849307017901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-1.7053025658242404E-13</v>
      </c>
      <c r="AJ105" s="13">
        <f>AI105*VLOOKUP('Données projet'!$B$10,Paramètres!$A$1:$I$89,3,0)*VLOOKUP('Données projet'!$B$10,Paramètres!$A$1:$I$89,5,0)</f>
        <v>-1.5429577615577727E-13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376.97234030481559</v>
      </c>
      <c r="AO105" s="59">
        <f t="shared" si="90"/>
        <v>532.90758914457615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22.654365436726319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22.654365436726319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256.72534545771862</v>
      </c>
      <c r="BJ105" s="59">
        <f t="shared" si="92"/>
        <v>362.34519377447361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71.015291943456944</v>
      </c>
      <c r="BQ105" s="21">
        <f>EXP(-LN(2)/25)*BQ104+(1-EXP(-LN(2)/25))/(LN(2)/25)*Calculateur!BL105*Calculateur!BN105*VLOOKUP('Données projet'!$B$11,Paramètres!$A$1:$I$89,3,0)*0.475*44/12</f>
        <v>12.674519010718104</v>
      </c>
      <c r="BR105" s="21">
        <f>EXP(-LN(2)/2)*BR104+(1-EXP(-LN(2)/2))/(LN(2)/2)*BL105*BO105*VLOOKUP('Données projet'!$B$11,Paramètres!$A$1:$I$89,3,0)*0.475*44/12</f>
        <v>1.0286306872943285E-5</v>
      </c>
      <c r="BS105" s="22">
        <f t="shared" si="63"/>
        <v>83.689821240481919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459.83870442974046</v>
      </c>
      <c r="T106" s="59">
        <f t="shared" si="88"/>
        <v>565.68976940602215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108.57374417614608</v>
      </c>
      <c r="AA106" s="21">
        <f>EXP(-LN(2)/25)*AA105+(1-EXP(-LN(2)/25))/(LN(2)/25)*Calculateur!V106*Calculateur!X106*VLOOKUP('Données projet'!$B$9,Paramètres!$A$1:$I$89,3,0)*0.475*44/12</f>
        <v>18.405626094274865</v>
      </c>
      <c r="AB106" s="21">
        <f>EXP(-LN(2)/2)*AB105+(1-EXP(-LN(2)/2))/(LN(2)/2)*V106*Y106*VLOOKUP('Données projet'!$B$9,Paramètres!$A$1:$I$89,3,0)*0.475*44/12</f>
        <v>1.4562043049971464E-5</v>
      </c>
      <c r="AC106" s="22">
        <f t="shared" si="57"/>
        <v>126.97938483246399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-1.7053025658242404E-13</v>
      </c>
      <c r="AJ106" s="13">
        <f>AI106*VLOOKUP('Données projet'!$B$10,Paramètres!$A$1:$I$89,3,0)*VLOOKUP('Données projet'!$B$10,Paramètres!$A$1:$I$89,5,0)</f>
        <v>-1.5429577615577727E-13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376.97234030481559</v>
      </c>
      <c r="AO106" s="59">
        <f t="shared" si="90"/>
        <v>532.90758914457615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22.21012714831064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22.21012714831064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256.72534545771862</v>
      </c>
      <c r="BJ106" s="59">
        <f t="shared" si="92"/>
        <v>362.34519377447361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69.622725383496828</v>
      </c>
      <c r="BQ106" s="21">
        <f>EXP(-LN(2)/25)*BQ105+(1-EXP(-LN(2)/25))/(LN(2)/25)*Calculateur!BL106*Calculateur!BN106*VLOOKUP('Données projet'!$B$11,Paramètres!$A$1:$I$89,3,0)*0.475*44/12</f>
        <v>12.32793362184603</v>
      </c>
      <c r="BR106" s="21">
        <f>EXP(-LN(2)/2)*BR105+(1-EXP(-LN(2)/2))/(LN(2)/2)*BL106*BO106*VLOOKUP('Données projet'!$B$11,Paramètres!$A$1:$I$89,3,0)*0.475*44/12</f>
        <v>7.2735173432239875E-6</v>
      </c>
      <c r="BS106" s="22">
        <f t="shared" si="63"/>
        <v>81.950666278860197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459.83870442974046</v>
      </c>
      <c r="T107" s="59">
        <f t="shared" si="88"/>
        <v>565.68976940602215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106.44467927629678</v>
      </c>
      <c r="AA107" s="21">
        <f>EXP(-LN(2)/25)*AA106+(1-EXP(-LN(2)/25))/(LN(2)/25)*Calculateur!V107*Calculateur!X107*VLOOKUP('Données projet'!$B$9,Paramètres!$A$1:$I$89,3,0)*0.475*44/12</f>
        <v>17.902323280817111</v>
      </c>
      <c r="AB107" s="21">
        <f>EXP(-LN(2)/2)*AB106+(1-EXP(-LN(2)/2))/(LN(2)/2)*V107*Y107*VLOOKUP('Données projet'!$B$9,Paramètres!$A$1:$I$89,3,0)*0.475*44/12</f>
        <v>1.0296919388565258E-5</v>
      </c>
      <c r="AC107" s="22">
        <f t="shared" si="57"/>
        <v>124.34701285403328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-1.7053025658242404E-13</v>
      </c>
      <c r="AJ107" s="13">
        <f>AI107*VLOOKUP('Données projet'!$B$10,Paramètres!$A$1:$I$89,3,0)*VLOOKUP('Données projet'!$B$10,Paramètres!$A$1:$I$89,5,0)</f>
        <v>-1.5429577615577727E-13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376.97234030481559</v>
      </c>
      <c r="AO107" s="59">
        <f t="shared" si="90"/>
        <v>532.90758914457615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21.77460010177219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21.77460010177219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256.72534545771862</v>
      </c>
      <c r="BJ107" s="59">
        <f t="shared" si="92"/>
        <v>362.34519377447361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68.257466204395797</v>
      </c>
      <c r="BQ107" s="21">
        <f>EXP(-LN(2)/25)*BQ106+(1-EXP(-LN(2)/25))/(LN(2)/25)*Calculateur!BL107*Calculateur!BN107*VLOOKUP('Données projet'!$B$11,Paramètres!$A$1:$I$89,3,0)*0.475*44/12</f>
        <v>11.990825628658797</v>
      </c>
      <c r="BR107" s="21">
        <f>EXP(-LN(2)/2)*BR106+(1-EXP(-LN(2)/2))/(LN(2)/2)*BL107*BO107*VLOOKUP('Données projet'!$B$11,Paramètres!$A$1:$I$89,3,0)*0.475*44/12</f>
        <v>5.1431534364716426E-6</v>
      </c>
      <c r="BS107" s="22">
        <f t="shared" si="63"/>
        <v>80.248296976208024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459.83870442974046</v>
      </c>
      <c r="T108" s="59">
        <f t="shared" si="88"/>
        <v>565.68976940602215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104.35736404053216</v>
      </c>
      <c r="AA108" s="21">
        <f>EXP(-LN(2)/25)*AA107+(1-EXP(-LN(2)/25))/(LN(2)/25)*Calculateur!V108*Calculateur!X108*VLOOKUP('Données projet'!$B$9,Paramètres!$A$1:$I$89,3,0)*0.475*44/12</f>
        <v>17.412783309260902</v>
      </c>
      <c r="AB108" s="21">
        <f>EXP(-LN(2)/2)*AB107+(1-EXP(-LN(2)/2))/(LN(2)/2)*V108*Y108*VLOOKUP('Données projet'!$B$9,Paramètres!$A$1:$I$89,3,0)*0.475*44/12</f>
        <v>7.2810215249857329E-6</v>
      </c>
      <c r="AC108" s="22">
        <f t="shared" si="57"/>
        <v>121.77015463081459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-1.7053025658242404E-13</v>
      </c>
      <c r="AJ108" s="13">
        <f>AI108*VLOOKUP('Données projet'!$B$10,Paramètres!$A$1:$I$89,3,0)*VLOOKUP('Données projet'!$B$10,Paramètres!$A$1:$I$89,5,0)</f>
        <v>-1.5429577615577727E-13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376.97234030481559</v>
      </c>
      <c r="AO108" s="59">
        <f t="shared" si="90"/>
        <v>532.90758914457615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21.347613474971091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21.347613474971091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256.72534545771862</v>
      </c>
      <c r="BJ108" s="59">
        <f t="shared" si="92"/>
        <v>362.34519377447361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66.918978925071073</v>
      </c>
      <c r="BQ108" s="21">
        <f>EXP(-LN(2)/25)*BQ107+(1-EXP(-LN(2)/25))/(LN(2)/25)*Calculateur!BL108*Calculateur!BN108*VLOOKUP('Données projet'!$B$11,Paramètres!$A$1:$I$89,3,0)*0.475*44/12</f>
        <v>11.662935871273008</v>
      </c>
      <c r="BR108" s="21">
        <f>EXP(-LN(2)/2)*BR107+(1-EXP(-LN(2)/2))/(LN(2)/2)*BL108*BO108*VLOOKUP('Données projet'!$B$11,Paramètres!$A$1:$I$89,3,0)*0.475*44/12</f>
        <v>3.6367586716119938E-6</v>
      </c>
      <c r="BS108" s="22">
        <f t="shared" si="63"/>
        <v>78.581918433102757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459.83870442974046</v>
      </c>
      <c r="T109" s="59">
        <f t="shared" si="88"/>
        <v>565.68976940602215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102.31097978340431</v>
      </c>
      <c r="AA109" s="21">
        <f>EXP(-LN(2)/25)*AA108+(1-EXP(-LN(2)/25))/(LN(2)/25)*Calculateur!V109*Calculateur!X109*VLOOKUP('Données projet'!$B$9,Paramètres!$A$1:$I$89,3,0)*0.475*44/12</f>
        <v>16.936629833970684</v>
      </c>
      <c r="AB109" s="21">
        <f>EXP(-LN(2)/2)*AB108+(1-EXP(-LN(2)/2))/(LN(2)/2)*V109*Y109*VLOOKUP('Données projet'!$B$9,Paramètres!$A$1:$I$89,3,0)*0.475*44/12</f>
        <v>5.1484596942826299E-6</v>
      </c>
      <c r="AC109" s="22">
        <f t="shared" si="57"/>
        <v>119.24761476583468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-1.7053025658242404E-13</v>
      </c>
      <c r="AJ109" s="13">
        <f>AI109*VLOOKUP('Données projet'!$B$10,Paramètres!$A$1:$I$89,3,0)*VLOOKUP('Données projet'!$B$10,Paramètres!$A$1:$I$89,5,0)</f>
        <v>-1.5429577615577727E-13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376.97234030481559</v>
      </c>
      <c r="AO109" s="59">
        <f t="shared" si="90"/>
        <v>532.90758914457615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20.928999795485435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20.928999795485435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256.72534545771862</v>
      </c>
      <c r="BJ109" s="59">
        <f t="shared" si="92"/>
        <v>362.34519377447361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65.60673856489727</v>
      </c>
      <c r="BQ109" s="21">
        <f>EXP(-LN(2)/25)*BQ108+(1-EXP(-LN(2)/25))/(LN(2)/25)*Calculateur!BL109*Calculateur!BN109*VLOOKUP('Données projet'!$B$11,Paramètres!$A$1:$I$89,3,0)*0.475*44/12</f>
        <v>11.344012276545907</v>
      </c>
      <c r="BR109" s="21">
        <f>EXP(-LN(2)/2)*BR108+(1-EXP(-LN(2)/2))/(LN(2)/2)*BL109*BO109*VLOOKUP('Données projet'!$B$11,Paramètres!$A$1:$I$89,3,0)*0.475*44/12</f>
        <v>2.5715767182358213E-6</v>
      </c>
      <c r="BS109" s="22">
        <f t="shared" si="63"/>
        <v>76.950753413019896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459.83870442974046</v>
      </c>
      <c r="T110" s="59">
        <f t="shared" si="88"/>
        <v>565.68976940602215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100.30472387338757</v>
      </c>
      <c r="AA110" s="21">
        <f>EXP(-LN(2)/25)*AA109+(1-EXP(-LN(2)/25))/(LN(2)/25)*Calculateur!V110*Calculateur!X110*VLOOKUP('Données projet'!$B$9,Paramètres!$A$1:$I$89,3,0)*0.475*44/12</f>
        <v>16.473496800502101</v>
      </c>
      <c r="AB110" s="21">
        <f>EXP(-LN(2)/2)*AB109+(1-EXP(-LN(2)/2))/(LN(2)/2)*V110*Y110*VLOOKUP('Données projet'!$B$9,Paramètres!$A$1:$I$89,3,0)*0.475*44/12</f>
        <v>3.6405107624928673E-6</v>
      </c>
      <c r="AC110" s="22">
        <f t="shared" si="57"/>
        <v>116.77822431440045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-1.7053025658242404E-13</v>
      </c>
      <c r="AJ110" s="13">
        <f>AI110*VLOOKUP('Données projet'!$B$10,Paramètres!$A$1:$I$89,3,0)*VLOOKUP('Données projet'!$B$10,Paramètres!$A$1:$I$89,5,0)</f>
        <v>-1.5429577615577727E-13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376.97234030481559</v>
      </c>
      <c r="AO110" s="59">
        <f t="shared" si="90"/>
        <v>532.90758914457615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20.518594874925359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20.518594874925359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256.72534545771862</v>
      </c>
      <c r="BJ110" s="59">
        <f t="shared" si="92"/>
        <v>362.34519377447361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64.320230437798898</v>
      </c>
      <c r="BQ110" s="21">
        <f>EXP(-LN(2)/25)*BQ109+(1-EXP(-LN(2)/25))/(LN(2)/25)*Calculateur!BL110*Calculateur!BN110*VLOOKUP('Données projet'!$B$11,Paramètres!$A$1:$I$89,3,0)*0.475*44/12</f>
        <v>11.03380966428808</v>
      </c>
      <c r="BR110" s="21">
        <f>EXP(-LN(2)/2)*BR109+(1-EXP(-LN(2)/2))/(LN(2)/2)*BL110*BO110*VLOOKUP('Données projet'!$B$11,Paramètres!$A$1:$I$89,3,0)*0.475*44/12</f>
        <v>1.8183793358059969E-6</v>
      </c>
      <c r="BS110" s="22">
        <f t="shared" si="63"/>
        <v>75.354041920466315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459.83870442974046</v>
      </c>
      <c r="T111" s="59">
        <f t="shared" si="88"/>
        <v>565.68976940602215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98.337809418071004</v>
      </c>
      <c r="AA111" s="21">
        <f>EXP(-LN(2)/25)*AA110+(1-EXP(-LN(2)/25))/(LN(2)/25)*Calculateur!V111*Calculateur!X111*VLOOKUP('Données projet'!$B$9,Paramètres!$A$1:$I$89,3,0)*0.475*44/12</f>
        <v>16.023028164188826</v>
      </c>
      <c r="AB111" s="21">
        <f>EXP(-LN(2)/2)*AB110+(1-EXP(-LN(2)/2))/(LN(2)/2)*V111*Y111*VLOOKUP('Données projet'!$B$9,Paramètres!$A$1:$I$89,3,0)*0.475*44/12</f>
        <v>2.5742298471413154E-6</v>
      </c>
      <c r="AC111" s="22">
        <f t="shared" si="57"/>
        <v>114.36084015648969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-1.7053025658242404E-13</v>
      </c>
      <c r="AJ111" s="13">
        <f>AI111*VLOOKUP('Données projet'!$B$10,Paramètres!$A$1:$I$89,3,0)*VLOOKUP('Données projet'!$B$10,Paramètres!$A$1:$I$89,5,0)</f>
        <v>-1.5429577615577727E-13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376.97234030481559</v>
      </c>
      <c r="AO111" s="59">
        <f t="shared" si="90"/>
        <v>532.90758914457615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20.116237744535184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20.116237744535184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256.72534545771862</v>
      </c>
      <c r="BJ111" s="59">
        <f t="shared" si="92"/>
        <v>362.34519377447361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63.058949950380445</v>
      </c>
      <c r="BQ111" s="21">
        <f>EXP(-LN(2)/25)*BQ110+(1-EXP(-LN(2)/25))/(LN(2)/25)*Calculateur!BL111*Calculateur!BN111*VLOOKUP('Données projet'!$B$11,Paramètres!$A$1:$I$89,3,0)*0.475*44/12</f>
        <v>10.732089558775291</v>
      </c>
      <c r="BR111" s="21">
        <f>EXP(-LN(2)/2)*BR110+(1-EXP(-LN(2)/2))/(LN(2)/2)*BL111*BO111*VLOOKUP('Données projet'!$B$11,Paramètres!$A$1:$I$89,3,0)*0.475*44/12</f>
        <v>1.2857883591179106E-6</v>
      </c>
      <c r="BS111" s="22">
        <f t="shared" si="63"/>
        <v>73.791040794944095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459.83870442974046</v>
      </c>
      <c r="T112" s="59">
        <f t="shared" si="88"/>
        <v>565.68976940602215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96.409464955523831</v>
      </c>
      <c r="AA112" s="21">
        <f>EXP(-LN(2)/25)*AA111+(1-EXP(-LN(2)/25))/(LN(2)/25)*Calculateur!V112*Calculateur!X112*VLOOKUP('Données projet'!$B$9,Paramètres!$A$1:$I$89,3,0)*0.475*44/12</f>
        <v>15.584877616424652</v>
      </c>
      <c r="AB112" s="21">
        <f>EXP(-LN(2)/2)*AB111+(1-EXP(-LN(2)/2))/(LN(2)/2)*V112*Y112*VLOOKUP('Données projet'!$B$9,Paramètres!$A$1:$I$89,3,0)*0.475*44/12</f>
        <v>1.8202553812464339E-6</v>
      </c>
      <c r="AC112" s="22">
        <f t="shared" si="57"/>
        <v>111.99434439220386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-1.7053025658242404E-13</v>
      </c>
      <c r="AJ112" s="13">
        <f>AI112*VLOOKUP('Données projet'!$B$10,Paramètres!$A$1:$I$89,3,0)*VLOOKUP('Données projet'!$B$10,Paramètres!$A$1:$I$89,5,0)</f>
        <v>-1.5429577615577727E-13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376.97234030481559</v>
      </c>
      <c r="AO112" s="59">
        <f t="shared" si="90"/>
        <v>532.90758914457615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19.721770592058341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19.721770592058341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256.72534545771862</v>
      </c>
      <c r="BJ112" s="59">
        <f t="shared" si="92"/>
        <v>362.34519377447361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61.822402404015129</v>
      </c>
      <c r="BQ112" s="21">
        <f>EXP(-LN(2)/25)*BQ111+(1-EXP(-LN(2)/25))/(LN(2)/25)*Calculateur!BL112*Calculateur!BN112*VLOOKUP('Données projet'!$B$11,Paramètres!$A$1:$I$89,3,0)*0.475*44/12</f>
        <v>10.438620005414519</v>
      </c>
      <c r="BR112" s="21">
        <f>EXP(-LN(2)/2)*BR111+(1-EXP(-LN(2)/2))/(LN(2)/2)*BL112*BO112*VLOOKUP('Données projet'!$B$11,Paramètres!$A$1:$I$89,3,0)*0.475*44/12</f>
        <v>9.0918966790299844E-7</v>
      </c>
      <c r="BS112" s="22">
        <f t="shared" si="63"/>
        <v>72.261023318619308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459.83870442974046</v>
      </c>
      <c r="T113" s="59">
        <f t="shared" si="88"/>
        <v>565.68976940602215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94.518934151713225</v>
      </c>
      <c r="AA113" s="21">
        <f>EXP(-LN(2)/25)*AA112+(1-EXP(-LN(2)/25))/(LN(2)/25)*Calculateur!V113*Calculateur!X113*VLOOKUP('Données projet'!$B$9,Paramètres!$A$1:$I$89,3,0)*0.475*44/12</f>
        <v>15.158708318430426</v>
      </c>
      <c r="AB113" s="21">
        <f>EXP(-LN(2)/2)*AB112+(1-EXP(-LN(2)/2))/(LN(2)/2)*V113*Y113*VLOOKUP('Données projet'!$B$9,Paramètres!$A$1:$I$89,3,0)*0.475*44/12</f>
        <v>1.2871149235706579E-6</v>
      </c>
      <c r="AC113" s="22">
        <f t="shared" si="57"/>
        <v>109.67764375725858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-1.7053025658242404E-13</v>
      </c>
      <c r="AJ113" s="13">
        <f>AI113*VLOOKUP('Données projet'!$B$10,Paramètres!$A$1:$I$89,3,0)*VLOOKUP('Données projet'!$B$10,Paramètres!$A$1:$I$89,5,0)</f>
        <v>-1.5429577615577727E-13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376.97234030481559</v>
      </c>
      <c r="AO113" s="59">
        <f t="shared" si="90"/>
        <v>532.90758914457615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19.335038699840364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19.335038699840364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256.72534545771862</v>
      </c>
      <c r="BJ113" s="59">
        <f t="shared" si="92"/>
        <v>362.34519377447361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60.610102800814509</v>
      </c>
      <c r="BQ113" s="21">
        <f>EXP(-LN(2)/25)*BQ112+(1-EXP(-LN(2)/25))/(LN(2)/25)*Calculateur!BL113*Calculateur!BN113*VLOOKUP('Données projet'!$B$11,Paramètres!$A$1:$I$89,3,0)*0.475*44/12</f>
        <v>10.153175392423291</v>
      </c>
      <c r="BR113" s="21">
        <f>EXP(-LN(2)/2)*BR112+(1-EXP(-LN(2)/2))/(LN(2)/2)*BL113*BO113*VLOOKUP('Données projet'!$B$11,Paramètres!$A$1:$I$89,3,0)*0.475*44/12</f>
        <v>6.4289417955895532E-7</v>
      </c>
      <c r="BS113" s="22">
        <f t="shared" si="63"/>
        <v>70.763278836131974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459.83870442974046</v>
      </c>
      <c r="T114" s="59">
        <f t="shared" si="88"/>
        <v>565.68976940602215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92.665475503855419</v>
      </c>
      <c r="AA114" s="21">
        <f>EXP(-LN(2)/25)*AA113+(1-EXP(-LN(2)/25))/(LN(2)/25)*Calculateur!V114*Calculateur!X114*VLOOKUP('Données projet'!$B$9,Paramètres!$A$1:$I$89,3,0)*0.475*44/12</f>
        <v>14.744192642301121</v>
      </c>
      <c r="AB114" s="21">
        <f>EXP(-LN(2)/2)*AB113+(1-EXP(-LN(2)/2))/(LN(2)/2)*V114*Y114*VLOOKUP('Données projet'!$B$9,Paramètres!$A$1:$I$89,3,0)*0.475*44/12</f>
        <v>9.1012769062321714E-7</v>
      </c>
      <c r="AC114" s="22">
        <f t="shared" si="57"/>
        <v>107.40966905628423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-1.7053025658242404E-13</v>
      </c>
      <c r="AJ114" s="13">
        <f>AI114*VLOOKUP('Données projet'!$B$10,Paramètres!$A$1:$I$89,3,0)*VLOOKUP('Données projet'!$B$10,Paramètres!$A$1:$I$89,5,0)</f>
        <v>-1.5429577615577727E-13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376.97234030481559</v>
      </c>
      <c r="AO114" s="59">
        <f t="shared" si="90"/>
        <v>532.90758914457615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18.955890384145619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18.955890384145619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256.72534545771862</v>
      </c>
      <c r="BJ114" s="59">
        <f t="shared" si="92"/>
        <v>362.34519377447361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59.421575653402911</v>
      </c>
      <c r="BQ114" s="21">
        <f>EXP(-LN(2)/25)*BQ113+(1-EXP(-LN(2)/25))/(LN(2)/25)*Calculateur!BL114*Calculateur!BN114*VLOOKUP('Données projet'!$B$11,Paramètres!$A$1:$I$89,3,0)*0.475*44/12</f>
        <v>9.8755362773851871</v>
      </c>
      <c r="BR114" s="21">
        <f>EXP(-LN(2)/2)*BR113+(1-EXP(-LN(2)/2))/(LN(2)/2)*BL114*BO114*VLOOKUP('Données projet'!$B$11,Paramètres!$A$1:$I$89,3,0)*0.475*44/12</f>
        <v>4.5459483395149922E-7</v>
      </c>
      <c r="BS114" s="22">
        <f t="shared" si="63"/>
        <v>69.297112385382945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459.83870442974046</v>
      </c>
      <c r="T115" s="59">
        <f t="shared" si="88"/>
        <v>565.68976940602215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90.848362049583955</v>
      </c>
      <c r="AA115" s="21">
        <f>EXP(-LN(2)/25)*AA114+(1-EXP(-LN(2)/25))/(LN(2)/25)*Calculateur!V115*Calculateur!X115*VLOOKUP('Données projet'!$B$9,Paramètres!$A$1:$I$89,3,0)*0.475*44/12</f>
        <v>14.341011919134004</v>
      </c>
      <c r="AB115" s="21">
        <f>EXP(-LN(2)/2)*AB114+(1-EXP(-LN(2)/2))/(LN(2)/2)*V115*Y115*VLOOKUP('Données projet'!$B$9,Paramètres!$A$1:$I$89,3,0)*0.475*44/12</f>
        <v>6.4355746178532906E-7</v>
      </c>
      <c r="AC115" s="22">
        <f t="shared" si="57"/>
        <v>105.18937461227542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-1.7053025658242404E-13</v>
      </c>
      <c r="AJ115" s="13">
        <f>AI115*VLOOKUP('Données projet'!$B$10,Paramètres!$A$1:$I$89,3,0)*VLOOKUP('Données projet'!$B$10,Paramètres!$A$1:$I$89,5,0)</f>
        <v>-1.5429577615577727E-13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376.97234030481559</v>
      </c>
      <c r="AO115" s="59">
        <f t="shared" si="90"/>
        <v>532.90758914457615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18.584176935664008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18.584176935664008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256.72534545771862</v>
      </c>
      <c r="BJ115" s="59">
        <f t="shared" si="92"/>
        <v>362.34519377447361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58.256354798422073</v>
      </c>
      <c r="BQ115" s="21">
        <f>EXP(-LN(2)/25)*BQ114+(1-EXP(-LN(2)/25))/(LN(2)/25)*Calculateur!BL115*Calculateur!BN115*VLOOKUP('Données projet'!$B$11,Paramètres!$A$1:$I$89,3,0)*0.475*44/12</f>
        <v>9.6054892185482075</v>
      </c>
      <c r="BR115" s="21">
        <f>EXP(-LN(2)/2)*BR114+(1-EXP(-LN(2)/2))/(LN(2)/2)*BL115*BO115*VLOOKUP('Données projet'!$B$11,Paramètres!$A$1:$I$89,3,0)*0.475*44/12</f>
        <v>3.2144708977947766E-7</v>
      </c>
      <c r="BS115" s="22">
        <f t="shared" si="63"/>
        <v>67.86184433841737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459.83870442974046</v>
      </c>
      <c r="T116" s="59">
        <f t="shared" si="88"/>
        <v>565.68976940602215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89.066881081820981</v>
      </c>
      <c r="AA116" s="21">
        <f>EXP(-LN(2)/25)*AA115+(1-EXP(-LN(2)/25))/(LN(2)/25)*Calculateur!V116*Calculateur!X116*VLOOKUP('Données projet'!$B$9,Paramètres!$A$1:$I$89,3,0)*0.475*44/12</f>
        <v>13.948856194044245</v>
      </c>
      <c r="AB116" s="21">
        <f>EXP(-LN(2)/2)*AB115+(1-EXP(-LN(2)/2))/(LN(2)/2)*V116*Y116*VLOOKUP('Données projet'!$B$9,Paramètres!$A$1:$I$89,3,0)*0.475*44/12</f>
        <v>4.5506384531160862E-7</v>
      </c>
      <c r="AC116" s="22">
        <f t="shared" si="57"/>
        <v>103.01573773092906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-1.7053025658242404E-13</v>
      </c>
      <c r="AJ116" s="13">
        <f>AI116*VLOOKUP('Données projet'!$B$10,Paramètres!$A$1:$I$89,3,0)*VLOOKUP('Données projet'!$B$10,Paramètres!$A$1:$I$89,5,0)</f>
        <v>-1.5429577615577727E-13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376.97234030481559</v>
      </c>
      <c r="AO116" s="59">
        <f t="shared" si="90"/>
        <v>532.90758914457615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18.219752561184308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18.219752561184308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256.72534545771862</v>
      </c>
      <c r="BJ116" s="59">
        <f t="shared" si="92"/>
        <v>362.34519377447361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57.113983213692862</v>
      </c>
      <c r="BQ116" s="21">
        <f>EXP(-LN(2)/25)*BQ115+(1-EXP(-LN(2)/25))/(LN(2)/25)*Calculateur!BL116*Calculateur!BN116*VLOOKUP('Données projet'!$B$11,Paramètres!$A$1:$I$89,3,0)*0.475*44/12</f>
        <v>9.3428266107362816</v>
      </c>
      <c r="BR116" s="21">
        <f>EXP(-LN(2)/2)*BR115+(1-EXP(-LN(2)/2))/(LN(2)/2)*BL116*BO116*VLOOKUP('Données projet'!$B$11,Paramètres!$A$1:$I$89,3,0)*0.475*44/12</f>
        <v>2.2729741697574961E-7</v>
      </c>
      <c r="BS116" s="22">
        <f t="shared" si="63"/>
        <v>66.456810051726563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459.83870442974046</v>
      </c>
      <c r="T117" s="59">
        <f t="shared" si="88"/>
        <v>565.68976940602215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87.320333869239747</v>
      </c>
      <c r="AA117" s="21">
        <f>EXP(-LN(2)/25)*AA116+(1-EXP(-LN(2)/25))/(LN(2)/25)*Calculateur!V117*Calculateur!X117*VLOOKUP('Données projet'!$B$9,Paramètres!$A$1:$I$89,3,0)*0.475*44/12</f>
        <v>13.567423987879637</v>
      </c>
      <c r="AB117" s="21">
        <f>EXP(-LN(2)/2)*AB116+(1-EXP(-LN(2)/2))/(LN(2)/2)*V117*Y117*VLOOKUP('Données projet'!$B$9,Paramètres!$A$1:$I$89,3,0)*0.475*44/12</f>
        <v>3.2177873089266458E-7</v>
      </c>
      <c r="AC117" s="22">
        <f t="shared" si="57"/>
        <v>100.88775817889811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-1.7053025658242404E-13</v>
      </c>
      <c r="AJ117" s="13">
        <f>AI117*VLOOKUP('Données projet'!$B$10,Paramètres!$A$1:$I$89,3,0)*VLOOKUP('Données projet'!$B$10,Paramètres!$A$1:$I$89,5,0)</f>
        <v>-1.5429577615577727E-13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376.97234030481559</v>
      </c>
      <c r="AO117" s="59">
        <f t="shared" si="90"/>
        <v>532.90758914457615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17.862474326411231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17.862474326411231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256.72534545771862</v>
      </c>
      <c r="BJ117" s="59">
        <f t="shared" si="92"/>
        <v>362.34519377447361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55.994012838962327</v>
      </c>
      <c r="BQ117" s="21">
        <f>EXP(-LN(2)/25)*BQ116+(1-EXP(-LN(2)/25))/(LN(2)/25)*Calculateur!BL117*Calculateur!BN117*VLOOKUP('Données projet'!$B$11,Paramètres!$A$1:$I$89,3,0)*0.475*44/12</f>
        <v>9.0873465257477992</v>
      </c>
      <c r="BR117" s="21">
        <f>EXP(-LN(2)/2)*BR116+(1-EXP(-LN(2)/2))/(LN(2)/2)*BL117*BO117*VLOOKUP('Données projet'!$B$11,Paramètres!$A$1:$I$89,3,0)*0.475*44/12</f>
        <v>1.6072354488973883E-7</v>
      </c>
      <c r="BS117" s="22">
        <f t="shared" si="63"/>
        <v>65.081359525433669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459.83870442974046</v>
      </c>
      <c r="T118" s="59">
        <f t="shared" si="88"/>
        <v>565.68976940602215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85.608035382208612</v>
      </c>
      <c r="AA118" s="21">
        <f>EXP(-LN(2)/25)*AA117+(1-EXP(-LN(2)/25))/(LN(2)/25)*Calculateur!V118*Calculateur!X118*VLOOKUP('Données projet'!$B$9,Paramètres!$A$1:$I$89,3,0)*0.475*44/12</f>
        <v>13.19642206545125</v>
      </c>
      <c r="AB118" s="21">
        <f>EXP(-LN(2)/2)*AB117+(1-EXP(-LN(2)/2))/(LN(2)/2)*V118*Y118*VLOOKUP('Données projet'!$B$9,Paramètres!$A$1:$I$89,3,0)*0.475*44/12</f>
        <v>2.2753192265580436E-7</v>
      </c>
      <c r="AC118" s="22">
        <f t="shared" si="57"/>
        <v>98.804457675191784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-1.7053025658242404E-13</v>
      </c>
      <c r="AJ118" s="13">
        <f>AI118*VLOOKUP('Données projet'!$B$10,Paramètres!$A$1:$I$89,3,0)*VLOOKUP('Données projet'!$B$10,Paramètres!$A$1:$I$89,5,0)</f>
        <v>-1.5429577615577727E-13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376.97234030481559</v>
      </c>
      <c r="AO118" s="59">
        <f t="shared" si="90"/>
        <v>532.90758914457615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17.512202099903849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17.512202099903849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256.72534545771862</v>
      </c>
      <c r="BJ118" s="59">
        <f t="shared" si="92"/>
        <v>362.34519377447361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54.896004400165779</v>
      </c>
      <c r="BQ118" s="21">
        <f>EXP(-LN(2)/25)*BQ117+(1-EXP(-LN(2)/25))/(LN(2)/25)*Calculateur!BL118*Calculateur!BN118*VLOOKUP('Données projet'!$B$11,Paramètres!$A$1:$I$89,3,0)*0.475*44/12</f>
        <v>8.8388525571184413</v>
      </c>
      <c r="BR118" s="21">
        <f>EXP(-LN(2)/2)*BR117+(1-EXP(-LN(2)/2))/(LN(2)/2)*BL118*BO118*VLOOKUP('Données projet'!$B$11,Paramètres!$A$1:$I$89,3,0)*0.475*44/12</f>
        <v>1.136487084878748E-7</v>
      </c>
      <c r="BS118" s="22">
        <f t="shared" si="63"/>
        <v>63.734857070932932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459.83870442974046</v>
      </c>
      <c r="T119" s="59">
        <f t="shared" si="88"/>
        <v>565.68976940602215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83.929314024109203</v>
      </c>
      <c r="AA119" s="21">
        <f>EXP(-LN(2)/25)*AA118+(1-EXP(-LN(2)/25))/(LN(2)/25)*Calculateur!V119*Calculateur!X119*VLOOKUP('Données projet'!$B$9,Paramètres!$A$1:$I$89,3,0)*0.475*44/12</f>
        <v>12.835565210101811</v>
      </c>
      <c r="AB119" s="21">
        <f>EXP(-LN(2)/2)*AB118+(1-EXP(-LN(2)/2))/(LN(2)/2)*V119*Y119*VLOOKUP('Données projet'!$B$9,Paramètres!$A$1:$I$89,3,0)*0.475*44/12</f>
        <v>1.6088936544633232E-7</v>
      </c>
      <c r="AC119" s="22">
        <f t="shared" si="57"/>
        <v>96.76487939510038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-1.7053025658242404E-13</v>
      </c>
      <c r="AJ119" s="13">
        <f>AI119*VLOOKUP('Données projet'!$B$10,Paramètres!$A$1:$I$89,3,0)*VLOOKUP('Données projet'!$B$10,Paramètres!$A$1:$I$89,5,0)</f>
        <v>-1.5429577615577727E-13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376.97234030481559</v>
      </c>
      <c r="AO119" s="59">
        <f t="shared" si="90"/>
        <v>532.90758914457615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17.168798498113315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17.168798498113315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256.72534545771862</v>
      </c>
      <c r="BJ119" s="59">
        <f t="shared" si="92"/>
        <v>362.34519377447361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53.819527237135013</v>
      </c>
      <c r="BQ119" s="21">
        <f>EXP(-LN(2)/25)*BQ118+(1-EXP(-LN(2)/25))/(LN(2)/25)*Calculateur!BL119*Calculateur!BN119*VLOOKUP('Données projet'!$B$11,Paramètres!$A$1:$I$89,3,0)*0.475*44/12</f>
        <v>8.5971536691289838</v>
      </c>
      <c r="BR119" s="21">
        <f>EXP(-LN(2)/2)*BR118+(1-EXP(-LN(2)/2))/(LN(2)/2)*BL119*BO119*VLOOKUP('Données projet'!$B$11,Paramètres!$A$1:$I$89,3,0)*0.475*44/12</f>
        <v>8.0361772444869415E-8</v>
      </c>
      <c r="BS119" s="22">
        <f t="shared" si="63"/>
        <v>62.416680986625771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459.83870442974046</v>
      </c>
      <c r="T120" s="59">
        <f t="shared" si="88"/>
        <v>565.68976940602215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82.283511367923197</v>
      </c>
      <c r="AA120" s="21">
        <f>EXP(-LN(2)/25)*AA119+(1-EXP(-LN(2)/25))/(LN(2)/25)*Calculateur!V120*Calculateur!X120*VLOOKUP('Données projet'!$B$9,Paramètres!$A$1:$I$89,3,0)*0.475*44/12</f>
        <v>12.484576004438539</v>
      </c>
      <c r="AB120" s="21">
        <f>EXP(-LN(2)/2)*AB119+(1-EXP(-LN(2)/2))/(LN(2)/2)*V120*Y120*VLOOKUP('Données projet'!$B$9,Paramètres!$A$1:$I$89,3,0)*0.475*44/12</f>
        <v>1.137659613279022E-7</v>
      </c>
      <c r="AC120" s="22">
        <f t="shared" si="57"/>
        <v>94.768087486127698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-1.7053025658242404E-13</v>
      </c>
      <c r="AJ120" s="13">
        <f>AI120*VLOOKUP('Données projet'!$B$10,Paramètres!$A$1:$I$89,3,0)*VLOOKUP('Données projet'!$B$10,Paramètres!$A$1:$I$89,5,0)</f>
        <v>-1.5429577615577727E-13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376.97234030481559</v>
      </c>
      <c r="AO120" s="59">
        <f t="shared" si="90"/>
        <v>532.90758914457615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16.83212883149838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16.83212883149838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256.72534545771862</v>
      </c>
      <c r="BJ120" s="59">
        <f t="shared" si="92"/>
        <v>362.34519377447361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52.764159134685045</v>
      </c>
      <c r="BQ120" s="21">
        <f>EXP(-LN(2)/25)*BQ119+(1-EXP(-LN(2)/25))/(LN(2)/25)*Calculateur!BL120*Calculateur!BN120*VLOOKUP('Données projet'!$B$11,Paramètres!$A$1:$I$89,3,0)*0.475*44/12</f>
        <v>8.3620640499419885</v>
      </c>
      <c r="BR120" s="21">
        <f>EXP(-LN(2)/2)*BR119+(1-EXP(-LN(2)/2))/(LN(2)/2)*BL120*BO120*VLOOKUP('Données projet'!$B$11,Paramètres!$A$1:$I$89,3,0)*0.475*44/12</f>
        <v>5.6824354243937402E-8</v>
      </c>
      <c r="BS120" s="22">
        <f t="shared" si="63"/>
        <v>61.126223241451392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459.83870442974046</v>
      </c>
      <c r="T121" s="59">
        <f t="shared" si="88"/>
        <v>565.68976940602215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80.669981897984499</v>
      </c>
      <c r="AA121" s="21">
        <f>EXP(-LN(2)/25)*AA120+(1-EXP(-LN(2)/25))/(LN(2)/25)*Calculateur!V121*Calculateur!X121*VLOOKUP('Données projet'!$B$9,Paramètres!$A$1:$I$89,3,0)*0.475*44/12</f>
        <v>12.143184617061848</v>
      </c>
      <c r="AB121" s="21">
        <f>EXP(-LN(2)/2)*AB120+(1-EXP(-LN(2)/2))/(LN(2)/2)*V121*Y121*VLOOKUP('Données projet'!$B$9,Paramètres!$A$1:$I$89,3,0)*0.475*44/12</f>
        <v>8.0444682723166172E-8</v>
      </c>
      <c r="AC121" s="22">
        <f t="shared" si="57"/>
        <v>92.813166595491026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-1.7053025658242404E-13</v>
      </c>
      <c r="AJ121" s="13">
        <f>AI121*VLOOKUP('Données projet'!$B$10,Paramètres!$A$1:$I$89,3,0)*VLOOKUP('Données projet'!$B$10,Paramètres!$A$1:$I$89,5,0)</f>
        <v>-1.5429577615577727E-13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376.97234030481559</v>
      </c>
      <c r="AO121" s="59">
        <f t="shared" si="90"/>
        <v>532.90758914457615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16.502061051697542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16.502061051697542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256.72534545771862</v>
      </c>
      <c r="BJ121" s="59">
        <f t="shared" si="92"/>
        <v>362.34519377447361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51.729486157013142</v>
      </c>
      <c r="BQ121" s="21">
        <f>EXP(-LN(2)/25)*BQ120+(1-EXP(-LN(2)/25))/(LN(2)/25)*Calculateur!BL121*Calculateur!BN121*VLOOKUP('Données projet'!$B$11,Paramètres!$A$1:$I$89,3,0)*0.475*44/12</f>
        <v>8.1334029687544884</v>
      </c>
      <c r="BR121" s="21">
        <f>EXP(-LN(2)/2)*BR120+(1-EXP(-LN(2)/2))/(LN(2)/2)*BL121*BO121*VLOOKUP('Données projet'!$B$11,Paramètres!$A$1:$I$89,3,0)*0.475*44/12</f>
        <v>4.0180886222434708E-8</v>
      </c>
      <c r="BS121" s="22">
        <f t="shared" si="63"/>
        <v>59.862889165948516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459.83870442974046</v>
      </c>
      <c r="T122" s="59">
        <f t="shared" si="88"/>
        <v>565.68976940602215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79.088092756795504</v>
      </c>
      <c r="AA122" s="21">
        <f>EXP(-LN(2)/25)*AA121+(1-EXP(-LN(2)/25))/(LN(2)/25)*Calculateur!V122*Calculateur!X122*VLOOKUP('Données projet'!$B$9,Paramètres!$A$1:$I$89,3,0)*0.475*44/12</f>
        <v>11.811128595125966</v>
      </c>
      <c r="AB122" s="21">
        <f>EXP(-LN(2)/2)*AB121+(1-EXP(-LN(2)/2))/(LN(2)/2)*V122*Y122*VLOOKUP('Données projet'!$B$9,Paramètres!$A$1:$I$89,3,0)*0.475*44/12</f>
        <v>5.6882980663951104E-8</v>
      </c>
      <c r="AC122" s="22">
        <f t="shared" si="57"/>
        <v>90.899221408804451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-1.7053025658242404E-13</v>
      </c>
      <c r="AJ122" s="13">
        <f>AI122*VLOOKUP('Données projet'!$B$10,Paramètres!$A$1:$I$89,3,0)*VLOOKUP('Données projet'!$B$10,Paramètres!$A$1:$I$89,5,0)</f>
        <v>-1.5429577615577727E-13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376.97234030481559</v>
      </c>
      <c r="AO122" s="59">
        <f t="shared" si="90"/>
        <v>532.90758914457615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16.178465699737131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16.178465699737131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256.72534545771862</v>
      </c>
      <c r="BJ122" s="59">
        <f t="shared" si="92"/>
        <v>362.34519377447361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50.715102485345184</v>
      </c>
      <c r="BQ122" s="21">
        <f>EXP(-LN(2)/25)*BQ121+(1-EXP(-LN(2)/25))/(LN(2)/25)*Calculateur!BL122*Calculateur!BN122*VLOOKUP('Données projet'!$B$11,Paramètres!$A$1:$I$89,3,0)*0.475*44/12</f>
        <v>7.9109946368568238</v>
      </c>
      <c r="BR122" s="21">
        <f>EXP(-LN(2)/2)*BR121+(1-EXP(-LN(2)/2))/(LN(2)/2)*BL122*BO122*VLOOKUP('Données projet'!$B$11,Paramètres!$A$1:$I$89,3,0)*0.475*44/12</f>
        <v>2.8412177121968701E-8</v>
      </c>
      <c r="BS122" s="22">
        <f t="shared" si="63"/>
        <v>58.626097150614186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459.83870442974046</v>
      </c>
      <c r="T123" s="59">
        <f t="shared" si="88"/>
        <v>565.68976940602215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77.537223496808124</v>
      </c>
      <c r="AA123" s="21">
        <f>EXP(-LN(2)/25)*AA122+(1-EXP(-LN(2)/25))/(LN(2)/25)*Calculateur!V123*Calculateur!X123*VLOOKUP('Données projet'!$B$9,Paramètres!$A$1:$I$89,3,0)*0.475*44/12</f>
        <v>11.488152662571988</v>
      </c>
      <c r="AB123" s="21">
        <f>EXP(-LN(2)/2)*AB122+(1-EXP(-LN(2)/2))/(LN(2)/2)*V123*Y123*VLOOKUP('Données projet'!$B$9,Paramètres!$A$1:$I$89,3,0)*0.475*44/12</f>
        <v>4.0222341361583093E-8</v>
      </c>
      <c r="AC123" s="22">
        <f t="shared" si="57"/>
        <v>89.025376199602462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-1.7053025658242404E-13</v>
      </c>
      <c r="AJ123" s="13">
        <f>AI123*VLOOKUP('Données projet'!$B$10,Paramètres!$A$1:$I$89,3,0)*VLOOKUP('Données projet'!$B$10,Paramètres!$A$1:$I$89,5,0)</f>
        <v>-1.5429577615577727E-13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376.97234030481559</v>
      </c>
      <c r="AO123" s="59">
        <f t="shared" si="90"/>
        <v>532.90758914457615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15.86121585525499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15.86121585525499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256.72534545771862</v>
      </c>
      <c r="BJ123" s="59">
        <f t="shared" si="92"/>
        <v>362.34519377447361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49.720610258765689</v>
      </c>
      <c r="BQ123" s="21">
        <f>EXP(-LN(2)/25)*BQ122+(1-EXP(-LN(2)/25))/(LN(2)/25)*Calculateur!BL123*Calculateur!BN123*VLOOKUP('Données projet'!$B$11,Paramètres!$A$1:$I$89,3,0)*0.475*44/12</f>
        <v>7.6946680724908472</v>
      </c>
      <c r="BR123" s="21">
        <f>EXP(-LN(2)/2)*BR122+(1-EXP(-LN(2)/2))/(LN(2)/2)*BL123*BO123*VLOOKUP('Données projet'!$B$11,Paramètres!$A$1:$I$89,3,0)*0.475*44/12</f>
        <v>2.0090443111217354E-8</v>
      </c>
      <c r="BS123" s="22">
        <f t="shared" si="63"/>
        <v>57.415278351346984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459.83870442974046</v>
      </c>
      <c r="T124" s="59">
        <f t="shared" si="88"/>
        <v>565.68976940602215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76.016765837072256</v>
      </c>
      <c r="AA124" s="21">
        <f>EXP(-LN(2)/25)*AA123+(1-EXP(-LN(2)/25))/(LN(2)/25)*Calculateur!V124*Calculateur!X124*VLOOKUP('Données projet'!$B$9,Paramètres!$A$1:$I$89,3,0)*0.475*44/12</f>
        <v>11.174008523878264</v>
      </c>
      <c r="AB124" s="21">
        <f>EXP(-LN(2)/2)*AB123+(1-EXP(-LN(2)/2))/(LN(2)/2)*V124*Y124*VLOOKUP('Données projet'!$B$9,Paramètres!$A$1:$I$89,3,0)*0.475*44/12</f>
        <v>2.8441490331975559E-8</v>
      </c>
      <c r="AC124" s="22">
        <f t="shared" si="57"/>
        <v>87.190774389392004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-1.5429577615577727E-13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376.97234030481559</v>
      </c>
      <c r="AO124" s="59">
        <f t="shared" si="90"/>
        <v>532.90758914457615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15.550187086719845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15.550187086719845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256.72534545771862</v>
      </c>
      <c r="BJ124" s="59">
        <f t="shared" si="92"/>
        <v>362.34519377447361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48.745619418169049</v>
      </c>
      <c r="BQ124" s="21">
        <f>EXP(-LN(2)/25)*BQ123+(1-EXP(-LN(2)/25))/(LN(2)/25)*Calculateur!BL124*Calculateur!BN124*VLOOKUP('Données projet'!$B$11,Paramètres!$A$1:$I$89,3,0)*0.475*44/12</f>
        <v>7.4842569694035772</v>
      </c>
      <c r="BR124" s="21">
        <f>EXP(-LN(2)/2)*BR123+(1-EXP(-LN(2)/2))/(LN(2)/2)*BL124*BO124*VLOOKUP('Données projet'!$B$11,Paramètres!$A$1:$I$89,3,0)*0.475*44/12</f>
        <v>1.4206088560984351E-8</v>
      </c>
      <c r="BS124" s="22">
        <f t="shared" si="63"/>
        <v>56.229876401778711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459.83870442974046</v>
      </c>
      <c r="T125" s="59">
        <f t="shared" si="88"/>
        <v>565.68976940602215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74.526123424656205</v>
      </c>
      <c r="AA125" s="21">
        <f>EXP(-LN(2)/25)*AA124+(1-EXP(-LN(2)/25))/(LN(2)/25)*Calculateur!V125*Calculateur!X125*VLOOKUP('Données projet'!$B$9,Paramètres!$A$1:$I$89,3,0)*0.475*44/12</f>
        <v>10.868454673177244</v>
      </c>
      <c r="AB125" s="21">
        <f>EXP(-LN(2)/2)*AB124+(1-EXP(-LN(2)/2))/(LN(2)/2)*V125*Y125*VLOOKUP('Données projet'!$B$9,Paramètres!$A$1:$I$89,3,0)*0.475*44/12</f>
        <v>2.011117068079155E-8</v>
      </c>
      <c r="AC125" s="22">
        <f t="shared" si="57"/>
        <v>85.394578117944619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-1.5429577615577727E-13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376.97234030481559</v>
      </c>
      <c r="AO125" s="59">
        <f t="shared" si="90"/>
        <v>532.90758914457615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15.245257402626857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15.245257402626857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256.72534545771862</v>
      </c>
      <c r="BJ125" s="59">
        <f t="shared" si="92"/>
        <v>362.34519377447361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47.789747553270821</v>
      </c>
      <c r="BQ125" s="21">
        <f>EXP(-LN(2)/25)*BQ124+(1-EXP(-LN(2)/25))/(LN(2)/25)*Calculateur!BL125*Calculateur!BN125*VLOOKUP('Données projet'!$B$11,Paramètres!$A$1:$I$89,3,0)*0.475*44/12</f>
        <v>7.2795995689952679</v>
      </c>
      <c r="BR125" s="21">
        <f>EXP(-LN(2)/2)*BR124+(1-EXP(-LN(2)/2))/(LN(2)/2)*BL125*BO125*VLOOKUP('Données projet'!$B$11,Paramètres!$A$1:$I$89,3,0)*0.475*44/12</f>
        <v>1.0045221555608677E-8</v>
      </c>
      <c r="BS125" s="22">
        <f t="shared" si="63"/>
        <v>55.069347132311307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459.83870442974046</v>
      </c>
      <c r="T126" s="59">
        <f t="shared" si="88"/>
        <v>565.68976940602215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73.064711600745539</v>
      </c>
      <c r="AA126" s="21">
        <f>EXP(-LN(2)/25)*AA125+(1-EXP(-LN(2)/25))/(LN(2)/25)*Calculateur!V126*Calculateur!X126*VLOOKUP('Données projet'!$B$9,Paramètres!$A$1:$I$89,3,0)*0.475*44/12</f>
        <v>10.57125620859202</v>
      </c>
      <c r="AB126" s="21">
        <f>EXP(-LN(2)/2)*AB125+(1-EXP(-LN(2)/2))/(LN(2)/2)*V126*Y126*VLOOKUP('Données projet'!$B$9,Paramètres!$A$1:$I$89,3,0)*0.475*44/12</f>
        <v>1.4220745165987781E-8</v>
      </c>
      <c r="AC126" s="22">
        <f t="shared" si="57"/>
        <v>83.635967823558303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-1.5429577615577727E-13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376.97234030481559</v>
      </c>
      <c r="AO126" s="59">
        <f t="shared" si="90"/>
        <v>532.90758914457615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14.946307203650191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14.946307203650191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256.72534545771862</v>
      </c>
      <c r="BJ126" s="59">
        <f t="shared" si="92"/>
        <v>362.34519377447361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46.852619752618978</v>
      </c>
      <c r="BQ126" s="21">
        <f>EXP(-LN(2)/25)*BQ125+(1-EXP(-LN(2)/25))/(LN(2)/25)*Calculateur!BL126*Calculateur!BN126*VLOOKUP('Données projet'!$B$11,Paramètres!$A$1:$I$89,3,0)*0.475*44/12</f>
        <v>7.0805385359635888</v>
      </c>
      <c r="BR126" s="21">
        <f>EXP(-LN(2)/2)*BR125+(1-EXP(-LN(2)/2))/(LN(2)/2)*BL126*BO126*VLOOKUP('Données projet'!$B$11,Paramètres!$A$1:$I$89,3,0)*0.475*44/12</f>
        <v>7.1030442804921753E-9</v>
      </c>
      <c r="BS126" s="22">
        <f t="shared" si="63"/>
        <v>53.933158295685615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459.83870442974046</v>
      </c>
      <c r="T127" s="59">
        <f t="shared" si="88"/>
        <v>565.68976940602215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71.631957171328565</v>
      </c>
      <c r="AA127" s="21">
        <f>EXP(-LN(2)/25)*AA126+(1-EXP(-LN(2)/25))/(LN(2)/25)*Calculateur!V127*Calculateur!X127*VLOOKUP('Données projet'!$B$9,Paramètres!$A$1:$I$89,3,0)*0.475*44/12</f>
        <v>10.282184651649867</v>
      </c>
      <c r="AB127" s="21">
        <f>EXP(-LN(2)/2)*AB126+(1-EXP(-LN(2)/2))/(LN(2)/2)*V127*Y127*VLOOKUP('Données projet'!$B$9,Paramètres!$A$1:$I$89,3,0)*0.475*44/12</f>
        <v>1.0055585340395776E-8</v>
      </c>
      <c r="AC127" s="22">
        <f t="shared" si="57"/>
        <v>81.914141833034023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-1.5429577615577727E-13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376.97234030481559</v>
      </c>
      <c r="AO127" s="59">
        <f t="shared" si="90"/>
        <v>532.90758914457615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14.65321923573384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14.65321923573384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256.72534545771862</v>
      </c>
      <c r="BJ127" s="59">
        <f t="shared" si="92"/>
        <v>362.34519377447361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45.933868456546399</v>
      </c>
      <c r="BQ127" s="21">
        <f>EXP(-LN(2)/25)*BQ126+(1-EXP(-LN(2)/25))/(LN(2)/25)*Calculateur!BL127*Calculateur!BN127*VLOOKUP('Données projet'!$B$11,Paramètres!$A$1:$I$89,3,0)*0.475*44/12</f>
        <v>6.8869208373483257</v>
      </c>
      <c r="BR127" s="21">
        <f>EXP(-LN(2)/2)*BR126+(1-EXP(-LN(2)/2))/(LN(2)/2)*BL127*BO127*VLOOKUP('Données projet'!$B$11,Paramètres!$A$1:$I$89,3,0)*0.475*44/12</f>
        <v>5.0226107778043385E-9</v>
      </c>
      <c r="BS127" s="22">
        <f t="shared" si="63"/>
        <v>52.82078929891734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459.83870442974046</v>
      </c>
      <c r="T128" s="59">
        <f t="shared" si="88"/>
        <v>565.68976940602215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70.227298182378547</v>
      </c>
      <c r="AA128" s="21">
        <f>EXP(-LN(2)/25)*AA127+(1-EXP(-LN(2)/25))/(LN(2)/25)*Calculateur!V128*Calculateur!X128*VLOOKUP('Données projet'!$B$9,Paramètres!$A$1:$I$89,3,0)*0.475*44/12</f>
        <v>10.001017771633911</v>
      </c>
      <c r="AB128" s="21">
        <f>EXP(-LN(2)/2)*AB127+(1-EXP(-LN(2)/2))/(LN(2)/2)*V128*Y128*VLOOKUP('Données projet'!$B$9,Paramètres!$A$1:$I$89,3,0)*0.475*44/12</f>
        <v>7.1103725829938922E-9</v>
      </c>
      <c r="AC128" s="22">
        <f t="shared" si="57"/>
        <v>80.228315961122831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-1.5429577615577727E-13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376.97234030481559</v>
      </c>
      <c r="AO128" s="59">
        <f t="shared" si="90"/>
        <v>532.90758914457615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14.365878544102319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14.365878544102319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256.72534545771862</v>
      </c>
      <c r="BJ128" s="59">
        <f t="shared" si="92"/>
        <v>362.34519377447361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45.033133313006843</v>
      </c>
      <c r="BQ128" s="21">
        <f>EXP(-LN(2)/25)*BQ127+(1-EXP(-LN(2)/25))/(LN(2)/25)*Calculateur!BL128*Calculateur!BN128*VLOOKUP('Données projet'!$B$11,Paramètres!$A$1:$I$89,3,0)*0.475*44/12</f>
        <v>6.6985976248836092</v>
      </c>
      <c r="BR128" s="21">
        <f>EXP(-LN(2)/2)*BR127+(1-EXP(-LN(2)/2))/(LN(2)/2)*BL128*BO128*VLOOKUP('Données projet'!$B$11,Paramètres!$A$1:$I$89,3,0)*0.475*44/12</f>
        <v>3.5515221402460877E-9</v>
      </c>
      <c r="BS128" s="22">
        <f t="shared" si="63"/>
        <v>51.731730941441974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459.83870442974046</v>
      </c>
      <c r="T129" s="59">
        <f t="shared" si="88"/>
        <v>565.68976940602215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68.850183699444443</v>
      </c>
      <c r="AA129" s="21">
        <f>EXP(-LN(2)/25)*AA128+(1-EXP(-LN(2)/25))/(LN(2)/25)*Calculateur!V129*Calculateur!X129*VLOOKUP('Données projet'!$B$9,Paramètres!$A$1:$I$89,3,0)*0.475*44/12</f>
        <v>9.7275394147379153</v>
      </c>
      <c r="AB129" s="21">
        <f>EXP(-LN(2)/2)*AB128+(1-EXP(-LN(2)/2))/(LN(2)/2)*V129*Y129*VLOOKUP('Données projet'!$B$9,Paramètres!$A$1:$I$89,3,0)*0.475*44/12</f>
        <v>5.0277926701978891E-9</v>
      </c>
      <c r="AC129" s="22">
        <f t="shared" si="57"/>
        <v>78.577723119210148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-1.5429577615577727E-13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376.97234030481559</v>
      </c>
      <c r="AO129" s="59">
        <f t="shared" si="90"/>
        <v>532.90758914457615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14.084172428173177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14.084172428173177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256.72534545771862</v>
      </c>
      <c r="BJ129" s="59">
        <f t="shared" si="92"/>
        <v>362.34519377447361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44.150061036237908</v>
      </c>
      <c r="BQ129" s="21">
        <f>EXP(-LN(2)/25)*BQ128+(1-EXP(-LN(2)/25))/(LN(2)/25)*Calculateur!BL129*Calculateur!BN129*VLOOKUP('Données projet'!$B$11,Paramètres!$A$1:$I$89,3,0)*0.475*44/12</f>
        <v>6.5154241205672276</v>
      </c>
      <c r="BR129" s="21">
        <f>EXP(-LN(2)/2)*BR128+(1-EXP(-LN(2)/2))/(LN(2)/2)*BL129*BO129*VLOOKUP('Données projet'!$B$11,Paramètres!$A$1:$I$89,3,0)*0.475*44/12</f>
        <v>2.5113053889021692E-9</v>
      </c>
      <c r="BS129" s="22">
        <f t="shared" si="63"/>
        <v>50.665485159316439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459.83870442974046</v>
      </c>
      <c r="T130" s="59">
        <f t="shared" si="88"/>
        <v>565.68976940602215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67.50007359156379</v>
      </c>
      <c r="AA130" s="21">
        <f>EXP(-LN(2)/25)*AA129+(1-EXP(-LN(2)/25))/(LN(2)/25)*Calculateur!V130*Calculateur!X130*VLOOKUP('Données projet'!$B$9,Paramètres!$A$1:$I$89,3,0)*0.475*44/12</f>
        <v>9.461539337892841</v>
      </c>
      <c r="AB130" s="21">
        <f>EXP(-LN(2)/2)*AB129+(1-EXP(-LN(2)/2))/(LN(2)/2)*V130*Y130*VLOOKUP('Données projet'!$B$9,Paramètres!$A$1:$I$89,3,0)*0.475*44/12</f>
        <v>3.5551862914969465E-9</v>
      </c>
      <c r="AC130" s="22">
        <f t="shared" si="57"/>
        <v>76.961612933011821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-1.5429577615577727E-13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376.97234030481559</v>
      </c>
      <c r="AO130" s="59">
        <f t="shared" si="90"/>
        <v>532.90758914457615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13.807990397353642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13.807990397353642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256.72534545771862</v>
      </c>
      <c r="BJ130" s="59">
        <f t="shared" si="92"/>
        <v>362.34519377447361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43.28430526819551</v>
      </c>
      <c r="BQ130" s="21">
        <f>EXP(-LN(2)/25)*BQ129+(1-EXP(-LN(2)/25))/(LN(2)/25)*Calculateur!BL130*Calculateur!BN130*VLOOKUP('Données projet'!$B$11,Paramètres!$A$1:$I$89,3,0)*0.475*44/12</f>
        <v>6.3372595053590537</v>
      </c>
      <c r="BR130" s="21">
        <f>EXP(-LN(2)/2)*BR129+(1-EXP(-LN(2)/2))/(LN(2)/2)*BL130*BO130*VLOOKUP('Données projet'!$B$11,Paramètres!$A$1:$I$89,3,0)*0.475*44/12</f>
        <v>1.7757610701230438E-9</v>
      </c>
      <c r="BS130" s="22">
        <f t="shared" si="63"/>
        <v>49.621564775330327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459.83870442974046</v>
      </c>
      <c r="T131" s="59">
        <f t="shared" si="88"/>
        <v>565.68976940602215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66.176438319412824</v>
      </c>
      <c r="AA131" s="21">
        <f>EXP(-LN(2)/25)*AA130+(1-EXP(-LN(2)/25))/(LN(2)/25)*Calculateur!V131*Calculateur!X131*VLOOKUP('Données projet'!$B$9,Paramètres!$A$1:$I$89,3,0)*0.475*44/12</f>
        <v>9.2028130471374325</v>
      </c>
      <c r="AB131" s="21">
        <f>EXP(-LN(2)/2)*AB130+(1-EXP(-LN(2)/2))/(LN(2)/2)*V131*Y131*VLOOKUP('Données projet'!$B$9,Paramètres!$A$1:$I$89,3,0)*0.475*44/12</f>
        <v>2.513896335098945E-9</v>
      </c>
      <c r="AC131" s="22">
        <f t="shared" si="57"/>
        <v>75.37925136906415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-1.5429577615577727E-13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376.97234030481559</v>
      </c>
      <c r="AO131" s="59">
        <f t="shared" si="90"/>
        <v>532.90758914457615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13.537224127704071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13.537224127704071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256.72534545771862</v>
      </c>
      <c r="BJ131" s="59">
        <f t="shared" si="92"/>
        <v>362.34519377447361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42.435526442705545</v>
      </c>
      <c r="BQ131" s="21">
        <f>EXP(-LN(2)/25)*BQ130+(1-EXP(-LN(2)/25))/(LN(2)/25)*Calculateur!BL131*Calculateur!BN131*VLOOKUP('Données projet'!$B$11,Paramètres!$A$1:$I$89,3,0)*0.475*44/12</f>
        <v>6.163966810923017</v>
      </c>
      <c r="BR131" s="21">
        <f>EXP(-LN(2)/2)*BR130+(1-EXP(-LN(2)/2))/(LN(2)/2)*BL131*BO131*VLOOKUP('Données projet'!$B$11,Paramètres!$A$1:$I$89,3,0)*0.475*44/12</f>
        <v>1.2556526944510846E-9</v>
      </c>
      <c r="BS131" s="22">
        <f t="shared" si="63"/>
        <v>48.599493254884209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459.83870442974046</v>
      </c>
      <c r="T132" s="59">
        <f t="shared" si="88"/>
        <v>565.68976940602215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64.878758727610929</v>
      </c>
      <c r="AA132" s="21">
        <f>EXP(-LN(2)/25)*AA131+(1-EXP(-LN(2)/25))/(LN(2)/25)*Calculateur!V132*Calculateur!X132*VLOOKUP('Données projet'!$B$9,Paramètres!$A$1:$I$89,3,0)*0.475*44/12</f>
        <v>8.9511616404085554</v>
      </c>
      <c r="AB132" s="21">
        <f>EXP(-LN(2)/2)*AB131+(1-EXP(-LN(2)/2))/(LN(2)/2)*V132*Y132*VLOOKUP('Données projet'!$B$9,Paramètres!$A$1:$I$89,3,0)*0.475*44/12</f>
        <v>1.7775931457484735E-9</v>
      </c>
      <c r="AC132" s="22">
        <f t="shared" ref="AC132:AC153" si="111">SUM(Z132:AB132)</f>
        <v>73.82992036979708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-1.5429577615577727E-13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376.97234030481559</v>
      </c>
      <c r="AO132" s="59">
        <f t="shared" si="90"/>
        <v>532.90758914457615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13.271767419451212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13.271767419451212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256.72534545771862</v>
      </c>
      <c r="BJ132" s="59">
        <f t="shared" si="92"/>
        <v>362.34519377447361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41.603391652279477</v>
      </c>
      <c r="BQ132" s="21">
        <f>EXP(-LN(2)/25)*BQ131+(1-EXP(-LN(2)/25))/(LN(2)/25)*Calculateur!BL132*Calculateur!BN132*VLOOKUP('Données projet'!$B$11,Paramètres!$A$1:$I$89,3,0)*0.475*44/12</f>
        <v>5.9954128143294003</v>
      </c>
      <c r="BR132" s="21">
        <f>EXP(-LN(2)/2)*BR131+(1-EXP(-LN(2)/2))/(LN(2)/2)*BL132*BO132*VLOOKUP('Données projet'!$B$11,Paramètres!$A$1:$I$89,3,0)*0.475*44/12</f>
        <v>8.8788053506152191E-10</v>
      </c>
      <c r="BS132" s="22">
        <f t="shared" ref="BS132:BS153" si="117">SUM(BP132:BR132)</f>
        <v>47.598804467496755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459.83870442974046</v>
      </c>
      <c r="T133" s="59">
        <f t="shared" ref="T133:T196" si="142">$T$3</f>
        <v>565.68976940602215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63.606525841097877</v>
      </c>
      <c r="AA133" s="21">
        <f>EXP(-LN(2)/25)*AA132+(1-EXP(-LN(2)/25))/(LN(2)/25)*Calculateur!V133*Calculateur!X133*VLOOKUP('Données projet'!$B$9,Paramètres!$A$1:$I$89,3,0)*0.475*44/12</f>
        <v>8.7063916546304512</v>
      </c>
      <c r="AB133" s="21">
        <f>EXP(-LN(2)/2)*AB132+(1-EXP(-LN(2)/2))/(LN(2)/2)*V133*Y133*VLOOKUP('Données projet'!$B$9,Paramètres!$A$1:$I$89,3,0)*0.475*44/12</f>
        <v>1.2569481675494727E-9</v>
      </c>
      <c r="AC133" s="22">
        <f t="shared" si="111"/>
        <v>72.312917496985278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-1.5429577615577727E-13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376.97234030481559</v>
      </c>
      <c r="AO133" s="59">
        <f t="shared" ref="AO133:AO196" si="144">$AO$3</f>
        <v>532.90758914457615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13.011516155334586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13.011516155334586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256.72534545771862</v>
      </c>
      <c r="BJ133" s="59">
        <f t="shared" ref="BJ133:BJ196" si="146">$BJ$3</f>
        <v>362.34519377447361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40.787574517541557</v>
      </c>
      <c r="BQ133" s="21">
        <f>EXP(-LN(2)/25)*BQ132+(1-EXP(-LN(2)/25))/(LN(2)/25)*Calculateur!BL133*Calculateur!BN133*VLOOKUP('Données projet'!$B$11,Paramètres!$A$1:$I$89,3,0)*0.475*44/12</f>
        <v>5.831467935636506</v>
      </c>
      <c r="BR133" s="21">
        <f>EXP(-LN(2)/2)*BR132+(1-EXP(-LN(2)/2))/(LN(2)/2)*BL133*BO133*VLOOKUP('Données projet'!$B$11,Paramètres!$A$1:$I$89,3,0)*0.475*44/12</f>
        <v>6.2782634722554231E-10</v>
      </c>
      <c r="BS133" s="22">
        <f t="shared" si="117"/>
        <v>46.619042453805889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459.83870442974046</v>
      </c>
      <c r="T134" s="59">
        <f t="shared" si="142"/>
        <v>565.68976940602215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62.359240665503911</v>
      </c>
      <c r="AA134" s="21">
        <f>EXP(-LN(2)/25)*AA133+(1-EXP(-LN(2)/25))/(LN(2)/25)*Calculateur!V134*Calculateur!X134*VLOOKUP('Données projet'!$B$9,Paramètres!$A$1:$I$89,3,0)*0.475*44/12</f>
        <v>8.4683149169853422</v>
      </c>
      <c r="AB134" s="21">
        <f>EXP(-LN(2)/2)*AB133+(1-EXP(-LN(2)/2))/(LN(2)/2)*V134*Y134*VLOOKUP('Données projet'!$B$9,Paramètres!$A$1:$I$89,3,0)*0.475*44/12</f>
        <v>8.8879657287423694E-10</v>
      </c>
      <c r="AC134" s="22">
        <f t="shared" si="111"/>
        <v>70.827555583378043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-1.5429577615577727E-13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376.97234030481559</v>
      </c>
      <c r="AO134" s="59">
        <f t="shared" si="144"/>
        <v>532.90758914457615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12.75636825976969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12.75636825976969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256.72534545771862</v>
      </c>
      <c r="BJ134" s="59">
        <f t="shared" si="146"/>
        <v>362.34519377447361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39.987755059216525</v>
      </c>
      <c r="BQ134" s="21">
        <f>EXP(-LN(2)/25)*BQ133+(1-EXP(-LN(2)/25))/(LN(2)/25)*Calculateur!BL134*Calculateur!BN134*VLOOKUP('Données projet'!$B$11,Paramètres!$A$1:$I$89,3,0)*0.475*44/12</f>
        <v>5.6720061382729554</v>
      </c>
      <c r="BR134" s="21">
        <f>EXP(-LN(2)/2)*BR133+(1-EXP(-LN(2)/2))/(LN(2)/2)*BL134*BO134*VLOOKUP('Données projet'!$B$11,Paramètres!$A$1:$I$89,3,0)*0.475*44/12</f>
        <v>4.4394026753076096E-10</v>
      </c>
      <c r="BS134" s="22">
        <f t="shared" si="117"/>
        <v>45.65976119793342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459.83870442974046</v>
      </c>
      <c r="T135" s="59">
        <f t="shared" si="142"/>
        <v>565.68976940602215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61.136413991434502</v>
      </c>
      <c r="AA135" s="21">
        <f>EXP(-LN(2)/25)*AA134+(1-EXP(-LN(2)/25))/(LN(2)/25)*Calculateur!V135*Calculateur!X135*VLOOKUP('Données projet'!$B$9,Paramètres!$A$1:$I$89,3,0)*0.475*44/12</f>
        <v>8.2367484002510505</v>
      </c>
      <c r="AB135" s="21">
        <f>EXP(-LN(2)/2)*AB134+(1-EXP(-LN(2)/2))/(LN(2)/2)*V135*Y135*VLOOKUP('Données projet'!$B$9,Paramètres!$A$1:$I$89,3,0)*0.475*44/12</f>
        <v>6.2847408377473644E-10</v>
      </c>
      <c r="AC135" s="22">
        <f t="shared" si="111"/>
        <v>69.373162392314029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-1.5429577615577727E-13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376.97234030481559</v>
      </c>
      <c r="AO135" s="59">
        <f t="shared" si="144"/>
        <v>532.90758914457615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12.506223658811972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12.506223658811972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256.72534545771862</v>
      </c>
      <c r="BJ135" s="59">
        <f t="shared" si="146"/>
        <v>362.34519377447361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39.203619572627552</v>
      </c>
      <c r="BQ135" s="21">
        <f>EXP(-LN(2)/25)*BQ134+(1-EXP(-LN(2)/25))/(LN(2)/25)*Calculateur!BL135*Calculateur!BN135*VLOOKUP('Données projet'!$B$11,Paramètres!$A$1:$I$89,3,0)*0.475*44/12</f>
        <v>5.5169048321440419</v>
      </c>
      <c r="BR135" s="21">
        <f>EXP(-LN(2)/2)*BR134+(1-EXP(-LN(2)/2))/(LN(2)/2)*BL135*BO135*VLOOKUP('Données projet'!$B$11,Paramètres!$A$1:$I$89,3,0)*0.475*44/12</f>
        <v>3.1391317361277115E-10</v>
      </c>
      <c r="BS135" s="22">
        <f t="shared" si="117"/>
        <v>44.720524405085506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459.83870442974046</v>
      </c>
      <c r="T136" s="59">
        <f t="shared" si="142"/>
        <v>565.68976940602215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59.937566202592969</v>
      </c>
      <c r="AA136" s="21">
        <f>EXP(-LN(2)/25)*AA135+(1-EXP(-LN(2)/25))/(LN(2)/25)*Calculateur!V136*Calculateur!X136*VLOOKUP('Données projet'!$B$9,Paramètres!$A$1:$I$89,3,0)*0.475*44/12</f>
        <v>8.0115140820944131</v>
      </c>
      <c r="AB136" s="21">
        <f>EXP(-LN(2)/2)*AB135+(1-EXP(-LN(2)/2))/(LN(2)/2)*V136*Y136*VLOOKUP('Données projet'!$B$9,Paramètres!$A$1:$I$89,3,0)*0.475*44/12</f>
        <v>4.4439828643711852E-10</v>
      </c>
      <c r="AC136" s="22">
        <f t="shared" si="111"/>
        <v>67.949080285131785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-1.5429577615577727E-13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376.97234030481559</v>
      </c>
      <c r="AO136" s="59">
        <f t="shared" si="144"/>
        <v>532.90758914457615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12.260984240905895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12.260984240905895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256.72534545771862</v>
      </c>
      <c r="BJ136" s="59">
        <f t="shared" si="146"/>
        <v>362.34519377447361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38.43486050465517</v>
      </c>
      <c r="BQ136" s="21">
        <f>EXP(-LN(2)/25)*BQ135+(1-EXP(-LN(2)/25))/(LN(2)/25)*Calculateur!BL136*Calculateur!BN136*VLOOKUP('Données projet'!$B$11,Paramètres!$A$1:$I$89,3,0)*0.475*44/12</f>
        <v>5.3660447793876473</v>
      </c>
      <c r="BR136" s="21">
        <f>EXP(-LN(2)/2)*BR135+(1-EXP(-LN(2)/2))/(LN(2)/2)*BL136*BO136*VLOOKUP('Données projet'!$B$11,Paramètres!$A$1:$I$89,3,0)*0.475*44/12</f>
        <v>2.2197013376538048E-10</v>
      </c>
      <c r="BS136" s="22">
        <f t="shared" si="117"/>
        <v>43.800905284264793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459.83870442974046</v>
      </c>
      <c r="T137" s="59">
        <f t="shared" si="142"/>
        <v>565.68976940602215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58.762227087665671</v>
      </c>
      <c r="AA137" s="21">
        <f>EXP(-LN(2)/25)*AA136+(1-EXP(-LN(2)/25))/(LN(2)/25)*Calculateur!V137*Calculateur!X137*VLOOKUP('Données projet'!$B$9,Paramètres!$A$1:$I$89,3,0)*0.475*44/12</f>
        <v>7.7924388082123262</v>
      </c>
      <c r="AB137" s="21">
        <f>EXP(-LN(2)/2)*AB136+(1-EXP(-LN(2)/2))/(LN(2)/2)*V137*Y137*VLOOKUP('Données projet'!$B$9,Paramètres!$A$1:$I$89,3,0)*0.475*44/12</f>
        <v>3.1423704188736827E-10</v>
      </c>
      <c r="AC137" s="22">
        <f t="shared" si="111"/>
        <v>66.554665896192233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-1.5429577615577727E-13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376.97234030481559</v>
      </c>
      <c r="AO137" s="59">
        <f t="shared" si="144"/>
        <v>532.90758914457615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12.02055381840368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12.02055381840368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256.72534545771862</v>
      </c>
      <c r="BJ137" s="59">
        <f t="shared" si="146"/>
        <v>362.34519377447361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37.681176333108994</v>
      </c>
      <c r="BQ137" s="21">
        <f>EXP(-LN(2)/25)*BQ136+(1-EXP(-LN(2)/25))/(LN(2)/25)*Calculateur!BL137*Calculateur!BN137*VLOOKUP('Données projet'!$B$11,Paramètres!$A$1:$I$89,3,0)*0.475*44/12</f>
        <v>5.2193100027072612</v>
      </c>
      <c r="BR137" s="21">
        <f>EXP(-LN(2)/2)*BR136+(1-EXP(-LN(2)/2))/(LN(2)/2)*BL137*BO137*VLOOKUP('Données projet'!$B$11,Paramètres!$A$1:$I$89,3,0)*0.475*44/12</f>
        <v>1.5695658680638558E-10</v>
      </c>
      <c r="BS137" s="22">
        <f t="shared" si="117"/>
        <v>42.900486335973213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459.83870442974046</v>
      </c>
      <c r="T138" s="59">
        <f t="shared" si="142"/>
        <v>565.68976940602215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57.609935655896024</v>
      </c>
      <c r="AA138" s="21">
        <f>EXP(-LN(2)/25)*AA137+(1-EXP(-LN(2)/25))/(LN(2)/25)*Calculateur!V138*Calculateur!X138*VLOOKUP('Données projet'!$B$9,Paramètres!$A$1:$I$89,3,0)*0.475*44/12</f>
        <v>7.5793541592152129</v>
      </c>
      <c r="AB138" s="21">
        <f>EXP(-LN(2)/2)*AB137+(1-EXP(-LN(2)/2))/(LN(2)/2)*V138*Y138*VLOOKUP('Données projet'!$B$9,Paramètres!$A$1:$I$89,3,0)*0.475*44/12</f>
        <v>2.2219914321855931E-10</v>
      </c>
      <c r="AC138" s="22">
        <f t="shared" si="111"/>
        <v>65.189289815333439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-1.5429577615577727E-13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376.97234030481559</v>
      </c>
      <c r="AO138" s="59">
        <f t="shared" si="144"/>
        <v>532.90758914457615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11.784838089838656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11.784838089838656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256.72534545771862</v>
      </c>
      <c r="BJ138" s="59">
        <f t="shared" si="146"/>
        <v>362.34519377447361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36.942271448464879</v>
      </c>
      <c r="BQ138" s="21">
        <f>EXP(-LN(2)/25)*BQ137+(1-EXP(-LN(2)/25))/(LN(2)/25)*Calculateur!BL138*Calculateur!BN138*VLOOKUP('Données projet'!$B$11,Paramètres!$A$1:$I$89,3,0)*0.475*44/12</f>
        <v>5.0765876962116474</v>
      </c>
      <c r="BR138" s="21">
        <f>EXP(-LN(2)/2)*BR137+(1-EXP(-LN(2)/2))/(LN(2)/2)*BL138*BO138*VLOOKUP('Données projet'!$B$11,Paramètres!$A$1:$I$89,3,0)*0.475*44/12</f>
        <v>1.1098506688269024E-10</v>
      </c>
      <c r="BS138" s="22">
        <f t="shared" si="117"/>
        <v>42.018859144787513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459.83870442974046</v>
      </c>
      <c r="T139" s="59">
        <f t="shared" si="142"/>
        <v>565.68976940602215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56.480239956275007</v>
      </c>
      <c r="AA139" s="21">
        <f>EXP(-LN(2)/25)*AA138+(1-EXP(-LN(2)/25))/(LN(2)/25)*Calculateur!V139*Calculateur!X139*VLOOKUP('Données projet'!$B$9,Paramètres!$A$1:$I$89,3,0)*0.475*44/12</f>
        <v>7.3720963211505603</v>
      </c>
      <c r="AB139" s="21">
        <f>EXP(-LN(2)/2)*AB138+(1-EXP(-LN(2)/2))/(LN(2)/2)*V139*Y139*VLOOKUP('Données projet'!$B$9,Paramètres!$A$1:$I$89,3,0)*0.475*44/12</f>
        <v>1.5711852094368416E-10</v>
      </c>
      <c r="AC139" s="22">
        <f t="shared" si="111"/>
        <v>63.85233627758268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-1.5429577615577727E-13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376.97234030481559</v>
      </c>
      <c r="AO139" s="59">
        <f t="shared" si="144"/>
        <v>532.90758914457615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11.553744602938394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11.553744602938394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256.72534545771862</v>
      </c>
      <c r="BJ139" s="59">
        <f t="shared" si="146"/>
        <v>362.34519377447361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36.217856037921159</v>
      </c>
      <c r="BQ139" s="21">
        <f>EXP(-LN(2)/25)*BQ138+(1-EXP(-LN(2)/25))/(LN(2)/25)*Calculateur!BL139*Calculateur!BN139*VLOOKUP('Données projet'!$B$11,Paramètres!$A$1:$I$89,3,0)*0.475*44/12</f>
        <v>4.9377681386925953</v>
      </c>
      <c r="BR139" s="21">
        <f>EXP(-LN(2)/2)*BR138+(1-EXP(-LN(2)/2))/(LN(2)/2)*BL139*BO139*VLOOKUP('Données projet'!$B$11,Paramètres!$A$1:$I$89,3,0)*0.475*44/12</f>
        <v>7.8478293403192788E-11</v>
      </c>
      <c r="BS139" s="22">
        <f t="shared" si="117"/>
        <v>41.155624176692235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459.83870442974046</v>
      </c>
      <c r="T140" s="59">
        <f t="shared" si="142"/>
        <v>565.68976940602215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55.372696900277219</v>
      </c>
      <c r="AA140" s="21">
        <f>EXP(-LN(2)/25)*AA139+(1-EXP(-LN(2)/25))/(LN(2)/25)*Calculateur!V140*Calculateur!X140*VLOOKUP('Données projet'!$B$9,Paramètres!$A$1:$I$89,3,0)*0.475*44/12</f>
        <v>7.1705059595670022</v>
      </c>
      <c r="AB140" s="21">
        <f>EXP(-LN(2)/2)*AB139+(1-EXP(-LN(2)/2))/(LN(2)/2)*V140*Y140*VLOOKUP('Données projet'!$B$9,Paramètres!$A$1:$I$89,3,0)*0.475*44/12</f>
        <v>1.1109957160927967E-10</v>
      </c>
      <c r="AC140" s="22">
        <f t="shared" si="111"/>
        <v>62.543202859955322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-1.5429577615577727E-13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376.97234030481559</v>
      </c>
      <c r="AO140" s="59">
        <f t="shared" si="144"/>
        <v>532.90758914457615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11.327182718363138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11.327182718363138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256.72534545771862</v>
      </c>
      <c r="BJ140" s="59">
        <f t="shared" si="146"/>
        <v>362.34519377447361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35.507645971728429</v>
      </c>
      <c r="BQ140" s="21">
        <f>EXP(-LN(2)/25)*BQ139+(1-EXP(-LN(2)/25))/(LN(2)/25)*Calculateur!BL140*Calculateur!BN140*VLOOKUP('Données projet'!$B$11,Paramètres!$A$1:$I$89,3,0)*0.475*44/12</f>
        <v>4.8027446092741055</v>
      </c>
      <c r="BR140" s="21">
        <f>EXP(-LN(2)/2)*BR139+(1-EXP(-LN(2)/2))/(LN(2)/2)*BL140*BO140*VLOOKUP('Données projet'!$B$11,Paramètres!$A$1:$I$89,3,0)*0.475*44/12</f>
        <v>5.549253344134512E-11</v>
      </c>
      <c r="BS140" s="22">
        <f t="shared" si="117"/>
        <v>40.31039058105803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459.83870442974046</v>
      </c>
      <c r="T141" s="59">
        <f t="shared" si="142"/>
        <v>565.68976940602215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54.286872088072982</v>
      </c>
      <c r="AA141" s="21">
        <f>EXP(-LN(2)/25)*AA140+(1-EXP(-LN(2)/25))/(LN(2)/25)*Calculateur!V141*Calculateur!X141*VLOOKUP('Données projet'!$B$9,Paramètres!$A$1:$I$89,3,0)*0.475*44/12</f>
        <v>6.9744280970221224</v>
      </c>
      <c r="AB141" s="21">
        <f>EXP(-LN(2)/2)*AB140+(1-EXP(-LN(2)/2))/(LN(2)/2)*V141*Y141*VLOOKUP('Données projet'!$B$9,Paramètres!$A$1:$I$89,3,0)*0.475*44/12</f>
        <v>7.8559260471842094E-11</v>
      </c>
      <c r="AC141" s="22">
        <f t="shared" si="111"/>
        <v>61.26130018517366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-1.5429577615577727E-13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376.97234030481559</v>
      </c>
      <c r="AO141" s="59">
        <f t="shared" si="144"/>
        <v>532.90758914457615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11.105063574155299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11.105063574155299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256.72534545771862</v>
      </c>
      <c r="BJ141" s="59">
        <f t="shared" si="146"/>
        <v>362.34519377447361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34.811362691748371</v>
      </c>
      <c r="BQ141" s="21">
        <f>EXP(-LN(2)/25)*BQ140+(1-EXP(-LN(2)/25))/(LN(2)/25)*Calculateur!BL141*Calculateur!BN141*VLOOKUP('Données projet'!$B$11,Paramètres!$A$1:$I$89,3,0)*0.475*44/12</f>
        <v>4.6714133053681426</v>
      </c>
      <c r="BR141" s="21">
        <f>EXP(-LN(2)/2)*BR140+(1-EXP(-LN(2)/2))/(LN(2)/2)*BL141*BO141*VLOOKUP('Données projet'!$B$11,Paramètres!$A$1:$I$89,3,0)*0.475*44/12</f>
        <v>3.9239146701596394E-11</v>
      </c>
      <c r="BS141" s="22">
        <f t="shared" si="117"/>
        <v>39.482775997155748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459.83870442974046</v>
      </c>
      <c r="T142" s="59">
        <f t="shared" si="142"/>
        <v>565.68976940602215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53.222339638148334</v>
      </c>
      <c r="AA142" s="21">
        <f>EXP(-LN(2)/25)*AA141+(1-EXP(-LN(2)/25))/(LN(2)/25)*Calculateur!V142*Calculateur!X142*VLOOKUP('Données projet'!$B$9,Paramètres!$A$1:$I$89,3,0)*0.475*44/12</f>
        <v>6.7837119939398187</v>
      </c>
      <c r="AB142" s="21">
        <f>EXP(-LN(2)/2)*AB141+(1-EXP(-LN(2)/2))/(LN(2)/2)*V142*Y142*VLOOKUP('Données projet'!$B$9,Paramètres!$A$1:$I$89,3,0)*0.475*44/12</f>
        <v>5.5549785804639841E-11</v>
      </c>
      <c r="AC142" s="22">
        <f t="shared" si="111"/>
        <v>60.006051632143702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-1.5429577615577727E-13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376.97234030481559</v>
      </c>
      <c r="AO142" s="59">
        <f t="shared" si="144"/>
        <v>532.90758914457615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10.887300050886074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10.887300050886074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256.72534545771862</v>
      </c>
      <c r="BJ142" s="59">
        <f t="shared" si="146"/>
        <v>362.34519377447361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34.128733102197863</v>
      </c>
      <c r="BQ142" s="21">
        <f>EXP(-LN(2)/25)*BQ141+(1-EXP(-LN(2)/25))/(LN(2)/25)*Calculateur!BL142*Calculateur!BN142*VLOOKUP('Données projet'!$B$11,Paramètres!$A$1:$I$89,3,0)*0.475*44/12</f>
        <v>4.5436732628739014</v>
      </c>
      <c r="BR142" s="21">
        <f>EXP(-LN(2)/2)*BR141+(1-EXP(-LN(2)/2))/(LN(2)/2)*BL142*BO142*VLOOKUP('Données projet'!$B$11,Paramètres!$A$1:$I$89,3,0)*0.475*44/12</f>
        <v>2.774626672067256E-11</v>
      </c>
      <c r="BS142" s="22">
        <f t="shared" si="117"/>
        <v>38.672406365099512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459.83870442974046</v>
      </c>
      <c r="T143" s="59">
        <f t="shared" si="142"/>
        <v>565.68976940602215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52.178682020266024</v>
      </c>
      <c r="AA143" s="21">
        <f>EXP(-LN(2)/25)*AA142+(1-EXP(-LN(2)/25))/(LN(2)/25)*Calculateur!V143*Calculateur!X143*VLOOKUP('Données projet'!$B$9,Paramètres!$A$1:$I$89,3,0)*0.475*44/12</f>
        <v>6.5982110327256249</v>
      </c>
      <c r="AB143" s="21">
        <f>EXP(-LN(2)/2)*AB142+(1-EXP(-LN(2)/2))/(LN(2)/2)*V143*Y143*VLOOKUP('Données projet'!$B$9,Paramètres!$A$1:$I$89,3,0)*0.475*44/12</f>
        <v>3.9279630235921047E-11</v>
      </c>
      <c r="AC143" s="22">
        <f t="shared" si="111"/>
        <v>58.776893053030925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-1.5429577615577727E-13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376.97234030481559</v>
      </c>
      <c r="AO143" s="59">
        <f t="shared" si="144"/>
        <v>532.90758914457615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10.673806737485524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10.673806737485524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256.72534545771862</v>
      </c>
      <c r="BJ143" s="59">
        <f t="shared" si="146"/>
        <v>362.34519377447361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33.459489462535501</v>
      </c>
      <c r="BQ143" s="21">
        <f>EXP(-LN(2)/25)*BQ142+(1-EXP(-LN(2)/25))/(LN(2)/25)*Calculateur!BL143*Calculateur!BN143*VLOOKUP('Données projet'!$B$11,Paramètres!$A$1:$I$89,3,0)*0.475*44/12</f>
        <v>4.4194262785592224</v>
      </c>
      <c r="BR143" s="21">
        <f>EXP(-LN(2)/2)*BR142+(1-EXP(-LN(2)/2))/(LN(2)/2)*BL143*BO143*VLOOKUP('Données projet'!$B$11,Paramètres!$A$1:$I$89,3,0)*0.475*44/12</f>
        <v>1.9619573350798197E-11</v>
      </c>
      <c r="BS143" s="22">
        <f t="shared" si="117"/>
        <v>37.878915741114341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459.83870442974046</v>
      </c>
      <c r="T144" s="59">
        <f t="shared" si="142"/>
        <v>565.68976940602215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51.155489891702096</v>
      </c>
      <c r="AA144" s="21">
        <f>EXP(-LN(2)/25)*AA143+(1-EXP(-LN(2)/25))/(LN(2)/25)*Calculateur!V144*Calculateur!X144*VLOOKUP('Données projet'!$B$9,Paramètres!$A$1:$I$89,3,0)*0.475*44/12</f>
        <v>6.4177826050509053</v>
      </c>
      <c r="AB144" s="21">
        <f>EXP(-LN(2)/2)*AB143+(1-EXP(-LN(2)/2))/(LN(2)/2)*V144*Y144*VLOOKUP('Données projet'!$B$9,Paramètres!$A$1:$I$89,3,0)*0.475*44/12</f>
        <v>2.777489290231992E-11</v>
      </c>
      <c r="AC144" s="22">
        <f t="shared" si="111"/>
        <v>57.573272496780774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-1.5429577615577727E-13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376.97234030481559</v>
      </c>
      <c r="AO144" s="59">
        <f t="shared" si="144"/>
        <v>532.90758914457615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10.464499897742696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10.464499897742696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256.72534545771862</v>
      </c>
      <c r="BJ144" s="59">
        <f t="shared" si="146"/>
        <v>362.34519377447361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32.8033692824486</v>
      </c>
      <c r="BQ144" s="21">
        <f>EXP(-LN(2)/25)*BQ143+(1-EXP(-LN(2)/25))/(LN(2)/25)*Calculateur!BL144*Calculateur!BN144*VLOOKUP('Données projet'!$B$11,Paramètres!$A$1:$I$89,3,0)*0.475*44/12</f>
        <v>4.2985768345644928</v>
      </c>
      <c r="BR144" s="21">
        <f>EXP(-LN(2)/2)*BR143+(1-EXP(-LN(2)/2))/(LN(2)/2)*BL144*BO144*VLOOKUP('Données projet'!$B$11,Paramètres!$A$1:$I$89,3,0)*0.475*44/12</f>
        <v>1.387313336033628E-11</v>
      </c>
      <c r="BS144" s="22">
        <f t="shared" si="117"/>
        <v>37.101946117026962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459.83870442974046</v>
      </c>
      <c r="T145" s="59">
        <f t="shared" si="142"/>
        <v>565.68976940602215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50.152361936693737</v>
      </c>
      <c r="AA145" s="21">
        <f>EXP(-LN(2)/25)*AA144+(1-EXP(-LN(2)/25))/(LN(2)/25)*Calculateur!V145*Calculateur!X145*VLOOKUP('Données projet'!$B$9,Paramètres!$A$1:$I$89,3,0)*0.475*44/12</f>
        <v>6.2422880022192695</v>
      </c>
      <c r="AB145" s="21">
        <f>EXP(-LN(2)/2)*AB144+(1-EXP(-LN(2)/2))/(LN(2)/2)*V145*Y145*VLOOKUP('Données projet'!$B$9,Paramètres!$A$1:$I$89,3,0)*0.475*44/12</f>
        <v>1.9639815117960524E-11</v>
      </c>
      <c r="AC145" s="22">
        <f t="shared" si="111"/>
        <v>56.394649938932645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-1.5429577615577727E-13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376.97234030481559</v>
      </c>
      <c r="AO145" s="59">
        <f t="shared" si="144"/>
        <v>532.90758914457615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10.259297437462658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10.259297437462658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256.72534545771862</v>
      </c>
      <c r="BJ145" s="59">
        <f t="shared" si="146"/>
        <v>362.34519377447361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32.160115218899413</v>
      </c>
      <c r="BQ145" s="21">
        <f>EXP(-LN(2)/25)*BQ144+(1-EXP(-LN(2)/25))/(LN(2)/25)*Calculateur!BL145*Calculateur!BN145*VLOOKUP('Données projet'!$B$11,Paramètres!$A$1:$I$89,3,0)*0.475*44/12</f>
        <v>4.1810320249709951</v>
      </c>
      <c r="BR145" s="21">
        <f>EXP(-LN(2)/2)*BR144+(1-EXP(-LN(2)/2))/(LN(2)/2)*BL145*BO145*VLOOKUP('Données projet'!$B$11,Paramètres!$A$1:$I$89,3,0)*0.475*44/12</f>
        <v>9.8097866753990985E-12</v>
      </c>
      <c r="BS145" s="22">
        <f t="shared" si="117"/>
        <v>36.341147243880222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459.83870442974046</v>
      </c>
      <c r="T146" s="59">
        <f t="shared" si="142"/>
        <v>565.68976940602215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49.168904709035452</v>
      </c>
      <c r="AA146" s="21">
        <f>EXP(-LN(2)/25)*AA145+(1-EXP(-LN(2)/25))/(LN(2)/25)*Calculateur!V146*Calculateur!X146*VLOOKUP('Données projet'!$B$9,Paramètres!$A$1:$I$89,3,0)*0.475*44/12</f>
        <v>6.0715923085309242</v>
      </c>
      <c r="AB146" s="21">
        <f>EXP(-LN(2)/2)*AB145+(1-EXP(-LN(2)/2))/(LN(2)/2)*V146*Y146*VLOOKUP('Données projet'!$B$9,Paramètres!$A$1:$I$89,3,0)*0.475*44/12</f>
        <v>1.388744645115996E-11</v>
      </c>
      <c r="AC146" s="22">
        <f t="shared" si="111"/>
        <v>55.24049701758026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-1.5429577615577727E-13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376.97234030481559</v>
      </c>
      <c r="AO146" s="59">
        <f t="shared" si="144"/>
        <v>532.90758914457615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10.058118872267571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10.058118872267571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256.72534545771862</v>
      </c>
      <c r="BJ146" s="59">
        <f t="shared" si="146"/>
        <v>362.34519377447361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31.529474975190187</v>
      </c>
      <c r="BQ146" s="21">
        <f>EXP(-LN(2)/25)*BQ145+(1-EXP(-LN(2)/25))/(LN(2)/25)*Calculateur!BL146*Calculateur!BN146*VLOOKUP('Données projet'!$B$11,Paramètres!$A$1:$I$89,3,0)*0.475*44/12</f>
        <v>4.0667014843772451</v>
      </c>
      <c r="BR146" s="21">
        <f>EXP(-LN(2)/2)*BR145+(1-EXP(-LN(2)/2))/(LN(2)/2)*BL146*BO146*VLOOKUP('Données projet'!$B$11,Paramètres!$A$1:$I$89,3,0)*0.475*44/12</f>
        <v>6.9365666801681399E-12</v>
      </c>
      <c r="BS146" s="22">
        <f t="shared" si="117"/>
        <v>35.596176459574366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459.83870442974046</v>
      </c>
      <c r="T147" s="59">
        <f t="shared" si="142"/>
        <v>565.68976940602215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48.204732477761866</v>
      </c>
      <c r="AA147" s="21">
        <f>EXP(-LN(2)/25)*AA146+(1-EXP(-LN(2)/25))/(LN(2)/25)*Calculateur!V147*Calculateur!X147*VLOOKUP('Données projet'!$B$9,Paramètres!$A$1:$I$89,3,0)*0.475*44/12</f>
        <v>5.9055642975629832</v>
      </c>
      <c r="AB147" s="21">
        <f>EXP(-LN(2)/2)*AB146+(1-EXP(-LN(2)/2))/(LN(2)/2)*V147*Y147*VLOOKUP('Données projet'!$B$9,Paramètres!$A$1:$I$89,3,0)*0.475*44/12</f>
        <v>9.8199075589802618E-12</v>
      </c>
      <c r="AC147" s="22">
        <f t="shared" si="111"/>
        <v>54.110296775334668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-1.5429577615577727E-13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376.97234030481559</v>
      </c>
      <c r="AO147" s="59">
        <f t="shared" si="144"/>
        <v>532.90758914457615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9.8608852960291493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9.8608852960291493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256.72534545771862</v>
      </c>
      <c r="BJ147" s="59">
        <f t="shared" si="146"/>
        <v>362.34519377447361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30.911201202007529</v>
      </c>
      <c r="BQ147" s="21">
        <f>EXP(-LN(2)/25)*BQ146+(1-EXP(-LN(2)/25))/(LN(2)/25)*Calculateur!BL147*Calculateur!BN147*VLOOKUP('Données projet'!$B$11,Paramètres!$A$1:$I$89,3,0)*0.475*44/12</f>
        <v>3.9554973184284128</v>
      </c>
      <c r="BR147" s="21">
        <f>EXP(-LN(2)/2)*BR146+(1-EXP(-LN(2)/2))/(LN(2)/2)*BL147*BO147*VLOOKUP('Données projet'!$B$11,Paramètres!$A$1:$I$89,3,0)*0.475*44/12</f>
        <v>4.9048933376995493E-12</v>
      </c>
      <c r="BS147" s="22">
        <f t="shared" si="117"/>
        <v>34.866698520440842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459.83870442974046</v>
      </c>
      <c r="T148" s="59">
        <f t="shared" si="142"/>
        <v>565.68976940602215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47.259467075856563</v>
      </c>
      <c r="AA148" s="21">
        <f>EXP(-LN(2)/25)*AA147+(1-EXP(-LN(2)/25))/(LN(2)/25)*Calculateur!V148*Calculateur!X148*VLOOKUP('Données projet'!$B$9,Paramètres!$A$1:$I$89,3,0)*0.475*44/12</f>
        <v>5.7440763312859939</v>
      </c>
      <c r="AB148" s="21">
        <f>EXP(-LN(2)/2)*AB147+(1-EXP(-LN(2)/2))/(LN(2)/2)*V148*Y148*VLOOKUP('Données projet'!$B$9,Paramètres!$A$1:$I$89,3,0)*0.475*44/12</f>
        <v>6.9437232255799801E-12</v>
      </c>
      <c r="AC148" s="22">
        <f t="shared" si="111"/>
        <v>53.0035434071495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-1.5429577615577727E-13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376.97234030481559</v>
      </c>
      <c r="AO148" s="59">
        <f t="shared" si="144"/>
        <v>532.90758914457615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9.6675193499201608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9.6675193499201608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256.72534545771862</v>
      </c>
      <c r="BJ148" s="59">
        <f t="shared" si="146"/>
        <v>362.34519377447361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30.305051400407219</v>
      </c>
      <c r="BQ148" s="21">
        <f>EXP(-LN(2)/25)*BQ147+(1-EXP(-LN(2)/25))/(LN(2)/25)*Calculateur!BL148*Calculateur!BN148*VLOOKUP('Données projet'!$B$11,Paramètres!$A$1:$I$89,3,0)*0.475*44/12</f>
        <v>3.8473340362454245</v>
      </c>
      <c r="BR148" s="21">
        <f>EXP(-LN(2)/2)*BR147+(1-EXP(-LN(2)/2))/(LN(2)/2)*BL148*BO148*VLOOKUP('Données projet'!$B$11,Paramètres!$A$1:$I$89,3,0)*0.475*44/12</f>
        <v>3.46828334008407E-12</v>
      </c>
      <c r="BS148" s="22">
        <f t="shared" si="117"/>
        <v>34.152385436656111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459.83870442974046</v>
      </c>
      <c r="T149" s="59">
        <f t="shared" si="142"/>
        <v>565.68976940602215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46.33273775192766</v>
      </c>
      <c r="AA149" s="21">
        <f>EXP(-LN(2)/25)*AA148+(1-EXP(-LN(2)/25))/(LN(2)/25)*Calculateur!V149*Calculateur!X149*VLOOKUP('Données projet'!$B$9,Paramètres!$A$1:$I$89,3,0)*0.475*44/12</f>
        <v>5.587004261939132</v>
      </c>
      <c r="AB149" s="21">
        <f>EXP(-LN(2)/2)*AB148+(1-EXP(-LN(2)/2))/(LN(2)/2)*V149*Y149*VLOOKUP('Données projet'!$B$9,Paramètres!$A$1:$I$89,3,0)*0.475*44/12</f>
        <v>4.9099537794901309E-12</v>
      </c>
      <c r="AC149" s="22">
        <f t="shared" si="111"/>
        <v>51.919742013871705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-1.5429577615577727E-13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376.97234030481559</v>
      </c>
      <c r="AO149" s="59">
        <f t="shared" si="144"/>
        <v>532.90758914457615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9.477945192072788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9.477945192072788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256.72534545771862</v>
      </c>
      <c r="BJ149" s="59">
        <f t="shared" si="146"/>
        <v>362.34519377447361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29.71078782670142</v>
      </c>
      <c r="BQ149" s="21">
        <f>EXP(-LN(2)/25)*BQ148+(1-EXP(-LN(2)/25))/(LN(2)/25)*Calculateur!BL149*Calculateur!BN149*VLOOKUP('Données projet'!$B$11,Paramètres!$A$1:$I$89,3,0)*0.475*44/12</f>
        <v>3.7421284847017895</v>
      </c>
      <c r="BR149" s="21">
        <f>EXP(-LN(2)/2)*BR148+(1-EXP(-LN(2)/2))/(LN(2)/2)*BL149*BO149*VLOOKUP('Données projet'!$B$11,Paramètres!$A$1:$I$89,3,0)*0.475*44/12</f>
        <v>2.4524466688497746E-12</v>
      </c>
      <c r="BS149" s="22">
        <f t="shared" si="117"/>
        <v>33.452916311405659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459.83870442974046</v>
      </c>
      <c r="T150" s="59">
        <f t="shared" si="142"/>
        <v>565.68976940602215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45.424181024791928</v>
      </c>
      <c r="AA150" s="21">
        <f>EXP(-LN(2)/25)*AA149+(1-EXP(-LN(2)/25))/(LN(2)/25)*Calculateur!V150*Calculateur!X150*VLOOKUP('Données projet'!$B$9,Paramètres!$A$1:$I$89,3,0)*0.475*44/12</f>
        <v>5.4342273365886218</v>
      </c>
      <c r="AB150" s="21">
        <f>EXP(-LN(2)/2)*AB149+(1-EXP(-LN(2)/2))/(LN(2)/2)*V150*Y150*VLOOKUP('Données projet'!$B$9,Paramètres!$A$1:$I$89,3,0)*0.475*44/12</f>
        <v>3.47186161278999E-12</v>
      </c>
      <c r="AC150" s="22">
        <f t="shared" si="111"/>
        <v>50.858408361384022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-1.5429577615577727E-13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376.97234030481559</v>
      </c>
      <c r="AO150" s="59">
        <f t="shared" si="144"/>
        <v>532.90758914457615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9.2920884678319844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9.2920884678319844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256.72534545771862</v>
      </c>
      <c r="BJ150" s="59">
        <f t="shared" si="146"/>
        <v>362.34519377447361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29.128177399211001</v>
      </c>
      <c r="BQ150" s="21">
        <f>EXP(-LN(2)/25)*BQ149+(1-EXP(-LN(2)/25))/(LN(2)/25)*Calculateur!BL150*Calculateur!BN150*VLOOKUP('Données projet'!$B$11,Paramètres!$A$1:$I$89,3,0)*0.475*44/12</f>
        <v>3.6397997844976349</v>
      </c>
      <c r="BR150" s="21">
        <f>EXP(-LN(2)/2)*BR149+(1-EXP(-LN(2)/2))/(LN(2)/2)*BL150*BO150*VLOOKUP('Données projet'!$B$11,Paramètres!$A$1:$I$89,3,0)*0.475*44/12</f>
        <v>1.734141670042035E-12</v>
      </c>
      <c r="BS150" s="22">
        <f t="shared" si="117"/>
        <v>32.767977183710371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459.83870442974046</v>
      </c>
      <c r="T151" s="59">
        <f t="shared" si="142"/>
        <v>565.68976940602215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44.533440540910441</v>
      </c>
      <c r="AA151" s="21">
        <f>EXP(-LN(2)/25)*AA150+(1-EXP(-LN(2)/25))/(LN(2)/25)*Calculateur!V151*Calculateur!X151*VLOOKUP('Données projet'!$B$9,Paramètres!$A$1:$I$89,3,0)*0.475*44/12</f>
        <v>5.28562810429601</v>
      </c>
      <c r="AB151" s="21">
        <f>EXP(-LN(2)/2)*AB150+(1-EXP(-LN(2)/2))/(LN(2)/2)*V151*Y151*VLOOKUP('Données projet'!$B$9,Paramètres!$A$1:$I$89,3,0)*0.475*44/12</f>
        <v>2.4549768897450654E-12</v>
      </c>
      <c r="AC151" s="22">
        <f t="shared" si="111"/>
        <v>49.819068645208908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-1.5429577615577727E-13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376.97234030481559</v>
      </c>
      <c r="AO151" s="59">
        <f t="shared" si="144"/>
        <v>532.90758914457615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9.1098762805921343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9.1098762805921343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256.72534545771862</v>
      </c>
      <c r="BJ151" s="59">
        <f t="shared" si="146"/>
        <v>362.34519377447361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28.556991606846399</v>
      </c>
      <c r="BQ151" s="21">
        <f>EXP(-LN(2)/25)*BQ150+(1-EXP(-LN(2)/25))/(LN(2)/25)*Calculateur!BL151*Calculateur!BN151*VLOOKUP('Données projet'!$B$11,Paramètres!$A$1:$I$89,3,0)*0.475*44/12</f>
        <v>3.5402692679817953</v>
      </c>
      <c r="BR151" s="21">
        <f>EXP(-LN(2)/2)*BR150+(1-EXP(-LN(2)/2))/(LN(2)/2)*BL151*BO151*VLOOKUP('Données projet'!$B$11,Paramètres!$A$1:$I$89,3,0)*0.475*44/12</f>
        <v>1.2262233344248873E-12</v>
      </c>
      <c r="BS151" s="22">
        <f t="shared" si="117"/>
        <v>32.097260874829423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459.83870442974046</v>
      </c>
      <c r="T152" s="59">
        <f t="shared" si="142"/>
        <v>565.68976940602215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43.660166934619824</v>
      </c>
      <c r="AA152" s="21">
        <f>EXP(-LN(2)/25)*AA151+(1-EXP(-LN(2)/25))/(LN(2)/25)*Calculateur!V152*Calculateur!X152*VLOOKUP('Données projet'!$B$9,Paramètres!$A$1:$I$89,3,0)*0.475*44/12</f>
        <v>5.1410923258249337</v>
      </c>
      <c r="AB152" s="21">
        <f>EXP(-LN(2)/2)*AB151+(1-EXP(-LN(2)/2))/(LN(2)/2)*V152*Y152*VLOOKUP('Données projet'!$B$9,Paramètres!$A$1:$I$89,3,0)*0.475*44/12</f>
        <v>1.735930806394995E-12</v>
      </c>
      <c r="AC152" s="22">
        <f t="shared" si="111"/>
        <v>48.801259260446493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-1.5429577615577727E-13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376.97234030481559</v>
      </c>
      <c r="AO152" s="59">
        <f t="shared" si="144"/>
        <v>532.90758914457615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8.9312371632055978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8.9312371632055978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256.72534545771862</v>
      </c>
      <c r="BJ152" s="59">
        <f t="shared" si="146"/>
        <v>362.34519377447361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27.997006419481131</v>
      </c>
      <c r="BQ152" s="21">
        <f>EXP(-LN(2)/25)*BQ151+(1-EXP(-LN(2)/25))/(LN(2)/25)*Calculateur!BL152*Calculateur!BN152*VLOOKUP('Données projet'!$B$11,Paramètres!$A$1:$I$89,3,0)*0.475*44/12</f>
        <v>3.4434604186741637</v>
      </c>
      <c r="BR152" s="21">
        <f>EXP(-LN(2)/2)*BR151+(1-EXP(-LN(2)/2))/(LN(2)/2)*BL152*BO152*VLOOKUP('Données projet'!$B$11,Paramètres!$A$1:$I$89,3,0)*0.475*44/12</f>
        <v>8.6707083502101749E-13</v>
      </c>
      <c r="BS152" s="22">
        <f t="shared" si="117"/>
        <v>31.440466838156162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459.83870442974046</v>
      </c>
      <c r="T153" s="59">
        <f t="shared" si="142"/>
        <v>565.68976940602215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42.804017691104256</v>
      </c>
      <c r="AA153" s="21">
        <f>EXP(-LN(2)/25)*AA152+(1-EXP(-LN(2)/25))/(LN(2)/25)*Calculateur!V153*Calculateur!X153*VLOOKUP('Données projet'!$B$9,Paramètres!$A$1:$I$89,3,0)*0.475*44/12</f>
        <v>5.0005088858169557</v>
      </c>
      <c r="AB153" s="21">
        <f>EXP(-LN(2)/2)*AB152+(1-EXP(-LN(2)/2))/(LN(2)/2)*V153*Y153*VLOOKUP('Données projet'!$B$9,Paramètres!$A$1:$I$89,3,0)*0.475*44/12</f>
        <v>1.2274884448725327E-12</v>
      </c>
      <c r="AC153" s="22">
        <f t="shared" si="111"/>
        <v>47.804526576922441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-1.5429577615577727E-13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376.97234030481559</v>
      </c>
      <c r="AO153" s="59">
        <f t="shared" si="144"/>
        <v>532.90758914457615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8.7561010499519085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8.7561010499519085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256.72534545771862</v>
      </c>
      <c r="BJ153" s="59">
        <f t="shared" si="146"/>
        <v>362.34519377447361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27.448002200082858</v>
      </c>
      <c r="BQ153" s="21">
        <f>EXP(-LN(2)/25)*BQ152+(1-EXP(-LN(2)/25))/(LN(2)/25)*Calculateur!BL153*Calculateur!BN153*VLOOKUP('Données projet'!$B$11,Paramètres!$A$1:$I$89,3,0)*0.475*44/12</f>
        <v>3.3492988124418055</v>
      </c>
      <c r="BR153" s="21">
        <f>EXP(-LN(2)/2)*BR152+(1-EXP(-LN(2)/2))/(LN(2)/2)*BL153*BO153*VLOOKUP('Données projet'!$B$11,Paramètres!$A$1:$I$89,3,0)*0.475*44/12</f>
        <v>6.1311166721244366E-13</v>
      </c>
      <c r="BS153" s="22">
        <f t="shared" si="117"/>
        <v>30.797301012525278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459.83870442974046</v>
      </c>
      <c r="T154" s="59">
        <f t="shared" si="142"/>
        <v>565.68976940602215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41.964657012054552</v>
      </c>
      <c r="AA154" s="21">
        <f>EXP(-LN(2)/25)*AA153+(1-EXP(-LN(2)/25))/(LN(2)/25)*Calculateur!V154*Calculateur!X154*VLOOKUP('Données projet'!$B$9,Paramètres!$A$1:$I$89,3,0)*0.475*44/12</f>
        <v>4.8637697073689576</v>
      </c>
      <c r="AB154" s="21">
        <f>EXP(-LN(2)/2)*AB153+(1-EXP(-LN(2)/2))/(LN(2)/2)*V154*Y154*VLOOKUP('Données projet'!$B$9,Paramètres!$A$1:$I$89,3,0)*0.475*44/12</f>
        <v>8.6796540319749751E-13</v>
      </c>
      <c r="AC154" s="22">
        <f t="shared" ref="AC154:AC203" si="163">SUM(Z154:AB154)</f>
        <v>46.828426719424378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-1.5429577615577727E-13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376.97234030481559</v>
      </c>
      <c r="AO154" s="59">
        <f t="shared" si="144"/>
        <v>532.90758914457615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8.5843992490566414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8.5843992490566414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256.72534545771862</v>
      </c>
      <c r="BJ154" s="59">
        <f t="shared" si="146"/>
        <v>362.34519377447361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26.909763618567478</v>
      </c>
      <c r="BQ154" s="21">
        <f>EXP(-LN(2)/25)*BQ153+(1-EXP(-LN(2)/25))/(LN(2)/25)*Calculateur!BL154*Calculateur!BN154*VLOOKUP('Données projet'!$B$11,Paramètres!$A$1:$I$89,3,0)*0.475*44/12</f>
        <v>3.2577120602836147</v>
      </c>
      <c r="BR154" s="21">
        <f>EXP(-LN(2)/2)*BR153+(1-EXP(-LN(2)/2))/(LN(2)/2)*BL154*BO154*VLOOKUP('Données projet'!$B$11,Paramètres!$A$1:$I$89,3,0)*0.475*44/12</f>
        <v>4.3353541751050875E-13</v>
      </c>
      <c r="BS154" s="22">
        <f t="shared" ref="BS154:BS203" si="169">SUM(BP154:BR154)</f>
        <v>30.167475678851527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459.83870442974046</v>
      </c>
      <c r="T155" s="59">
        <f t="shared" si="142"/>
        <v>565.68976940602215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41.141755683961556</v>
      </c>
      <c r="AA155" s="21">
        <f>EXP(-LN(2)/25)*AA154+(1-EXP(-LN(2)/25))/(LN(2)/25)*Calculateur!V155*Calculateur!X155*VLOOKUP('Données projet'!$B$9,Paramètres!$A$1:$I$89,3,0)*0.475*44/12</f>
        <v>4.7307696689464205</v>
      </c>
      <c r="AB155" s="21">
        <f>EXP(-LN(2)/2)*AB154+(1-EXP(-LN(2)/2))/(LN(2)/2)*V155*Y155*VLOOKUP('Données projet'!$B$9,Paramètres!$A$1:$I$89,3,0)*0.475*44/12</f>
        <v>6.1374422243626636E-13</v>
      </c>
      <c r="AC155" s="22">
        <f t="shared" si="163"/>
        <v>45.872525352908589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-1.5429577615577727E-13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376.97234030481559</v>
      </c>
      <c r="AO155" s="59">
        <f t="shared" si="144"/>
        <v>532.90758914457615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8.4160644157491742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8.4160644157491742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256.72534545771862</v>
      </c>
      <c r="BJ155" s="59">
        <f t="shared" si="146"/>
        <v>362.34519377447361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26.382079567342494</v>
      </c>
      <c r="BQ155" s="21">
        <f>EXP(-LN(2)/25)*BQ154+(1-EXP(-LN(2)/25))/(LN(2)/25)*Calculateur!BL155*Calculateur!BN155*VLOOKUP('Données projet'!$B$11,Paramètres!$A$1:$I$89,3,0)*0.475*44/12</f>
        <v>3.1686297526795277</v>
      </c>
      <c r="BR155" s="21">
        <f>EXP(-LN(2)/2)*BR154+(1-EXP(-LN(2)/2))/(LN(2)/2)*BL155*BO155*VLOOKUP('Données projet'!$B$11,Paramètres!$A$1:$I$89,3,0)*0.475*44/12</f>
        <v>3.0655583360622183E-13</v>
      </c>
      <c r="BS155" s="22">
        <f t="shared" si="169"/>
        <v>29.550709320022328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459.83870442974046</v>
      </c>
      <c r="T156" s="59">
        <f t="shared" si="142"/>
        <v>565.68976940602215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40.334990948992214</v>
      </c>
      <c r="AA156" s="21">
        <f>EXP(-LN(2)/25)*AA155+(1-EXP(-LN(2)/25))/(LN(2)/25)*Calculateur!V156*Calculateur!X156*VLOOKUP('Données projet'!$B$9,Paramètres!$A$1:$I$89,3,0)*0.475*44/12</f>
        <v>4.6014065235687163</v>
      </c>
      <c r="AB156" s="21">
        <f>EXP(-LN(2)/2)*AB155+(1-EXP(-LN(2)/2))/(LN(2)/2)*V156*Y156*VLOOKUP('Données projet'!$B$9,Paramètres!$A$1:$I$89,3,0)*0.475*44/12</f>
        <v>4.3398270159874876E-13</v>
      </c>
      <c r="AC156" s="22">
        <f t="shared" si="163"/>
        <v>44.93639747256136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-1.5429577615577727E-13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376.97234030481559</v>
      </c>
      <c r="AO156" s="59">
        <f t="shared" si="144"/>
        <v>532.90758914457615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8.2510305258487566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8.2510305258487566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256.72534545771862</v>
      </c>
      <c r="BJ156" s="59">
        <f t="shared" si="146"/>
        <v>362.34519377447361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25.864743078506542</v>
      </c>
      <c r="BQ156" s="21">
        <f>EXP(-LN(2)/25)*BQ155+(1-EXP(-LN(2)/25))/(LN(2)/25)*Calculateur!BL156*Calculateur!BN156*VLOOKUP('Données projet'!$B$11,Paramètres!$A$1:$I$89,3,0)*0.475*44/12</f>
        <v>3.0819834054615094</v>
      </c>
      <c r="BR156" s="21">
        <f>EXP(-LN(2)/2)*BR155+(1-EXP(-LN(2)/2))/(LN(2)/2)*BL156*BO156*VLOOKUP('Données projet'!$B$11,Paramètres!$A$1:$I$89,3,0)*0.475*44/12</f>
        <v>2.1676770875525437E-13</v>
      </c>
      <c r="BS156" s="22">
        <f t="shared" si="169"/>
        <v>28.94672648396827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459.83870442974046</v>
      </c>
      <c r="T157" s="59">
        <f t="shared" si="142"/>
        <v>565.68976940602215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39.544046378397717</v>
      </c>
      <c r="AA157" s="21">
        <f>EXP(-LN(2)/25)*AA156+(1-EXP(-LN(2)/25))/(LN(2)/25)*Calculateur!V157*Calculateur!X157*VLOOKUP('Données projet'!$B$9,Paramètres!$A$1:$I$89,3,0)*0.475*44/12</f>
        <v>4.4755808202042777</v>
      </c>
      <c r="AB157" s="21">
        <f>EXP(-LN(2)/2)*AB156+(1-EXP(-LN(2)/2))/(LN(2)/2)*V157*Y157*VLOOKUP('Données projet'!$B$9,Paramètres!$A$1:$I$89,3,0)*0.475*44/12</f>
        <v>3.0687211121813318E-13</v>
      </c>
      <c r="AC157" s="22">
        <f t="shared" si="163"/>
        <v>44.019627198602301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-1.5429577615577727E-13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376.97234030481559</v>
      </c>
      <c r="AO157" s="59">
        <f t="shared" si="144"/>
        <v>532.90758914457615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8.0892328498685515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8.0892328498685515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256.72534545771862</v>
      </c>
      <c r="BJ157" s="59">
        <f t="shared" si="146"/>
        <v>362.34519377447361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25.357551242672564</v>
      </c>
      <c r="BQ157" s="21">
        <f>EXP(-LN(2)/25)*BQ156+(1-EXP(-LN(2)/25))/(LN(2)/25)*Calculateur!BL157*Calculateur!BN157*VLOOKUP('Données projet'!$B$11,Paramètres!$A$1:$I$89,3,0)*0.475*44/12</f>
        <v>2.997706407164701</v>
      </c>
      <c r="BR157" s="21">
        <f>EXP(-LN(2)/2)*BR156+(1-EXP(-LN(2)/2))/(LN(2)/2)*BL157*BO157*VLOOKUP('Données projet'!$B$11,Paramètres!$A$1:$I$89,3,0)*0.475*44/12</f>
        <v>1.5327791680311091E-13</v>
      </c>
      <c r="BS157" s="22">
        <f t="shared" si="169"/>
        <v>28.355257649837416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459.83870442974046</v>
      </c>
      <c r="T158" s="59">
        <f t="shared" si="142"/>
        <v>565.68976940602215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38.768611748404027</v>
      </c>
      <c r="AA158" s="21">
        <f>EXP(-LN(2)/25)*AA157+(1-EXP(-LN(2)/25))/(LN(2)/25)*Calculateur!V158*Calculateur!X158*VLOOKUP('Données projet'!$B$9,Paramètres!$A$1:$I$89,3,0)*0.475*44/12</f>
        <v>4.3531958273152256</v>
      </c>
      <c r="AB158" s="21">
        <f>EXP(-LN(2)/2)*AB157+(1-EXP(-LN(2)/2))/(LN(2)/2)*V158*Y158*VLOOKUP('Données projet'!$B$9,Paramètres!$A$1:$I$89,3,0)*0.475*44/12</f>
        <v>2.1699135079937438E-13</v>
      </c>
      <c r="AC158" s="22">
        <f t="shared" si="163"/>
        <v>43.121807575719473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-1.5429577615577727E-13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376.97234030481559</v>
      </c>
      <c r="AO158" s="59">
        <f t="shared" si="144"/>
        <v>532.90758914457615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7.9306079276274808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7.9306079276274808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256.72534545771862</v>
      </c>
      <c r="BJ158" s="59">
        <f t="shared" si="146"/>
        <v>362.34519377447361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24.860305129382816</v>
      </c>
      <c r="BQ158" s="21">
        <f>EXP(-LN(2)/25)*BQ157+(1-EXP(-LN(2)/25))/(LN(2)/25)*Calculateur!BL158*Calculateur!BN158*VLOOKUP('Données projet'!$B$11,Paramètres!$A$1:$I$89,3,0)*0.475*44/12</f>
        <v>2.9157339678182539</v>
      </c>
      <c r="BR158" s="21">
        <f>EXP(-LN(2)/2)*BR157+(1-EXP(-LN(2)/2))/(LN(2)/2)*BL158*BO158*VLOOKUP('Données projet'!$B$11,Paramètres!$A$1:$I$89,3,0)*0.475*44/12</f>
        <v>1.0838385437762719E-13</v>
      </c>
      <c r="BS158" s="22">
        <f t="shared" si="169"/>
        <v>27.776039097201181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459.83870442974046</v>
      </c>
      <c r="T159" s="59">
        <f t="shared" si="142"/>
        <v>565.68976940602215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38.008382918536093</v>
      </c>
      <c r="AA159" s="21">
        <f>EXP(-LN(2)/25)*AA158+(1-EXP(-LN(2)/25))/(LN(2)/25)*Calculateur!V159*Calculateur!X159*VLOOKUP('Données projet'!$B$9,Paramètres!$A$1:$I$89,3,0)*0.475*44/12</f>
        <v>4.2341574584926711</v>
      </c>
      <c r="AB159" s="21">
        <f>EXP(-LN(2)/2)*AB158+(1-EXP(-LN(2)/2))/(LN(2)/2)*V159*Y159*VLOOKUP('Données projet'!$B$9,Paramètres!$A$1:$I$89,3,0)*0.475*44/12</f>
        <v>1.5343605560906659E-13</v>
      </c>
      <c r="AC159" s="22">
        <f t="shared" si="163"/>
        <v>42.242540377028917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-1.5429577615577727E-13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376.97234030481559</v>
      </c>
      <c r="AO159" s="59">
        <f t="shared" si="144"/>
        <v>532.90758914457615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7.7750935433599082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7.7750935433599082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256.72534545771862</v>
      </c>
      <c r="BJ159" s="59">
        <f t="shared" si="146"/>
        <v>362.34519377447361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24.372809709084496</v>
      </c>
      <c r="BQ159" s="21">
        <f>EXP(-LN(2)/25)*BQ158+(1-EXP(-LN(2)/25))/(LN(2)/25)*Calculateur!BL159*Calculateur!BN159*VLOOKUP('Données projet'!$B$11,Paramètres!$A$1:$I$89,3,0)*0.475*44/12</f>
        <v>2.8360030691364781</v>
      </c>
      <c r="BR159" s="21">
        <f>EXP(-LN(2)/2)*BR158+(1-EXP(-LN(2)/2))/(LN(2)/2)*BL159*BO159*VLOOKUP('Données projet'!$B$11,Paramètres!$A$1:$I$89,3,0)*0.475*44/12</f>
        <v>7.6638958401555457E-14</v>
      </c>
      <c r="BS159" s="22">
        <f t="shared" si="169"/>
        <v>27.208812778221052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459.83870442974046</v>
      </c>
      <c r="T160" s="59">
        <f t="shared" si="142"/>
        <v>565.68976940602215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37.263061712328067</v>
      </c>
      <c r="AA160" s="21">
        <f>EXP(-LN(2)/25)*AA159+(1-EXP(-LN(2)/25))/(LN(2)/25)*Calculateur!V160*Calculateur!X160*VLOOKUP('Données projet'!$B$9,Paramètres!$A$1:$I$89,3,0)*0.475*44/12</f>
        <v>4.1183742001255252</v>
      </c>
      <c r="AB160" s="21">
        <f>EXP(-LN(2)/2)*AB159+(1-EXP(-LN(2)/2))/(LN(2)/2)*V160*Y160*VLOOKUP('Données projet'!$B$9,Paramètres!$A$1:$I$89,3,0)*0.475*44/12</f>
        <v>1.0849567539968719E-13</v>
      </c>
      <c r="AC160" s="22">
        <f t="shared" si="163"/>
        <v>41.381435912453696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-1.5429577615577727E-13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376.97234030481559</v>
      </c>
      <c r="AO160" s="59">
        <f t="shared" si="144"/>
        <v>532.90758914457615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7.6226287013134151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7.6226287013134151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256.72534545771862</v>
      </c>
      <c r="BJ160" s="59">
        <f t="shared" si="146"/>
        <v>362.34519377447361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23.894873776635382</v>
      </c>
      <c r="BQ160" s="21">
        <f>EXP(-LN(2)/25)*BQ159+(1-EXP(-LN(2)/25))/(LN(2)/25)*Calculateur!BL160*Calculateur!BN160*VLOOKUP('Données projet'!$B$11,Paramètres!$A$1:$I$89,3,0)*0.475*44/12</f>
        <v>2.7584524160720214</v>
      </c>
      <c r="BR160" s="21">
        <f>EXP(-LN(2)/2)*BR159+(1-EXP(-LN(2)/2))/(LN(2)/2)*BL160*BO160*VLOOKUP('Données projet'!$B$11,Paramètres!$A$1:$I$89,3,0)*0.475*44/12</f>
        <v>5.4191927188813593E-14</v>
      </c>
      <c r="BS160" s="22">
        <f t="shared" si="169"/>
        <v>26.653326192707457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459.83870442974046</v>
      </c>
      <c r="T161" s="59">
        <f t="shared" si="142"/>
        <v>565.68976940602215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36.532355800372734</v>
      </c>
      <c r="AA161" s="21">
        <f>EXP(-LN(2)/25)*AA160+(1-EXP(-LN(2)/25))/(LN(2)/25)*Calculateur!V161*Calculateur!X161*VLOOKUP('Données projet'!$B$9,Paramètres!$A$1:$I$89,3,0)*0.475*44/12</f>
        <v>4.0057570410472065</v>
      </c>
      <c r="AB161" s="21">
        <f>EXP(-LN(2)/2)*AB160+(1-EXP(-LN(2)/2))/(LN(2)/2)*V161*Y161*VLOOKUP('Données projet'!$B$9,Paramètres!$A$1:$I$89,3,0)*0.475*44/12</f>
        <v>7.6718027804533295E-14</v>
      </c>
      <c r="AC161" s="22">
        <f t="shared" si="163"/>
        <v>40.538112841420016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-1.5429577615577727E-13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376.97234030481559</v>
      </c>
      <c r="AO161" s="59">
        <f t="shared" si="144"/>
        <v>532.90758914457615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7.4731536018250821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7.4731536018250821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256.72534545771862</v>
      </c>
      <c r="BJ161" s="59">
        <f t="shared" si="146"/>
        <v>362.34519377447361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23.42630987630946</v>
      </c>
      <c r="BQ161" s="21">
        <f>EXP(-LN(2)/25)*BQ160+(1-EXP(-LN(2)/25))/(LN(2)/25)*Calculateur!BL161*Calculateur!BN161*VLOOKUP('Données projet'!$B$11,Paramètres!$A$1:$I$89,3,0)*0.475*44/12</f>
        <v>2.6830223896938241</v>
      </c>
      <c r="BR161" s="21">
        <f>EXP(-LN(2)/2)*BR160+(1-EXP(-LN(2)/2))/(LN(2)/2)*BL161*BO161*VLOOKUP('Données projet'!$B$11,Paramètres!$A$1:$I$89,3,0)*0.475*44/12</f>
        <v>3.8319479200777729E-14</v>
      </c>
      <c r="BS161" s="22">
        <f t="shared" si="169"/>
        <v>26.109332266003324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459.83870442974046</v>
      </c>
      <c r="T162" s="59">
        <f t="shared" si="142"/>
        <v>565.68976940602215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35.815978585664247</v>
      </c>
      <c r="AA162" s="21">
        <f>EXP(-LN(2)/25)*AA161+(1-EXP(-LN(2)/25))/(LN(2)/25)*Calculateur!V162*Calculateur!X162*VLOOKUP('Données projet'!$B$9,Paramètres!$A$1:$I$89,3,0)*0.475*44/12</f>
        <v>3.8962194041061631</v>
      </c>
      <c r="AB162" s="21">
        <f>EXP(-LN(2)/2)*AB161+(1-EXP(-LN(2)/2))/(LN(2)/2)*V162*Y162*VLOOKUP('Données projet'!$B$9,Paramètres!$A$1:$I$89,3,0)*0.475*44/12</f>
        <v>5.4247837699843594E-14</v>
      </c>
      <c r="AC162" s="22">
        <f t="shared" si="163"/>
        <v>39.712197989770466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-1.5429577615577727E-13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376.97234030481559</v>
      </c>
      <c r="AO162" s="59">
        <f t="shared" si="144"/>
        <v>532.90758914457615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7.3266096178669073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7.3266096178669073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256.72534545771862</v>
      </c>
      <c r="BJ162" s="59">
        <f t="shared" si="146"/>
        <v>362.34519377447361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22.966934228273171</v>
      </c>
      <c r="BQ162" s="21">
        <f>EXP(-LN(2)/25)*BQ161+(1-EXP(-LN(2)/25))/(LN(2)/25)*Calculateur!BL162*Calculateur!BN162*VLOOKUP('Données projet'!$B$11,Paramètres!$A$1:$I$89,3,0)*0.475*44/12</f>
        <v>2.609655001353631</v>
      </c>
      <c r="BR162" s="21">
        <f>EXP(-LN(2)/2)*BR161+(1-EXP(-LN(2)/2))/(LN(2)/2)*BL162*BO162*VLOOKUP('Données projet'!$B$11,Paramètres!$A$1:$I$89,3,0)*0.475*44/12</f>
        <v>2.7095963594406797E-14</v>
      </c>
      <c r="BS162" s="22">
        <f t="shared" si="169"/>
        <v>25.57658922962683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459.83870442974046</v>
      </c>
      <c r="T163" s="59">
        <f t="shared" si="142"/>
        <v>565.68976940602215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35.113649091189238</v>
      </c>
      <c r="AA163" s="21">
        <f>EXP(-LN(2)/25)*AA162+(1-EXP(-LN(2)/25))/(LN(2)/25)*Calculateur!V163*Calculateur!X163*VLOOKUP('Données projet'!$B$9,Paramètres!$A$1:$I$89,3,0)*0.475*44/12</f>
        <v>3.7896770796076065</v>
      </c>
      <c r="AB163" s="21">
        <f>EXP(-LN(2)/2)*AB162+(1-EXP(-LN(2)/2))/(LN(2)/2)*V163*Y163*VLOOKUP('Données projet'!$B$9,Paramètres!$A$1:$I$89,3,0)*0.475*44/12</f>
        <v>3.8359013902266648E-14</v>
      </c>
      <c r="AC163" s="22">
        <f t="shared" si="163"/>
        <v>38.90332617079688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-1.5429577615577727E-13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376.97234030481559</v>
      </c>
      <c r="AO163" s="59">
        <f t="shared" si="144"/>
        <v>532.90758914457615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7.182939272051148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7.182939272051148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256.72534545771862</v>
      </c>
      <c r="BJ163" s="59">
        <f t="shared" si="146"/>
        <v>362.34519377447361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22.516566656503393</v>
      </c>
      <c r="BQ163" s="21">
        <f>EXP(-LN(2)/25)*BQ162+(1-EXP(-LN(2)/25))/(LN(2)/25)*Calculateur!BL163*Calculateur!BN163*VLOOKUP('Données projet'!$B$11,Paramètres!$A$1:$I$89,3,0)*0.475*44/12</f>
        <v>2.5382938481058241</v>
      </c>
      <c r="BR163" s="21">
        <f>EXP(-LN(2)/2)*BR162+(1-EXP(-LN(2)/2))/(LN(2)/2)*BL163*BO163*VLOOKUP('Données projet'!$B$11,Paramètres!$A$1:$I$89,3,0)*0.475*44/12</f>
        <v>1.9159739600388864E-14</v>
      </c>
      <c r="BS163" s="22">
        <f t="shared" si="169"/>
        <v>25.054860504609234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459.83870442974046</v>
      </c>
      <c r="T164" s="59">
        <f t="shared" si="142"/>
        <v>565.68976940602215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34.425091849722186</v>
      </c>
      <c r="AA164" s="21">
        <f>EXP(-LN(2)/25)*AA163+(1-EXP(-LN(2)/25))/(LN(2)/25)*Calculateur!V164*Calculateur!X164*VLOOKUP('Données projet'!$B$9,Paramètres!$A$1:$I$89,3,0)*0.475*44/12</f>
        <v>3.6860481605752802</v>
      </c>
      <c r="AB164" s="21">
        <f>EXP(-LN(2)/2)*AB163+(1-EXP(-LN(2)/2))/(LN(2)/2)*V164*Y164*VLOOKUP('Données projet'!$B$9,Paramètres!$A$1:$I$89,3,0)*0.475*44/12</f>
        <v>2.7123918849921797E-14</v>
      </c>
      <c r="AC164" s="22">
        <f t="shared" si="163"/>
        <v>38.111140010297497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-1.5429577615577727E-13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376.97234030481559</v>
      </c>
      <c r="AO164" s="59">
        <f t="shared" si="144"/>
        <v>532.90758914457615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7.0420862140865772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7.0420862140865772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256.72534545771862</v>
      </c>
      <c r="BJ164" s="59">
        <f t="shared" si="146"/>
        <v>362.34519377447361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22.075030518118925</v>
      </c>
      <c r="BQ164" s="21">
        <f>EXP(-LN(2)/25)*BQ163+(1-EXP(-LN(2)/25))/(LN(2)/25)*Calculateur!BL164*Calculateur!BN164*VLOOKUP('Données projet'!$B$11,Paramètres!$A$1:$I$89,3,0)*0.475*44/12</f>
        <v>2.4688840693462981</v>
      </c>
      <c r="BR164" s="21">
        <f>EXP(-LN(2)/2)*BR163+(1-EXP(-LN(2)/2))/(LN(2)/2)*BL164*BO164*VLOOKUP('Données projet'!$B$11,Paramètres!$A$1:$I$89,3,0)*0.475*44/12</f>
        <v>1.3547981797203398E-14</v>
      </c>
      <c r="BS164" s="22">
        <f t="shared" si="169"/>
        <v>24.543914587465238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459.83870442974046</v>
      </c>
      <c r="T165" s="59">
        <f t="shared" si="142"/>
        <v>565.68976940602215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33.75003679578186</v>
      </c>
      <c r="AA165" s="21">
        <f>EXP(-LN(2)/25)*AA164+(1-EXP(-LN(2)/25))/(LN(2)/25)*Calculateur!V165*Calculateur!X165*VLOOKUP('Données projet'!$B$9,Paramètres!$A$1:$I$89,3,0)*0.475*44/12</f>
        <v>3.5852529797835011</v>
      </c>
      <c r="AB165" s="21">
        <f>EXP(-LN(2)/2)*AB164+(1-EXP(-LN(2)/2))/(LN(2)/2)*V165*Y165*VLOOKUP('Données projet'!$B$9,Paramètres!$A$1:$I$89,3,0)*0.475*44/12</f>
        <v>1.9179506951133324E-14</v>
      </c>
      <c r="AC165" s="22">
        <f t="shared" si="163"/>
        <v>37.335289775565379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-1.5429577615577727E-13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376.97234030481559</v>
      </c>
      <c r="AO165" s="59">
        <f t="shared" si="144"/>
        <v>532.90758914457615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6.9039951986768093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6.9039951986768093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256.72534545771862</v>
      </c>
      <c r="BJ165" s="59">
        <f t="shared" si="146"/>
        <v>362.34519377447361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21.642152634097727</v>
      </c>
      <c r="BQ165" s="21">
        <f>EXP(-LN(2)/25)*BQ164+(1-EXP(-LN(2)/25))/(LN(2)/25)*Calculateur!BL165*Calculateur!BN165*VLOOKUP('Données projet'!$B$11,Paramètres!$A$1:$I$89,3,0)*0.475*44/12</f>
        <v>2.4013723046370532</v>
      </c>
      <c r="BR165" s="21">
        <f>EXP(-LN(2)/2)*BR164+(1-EXP(-LN(2)/2))/(LN(2)/2)*BL165*BO165*VLOOKUP('Données projet'!$B$11,Paramètres!$A$1:$I$89,3,0)*0.475*44/12</f>
        <v>9.5798698001944322E-15</v>
      </c>
      <c r="BS165" s="22">
        <f t="shared" si="169"/>
        <v>24.043524938734791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459.83870442974046</v>
      </c>
      <c r="T166" s="59">
        <f t="shared" si="142"/>
        <v>565.68976940602215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33.088219159706377</v>
      </c>
      <c r="AA166" s="21">
        <f>EXP(-LN(2)/25)*AA165+(1-EXP(-LN(2)/25))/(LN(2)/25)*Calculateur!V166*Calculateur!X166*VLOOKUP('Données projet'!$B$9,Paramètres!$A$1:$I$89,3,0)*0.475*44/12</f>
        <v>3.4872140485110612</v>
      </c>
      <c r="AB166" s="21">
        <f>EXP(-LN(2)/2)*AB165+(1-EXP(-LN(2)/2))/(LN(2)/2)*V166*Y166*VLOOKUP('Données projet'!$B$9,Paramètres!$A$1:$I$89,3,0)*0.475*44/12</f>
        <v>1.3561959424960899E-14</v>
      </c>
      <c r="AC166" s="22">
        <f t="shared" si="163"/>
        <v>36.575433208217454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-1.5429577615577727E-13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376.97234030481559</v>
      </c>
      <c r="AO166" s="59">
        <f t="shared" si="144"/>
        <v>532.90758914457615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6.7686120638520242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6.7686120638520242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256.72534545771862</v>
      </c>
      <c r="BJ166" s="59">
        <f t="shared" si="146"/>
        <v>362.34519377447361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21.217763221352744</v>
      </c>
      <c r="BQ166" s="21">
        <f>EXP(-LN(2)/25)*BQ165+(1-EXP(-LN(2)/25))/(LN(2)/25)*Calculateur!BL166*Calculateur!BN166*VLOOKUP('Données projet'!$B$11,Paramètres!$A$1:$I$89,3,0)*0.475*44/12</f>
        <v>2.3357066526840717</v>
      </c>
      <c r="BR166" s="21">
        <f>EXP(-LN(2)/2)*BR165+(1-EXP(-LN(2)/2))/(LN(2)/2)*BL166*BO166*VLOOKUP('Données projet'!$B$11,Paramètres!$A$1:$I$89,3,0)*0.475*44/12</f>
        <v>6.7739908986016992E-15</v>
      </c>
      <c r="BS166" s="22">
        <f t="shared" si="169"/>
        <v>23.553469874036821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459.83870442974046</v>
      </c>
      <c r="T167" s="59">
        <f t="shared" si="142"/>
        <v>565.68976940602215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32.439379363805436</v>
      </c>
      <c r="AA167" s="21">
        <f>EXP(-LN(2)/25)*AA166+(1-EXP(-LN(2)/25))/(LN(2)/25)*Calculateur!V167*Calculateur!X167*VLOOKUP('Données projet'!$B$9,Paramètres!$A$1:$I$89,3,0)*0.475*44/12</f>
        <v>3.3918559969699094</v>
      </c>
      <c r="AB167" s="21">
        <f>EXP(-LN(2)/2)*AB166+(1-EXP(-LN(2)/2))/(LN(2)/2)*V167*Y167*VLOOKUP('Données projet'!$B$9,Paramètres!$A$1:$I$89,3,0)*0.475*44/12</f>
        <v>9.5897534755666619E-15</v>
      </c>
      <c r="AC167" s="22">
        <f t="shared" si="163"/>
        <v>35.831235360775352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-1.5429577615577727E-13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376.97234030481559</v>
      </c>
      <c r="AO167" s="59">
        <f t="shared" si="144"/>
        <v>532.90758914457615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6.6358837097255945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6.6358837097255945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256.72534545771862</v>
      </c>
      <c r="BJ167" s="59">
        <f t="shared" si="146"/>
        <v>362.34519377447361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20.80169582613971</v>
      </c>
      <c r="BQ167" s="21">
        <f>EXP(-LN(2)/25)*BQ166+(1-EXP(-LN(2)/25))/(LN(2)/25)*Calculateur!BL167*Calculateur!BN167*VLOOKUP('Données projet'!$B$11,Paramètres!$A$1:$I$89,3,0)*0.475*44/12</f>
        <v>2.2718366314369511</v>
      </c>
      <c r="BR167" s="21">
        <f>EXP(-LN(2)/2)*BR166+(1-EXP(-LN(2)/2))/(LN(2)/2)*BL167*BO167*VLOOKUP('Données projet'!$B$11,Paramètres!$A$1:$I$89,3,0)*0.475*44/12</f>
        <v>4.7899349000972161E-15</v>
      </c>
      <c r="BS167" s="22">
        <f t="shared" si="169"/>
        <v>23.073532457576665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459.83870442974046</v>
      </c>
      <c r="T168" s="59">
        <f t="shared" si="142"/>
        <v>565.68976940602215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31.80326292054891</v>
      </c>
      <c r="AA168" s="21">
        <f>EXP(-LN(2)/25)*AA167+(1-EXP(-LN(2)/25))/(LN(2)/25)*Calculateur!V168*Calculateur!X168*VLOOKUP('Données projet'!$B$9,Paramètres!$A$1:$I$89,3,0)*0.475*44/12</f>
        <v>3.2991055163628125</v>
      </c>
      <c r="AB168" s="21">
        <f>EXP(-LN(2)/2)*AB167+(1-EXP(-LN(2)/2))/(LN(2)/2)*V168*Y168*VLOOKUP('Données projet'!$B$9,Paramètres!$A$1:$I$89,3,0)*0.475*44/12</f>
        <v>6.7809797124804493E-15</v>
      </c>
      <c r="AC168" s="22">
        <f t="shared" si="163"/>
        <v>35.102368436911732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-1.5429577615577727E-13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376.97234030481559</v>
      </c>
      <c r="AO168" s="59">
        <f t="shared" si="144"/>
        <v>532.90758914457615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6.5057580776672825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6.5057580776672825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256.72534545771862</v>
      </c>
      <c r="BJ168" s="59">
        <f t="shared" si="146"/>
        <v>362.34519377447361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20.39378725877075</v>
      </c>
      <c r="BQ168" s="21">
        <f>EXP(-LN(2)/25)*BQ167+(1-EXP(-LN(2)/25))/(LN(2)/25)*Calculateur!BL168*Calculateur!BN168*VLOOKUP('Données projet'!$B$11,Paramètres!$A$1:$I$89,3,0)*0.475*44/12</f>
        <v>2.2097131392796117</v>
      </c>
      <c r="BR168" s="21">
        <f>EXP(-LN(2)/2)*BR167+(1-EXP(-LN(2)/2))/(LN(2)/2)*BL168*BO168*VLOOKUP('Données projet'!$B$11,Paramètres!$A$1:$I$89,3,0)*0.475*44/12</f>
        <v>3.3869954493008496E-15</v>
      </c>
      <c r="BS168" s="22">
        <f t="shared" si="169"/>
        <v>22.603500398050365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459.83870442974046</v>
      </c>
      <c r="T169" s="59">
        <f t="shared" si="142"/>
        <v>565.68976940602215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31.179620332751927</v>
      </c>
      <c r="AA169" s="21">
        <f>EXP(-LN(2)/25)*AA168+(1-EXP(-LN(2)/25))/(LN(2)/25)*Calculateur!V169*Calculateur!X169*VLOOKUP('Données projet'!$B$9,Paramètres!$A$1:$I$89,3,0)*0.475*44/12</f>
        <v>3.2088913025254526</v>
      </c>
      <c r="AB169" s="21">
        <f>EXP(-LN(2)/2)*AB168+(1-EXP(-LN(2)/2))/(LN(2)/2)*V169*Y169*VLOOKUP('Données projet'!$B$9,Paramètres!$A$1:$I$89,3,0)*0.475*44/12</f>
        <v>4.794876737783331E-15</v>
      </c>
      <c r="AC169" s="22">
        <f t="shared" si="163"/>
        <v>34.388511635277389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-1.5429577615577727E-13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376.97234030481559</v>
      </c>
      <c r="AO169" s="59">
        <f t="shared" si="144"/>
        <v>532.90758914457615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6.3781841298848354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6.3781841298848354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256.72534545771862</v>
      </c>
      <c r="BJ169" s="59">
        <f t="shared" si="146"/>
        <v>362.34519377447361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19.993877529608238</v>
      </c>
      <c r="BQ169" s="21">
        <f>EXP(-LN(2)/25)*BQ168+(1-EXP(-LN(2)/25))/(LN(2)/25)*Calculateur!BL169*Calculateur!BN169*VLOOKUP('Données projet'!$B$11,Paramètres!$A$1:$I$89,3,0)*0.475*44/12</f>
        <v>2.1492884172822468</v>
      </c>
      <c r="BR169" s="21">
        <f>EXP(-LN(2)/2)*BR168+(1-EXP(-LN(2)/2))/(LN(2)/2)*BL169*BO169*VLOOKUP('Données projet'!$B$11,Paramètres!$A$1:$I$89,3,0)*0.475*44/12</f>
        <v>2.394967450048608E-15</v>
      </c>
      <c r="BS169" s="22">
        <f t="shared" si="169"/>
        <v>22.143165946890488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459.83870442974046</v>
      </c>
      <c r="T170" s="59">
        <f t="shared" si="142"/>
        <v>565.68976940602215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30.568206995717222</v>
      </c>
      <c r="AA170" s="21">
        <f>EXP(-LN(2)/25)*AA169+(1-EXP(-LN(2)/25))/(LN(2)/25)*Calculateur!V170*Calculateur!X170*VLOOKUP('Données projet'!$B$9,Paramètres!$A$1:$I$89,3,0)*0.475*44/12</f>
        <v>3.1211440011096347</v>
      </c>
      <c r="AB170" s="21">
        <f>EXP(-LN(2)/2)*AB169+(1-EXP(-LN(2)/2))/(LN(2)/2)*V170*Y170*VLOOKUP('Données projet'!$B$9,Paramètres!$A$1:$I$89,3,0)*0.475*44/12</f>
        <v>3.3904898562402247E-15</v>
      </c>
      <c r="AC170" s="22">
        <f t="shared" si="163"/>
        <v>33.68935099682686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-1.5429577615577727E-13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376.97234030481559</v>
      </c>
      <c r="AO170" s="59">
        <f t="shared" si="144"/>
        <v>532.90758914457615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6.2531118294059773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6.2531118294059773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256.72534545771862</v>
      </c>
      <c r="BJ170" s="59">
        <f t="shared" si="146"/>
        <v>362.34519377447361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19.601809786313751</v>
      </c>
      <c r="BQ170" s="21">
        <f>EXP(-LN(2)/25)*BQ169+(1-EXP(-LN(2)/25))/(LN(2)/25)*Calculateur!BL170*Calculateur!BN170*VLOOKUP('Données projet'!$B$11,Paramètres!$A$1:$I$89,3,0)*0.475*44/12</f>
        <v>2.090516012485498</v>
      </c>
      <c r="BR170" s="21">
        <f>EXP(-LN(2)/2)*BR169+(1-EXP(-LN(2)/2))/(LN(2)/2)*BL170*BO170*VLOOKUP('Données projet'!$B$11,Paramètres!$A$1:$I$89,3,0)*0.475*44/12</f>
        <v>1.6934977246504248E-15</v>
      </c>
      <c r="BS170" s="22">
        <f t="shared" si="169"/>
        <v>21.692325798799249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459.83870442974046</v>
      </c>
      <c r="T171" s="59">
        <f t="shared" si="142"/>
        <v>565.68976940602215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29.968783101296456</v>
      </c>
      <c r="AA171" s="21">
        <f>EXP(-LN(2)/25)*AA170+(1-EXP(-LN(2)/25))/(LN(2)/25)*Calculateur!V171*Calculateur!X171*VLOOKUP('Données projet'!$B$9,Paramètres!$A$1:$I$89,3,0)*0.475*44/12</f>
        <v>3.0357961542654621</v>
      </c>
      <c r="AB171" s="21">
        <f>EXP(-LN(2)/2)*AB170+(1-EXP(-LN(2)/2))/(LN(2)/2)*V171*Y171*VLOOKUP('Données projet'!$B$9,Paramètres!$A$1:$I$89,3,0)*0.475*44/12</f>
        <v>2.3974383688916655E-15</v>
      </c>
      <c r="AC171" s="22">
        <f t="shared" si="163"/>
        <v>33.004579255561922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-1.5429577615577727E-13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376.97234030481559</v>
      </c>
      <c r="AO171" s="59">
        <f t="shared" si="144"/>
        <v>532.90758914457615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6.1304921204529386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6.1304921204529386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256.72534545771862</v>
      </c>
      <c r="BJ171" s="59">
        <f t="shared" si="146"/>
        <v>362.34519377447361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19.21743025232756</v>
      </c>
      <c r="BQ171" s="21">
        <f>EXP(-LN(2)/25)*BQ170+(1-EXP(-LN(2)/25))/(LN(2)/25)*Calculateur!BL171*Calculateur!BN171*VLOOKUP('Données projet'!$B$11,Paramètres!$A$1:$I$89,3,0)*0.475*44/12</f>
        <v>2.033350742188623</v>
      </c>
      <c r="BR171" s="21">
        <f>EXP(-LN(2)/2)*BR170+(1-EXP(-LN(2)/2))/(LN(2)/2)*BL171*BO171*VLOOKUP('Données projet'!$B$11,Paramètres!$A$1:$I$89,3,0)*0.475*44/12</f>
        <v>1.197483725024304E-15</v>
      </c>
      <c r="BS171" s="22">
        <f t="shared" si="169"/>
        <v>21.250780994516184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459.83870442974046</v>
      </c>
      <c r="T172" s="59">
        <f t="shared" si="142"/>
        <v>565.68976940602215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29.381113543832807</v>
      </c>
      <c r="AA172" s="21">
        <f>EXP(-LN(2)/25)*AA171+(1-EXP(-LN(2)/25))/(LN(2)/25)*Calculateur!V172*Calculateur!X172*VLOOKUP('Données projet'!$B$9,Paramètres!$A$1:$I$89,3,0)*0.475*44/12</f>
        <v>2.9527821487814916</v>
      </c>
      <c r="AB172" s="21">
        <f>EXP(-LN(2)/2)*AB171+(1-EXP(-LN(2)/2))/(LN(2)/2)*V172*Y172*VLOOKUP('Données projet'!$B$9,Paramètres!$A$1:$I$89,3,0)*0.475*44/12</f>
        <v>1.6952449281201123E-15</v>
      </c>
      <c r="AC172" s="22">
        <f t="shared" si="163"/>
        <v>32.333895692614298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-1.5429577615577727E-13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376.97234030481559</v>
      </c>
      <c r="AO172" s="59">
        <f t="shared" si="144"/>
        <v>532.90758914457615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6.0102769092018313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6.0102769092018313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256.72534545771862</v>
      </c>
      <c r="BJ172" s="59">
        <f t="shared" si="146"/>
        <v>362.34519377447361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18.840588166554472</v>
      </c>
      <c r="BQ172" s="21">
        <f>EXP(-LN(2)/25)*BQ171+(1-EXP(-LN(2)/25))/(LN(2)/25)*Calculateur!BL172*Calculateur!BN172*VLOOKUP('Données projet'!$B$11,Paramètres!$A$1:$I$89,3,0)*0.475*44/12</f>
        <v>1.9777486592142068</v>
      </c>
      <c r="BR172" s="21">
        <f>EXP(-LN(2)/2)*BR171+(1-EXP(-LN(2)/2))/(LN(2)/2)*BL172*BO172*VLOOKUP('Données projet'!$B$11,Paramètres!$A$1:$I$89,3,0)*0.475*44/12</f>
        <v>8.467488623252124E-16</v>
      </c>
      <c r="BS172" s="22">
        <f t="shared" si="169"/>
        <v>20.818336825768679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459.83870442974046</v>
      </c>
      <c r="T173" s="59">
        <f t="shared" si="142"/>
        <v>565.68976940602215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28.804967827947983</v>
      </c>
      <c r="AA173" s="21">
        <f>EXP(-LN(2)/25)*AA172+(1-EXP(-LN(2)/25))/(LN(2)/25)*Calculateur!V173*Calculateur!X173*VLOOKUP('Données projet'!$B$9,Paramètres!$A$1:$I$89,3,0)*0.475*44/12</f>
        <v>2.872038165642997</v>
      </c>
      <c r="AB173" s="21">
        <f>EXP(-LN(2)/2)*AB172+(1-EXP(-LN(2)/2))/(LN(2)/2)*V173*Y173*VLOOKUP('Données projet'!$B$9,Paramètres!$A$1:$I$89,3,0)*0.475*44/12</f>
        <v>1.1987191844458327E-15</v>
      </c>
      <c r="AC173" s="22">
        <f t="shared" si="163"/>
        <v>31.677005993590981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-1.5429577615577727E-13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376.97234030481559</v>
      </c>
      <c r="AO173" s="59">
        <f t="shared" si="144"/>
        <v>532.90758914457615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5.8924190449193201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5.8924190449193201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256.72534545771862</v>
      </c>
      <c r="BJ173" s="59">
        <f t="shared" si="146"/>
        <v>362.34519377447361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18.471135724232418</v>
      </c>
      <c r="BQ173" s="21">
        <f>EXP(-LN(2)/25)*BQ172+(1-EXP(-LN(2)/25))/(LN(2)/25)*Calculateur!BL173*Calculateur!BN173*VLOOKUP('Données projet'!$B$11,Paramètres!$A$1:$I$89,3,0)*0.475*44/12</f>
        <v>1.9236670181227127</v>
      </c>
      <c r="BR173" s="21">
        <f>EXP(-LN(2)/2)*BR172+(1-EXP(-LN(2)/2))/(LN(2)/2)*BL173*BO173*VLOOKUP('Données projet'!$B$11,Paramètres!$A$1:$I$89,3,0)*0.475*44/12</f>
        <v>5.9874186251215201E-16</v>
      </c>
      <c r="BS173" s="22">
        <f t="shared" si="169"/>
        <v>20.394802742355132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459.83870442974046</v>
      </c>
      <c r="T174" s="59">
        <f t="shared" si="142"/>
        <v>565.68976940602215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28.240119978137475</v>
      </c>
      <c r="AA174" s="21">
        <f>EXP(-LN(2)/25)*AA173+(1-EXP(-LN(2)/25))/(LN(2)/25)*Calculateur!V174*Calculateur!X174*VLOOKUP('Données projet'!$B$9,Paramètres!$A$1:$I$89,3,0)*0.475*44/12</f>
        <v>2.793502130969566</v>
      </c>
      <c r="AB174" s="21">
        <f>EXP(-LN(2)/2)*AB173+(1-EXP(-LN(2)/2))/(LN(2)/2)*V174*Y174*VLOOKUP('Données projet'!$B$9,Paramètres!$A$1:$I$89,3,0)*0.475*44/12</f>
        <v>8.4762246406005616E-16</v>
      </c>
      <c r="AC174" s="22">
        <f t="shared" si="163"/>
        <v>31.033622109107043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-1.5429577615577727E-13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376.97234030481559</v>
      </c>
      <c r="AO174" s="59">
        <f t="shared" si="144"/>
        <v>532.90758914457615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5.7768723014691892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5.7768723014691892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256.72534545771862</v>
      </c>
      <c r="BJ174" s="59">
        <f t="shared" si="146"/>
        <v>362.34519377447361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18.108928018960558</v>
      </c>
      <c r="BQ174" s="21">
        <f>EXP(-LN(2)/25)*BQ173+(1-EXP(-LN(2)/25))/(LN(2)/25)*Calculateur!BL174*Calculateur!BN174*VLOOKUP('Données projet'!$B$11,Paramètres!$A$1:$I$89,3,0)*0.475*44/12</f>
        <v>1.8710642423508952</v>
      </c>
      <c r="BR174" s="21">
        <f>EXP(-LN(2)/2)*BR173+(1-EXP(-LN(2)/2))/(LN(2)/2)*BL174*BO174*VLOOKUP('Données projet'!$B$11,Paramètres!$A$1:$I$89,3,0)*0.475*44/12</f>
        <v>4.233744311626062E-16</v>
      </c>
      <c r="BS174" s="22">
        <f t="shared" si="169"/>
        <v>19.979992261311452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459.83870442974046</v>
      </c>
      <c r="T175" s="59">
        <f t="shared" si="142"/>
        <v>565.68976940602215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27.686348450138581</v>
      </c>
      <c r="AA175" s="21">
        <f>EXP(-LN(2)/25)*AA174+(1-EXP(-LN(2)/25))/(LN(2)/25)*Calculateur!V175*Calculateur!X175*VLOOKUP('Données projet'!$B$9,Paramètres!$A$1:$I$89,3,0)*0.475*44/12</f>
        <v>2.7171136682943109</v>
      </c>
      <c r="AB175" s="21">
        <f>EXP(-LN(2)/2)*AB174+(1-EXP(-LN(2)/2))/(LN(2)/2)*V175*Y175*VLOOKUP('Données projet'!$B$9,Paramètres!$A$1:$I$89,3,0)*0.475*44/12</f>
        <v>5.9935959222291637E-16</v>
      </c>
      <c r="AC175" s="22">
        <f t="shared" si="163"/>
        <v>30.403462118432891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-1.5429577615577727E-13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376.97234030481559</v>
      </c>
      <c r="AO175" s="59">
        <f t="shared" si="144"/>
        <v>532.90758914457615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5.6635913591815612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5.6635913591815612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256.72534545771862</v>
      </c>
      <c r="BJ175" s="59">
        <f t="shared" si="146"/>
        <v>362.34519377447361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17.753822985864193</v>
      </c>
      <c r="BQ175" s="21">
        <f>EXP(-LN(2)/25)*BQ174+(1-EXP(-LN(2)/25))/(LN(2)/25)*Calculateur!BL175*Calculateur!BN175*VLOOKUP('Données projet'!$B$11,Paramètres!$A$1:$I$89,3,0)*0.475*44/12</f>
        <v>1.8198998922488179</v>
      </c>
      <c r="BR175" s="21">
        <f>EXP(-LN(2)/2)*BR174+(1-EXP(-LN(2)/2))/(LN(2)/2)*BL175*BO175*VLOOKUP('Données projet'!$B$11,Paramètres!$A$1:$I$89,3,0)*0.475*44/12</f>
        <v>2.9937093125607601E-16</v>
      </c>
      <c r="BS175" s="22">
        <f t="shared" si="169"/>
        <v>19.57372287811301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459.83870442974046</v>
      </c>
      <c r="T176" s="59">
        <f t="shared" si="142"/>
        <v>565.68976940602215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27.143436044036466</v>
      </c>
      <c r="AA176" s="21">
        <f>EXP(-LN(2)/25)*AA175+(1-EXP(-LN(2)/25))/(LN(2)/25)*Calculateur!V176*Calculateur!X176*VLOOKUP('Données projet'!$B$9,Paramètres!$A$1:$I$89,3,0)*0.475*44/12</f>
        <v>2.642814052148005</v>
      </c>
      <c r="AB176" s="21">
        <f>EXP(-LN(2)/2)*AB175+(1-EXP(-LN(2)/2))/(LN(2)/2)*V176*Y176*VLOOKUP('Données projet'!$B$9,Paramètres!$A$1:$I$89,3,0)*0.475*44/12</f>
        <v>4.2381123203002808E-16</v>
      </c>
      <c r="AC176" s="22">
        <f t="shared" si="163"/>
        <v>29.786250096184471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-1.5429577615577727E-13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376.97234030481559</v>
      </c>
      <c r="AO176" s="59">
        <f t="shared" si="144"/>
        <v>532.90758914457615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5.5525317870776414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5.5525317870776414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256.72534545771862</v>
      </c>
      <c r="BJ176" s="59">
        <f t="shared" si="146"/>
        <v>362.34519377447361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17.405681345874168</v>
      </c>
      <c r="BQ176" s="21">
        <f>EXP(-LN(2)/25)*BQ175+(1-EXP(-LN(2)/25))/(LN(2)/25)*Calculateur!BL176*Calculateur!BN176*VLOOKUP('Données projet'!$B$11,Paramètres!$A$1:$I$89,3,0)*0.475*44/12</f>
        <v>1.7701346339908981</v>
      </c>
      <c r="BR176" s="21">
        <f>EXP(-LN(2)/2)*BR175+(1-EXP(-LN(2)/2))/(LN(2)/2)*BL176*BO176*VLOOKUP('Données projet'!$B$11,Paramètres!$A$1:$I$89,3,0)*0.475*44/12</f>
        <v>2.116872155813031E-16</v>
      </c>
      <c r="BS176" s="22">
        <f t="shared" si="169"/>
        <v>19.175815979865067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459.83870442974046</v>
      </c>
      <c r="T177" s="59">
        <f t="shared" si="142"/>
        <v>565.68976940602215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26.611169819074142</v>
      </c>
      <c r="AA177" s="21">
        <f>EXP(-LN(2)/25)*AA176+(1-EXP(-LN(2)/25))/(LN(2)/25)*Calculateur!V177*Calculateur!X177*VLOOKUP('Données projet'!$B$9,Paramètres!$A$1:$I$89,3,0)*0.475*44/12</f>
        <v>2.5705461629124668</v>
      </c>
      <c r="AB177" s="21">
        <f>EXP(-LN(2)/2)*AB176+(1-EXP(-LN(2)/2))/(LN(2)/2)*V177*Y177*VLOOKUP('Données projet'!$B$9,Paramètres!$A$1:$I$89,3,0)*0.475*44/12</f>
        <v>2.9967979611145818E-16</v>
      </c>
      <c r="AC177" s="22">
        <f t="shared" si="163"/>
        <v>29.18171598198661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-1.5429577615577727E-13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376.97234030481559</v>
      </c>
      <c r="AO177" s="59">
        <f t="shared" si="144"/>
        <v>532.90758914457615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5.4436500254430289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5.4436500254430289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256.72534545771862</v>
      </c>
      <c r="BJ177" s="59">
        <f t="shared" si="146"/>
        <v>362.34519377447361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17.064366551098914</v>
      </c>
      <c r="BQ177" s="21">
        <f>EXP(-LN(2)/25)*BQ176+(1-EXP(-LN(2)/25))/(LN(2)/25)*Calculateur!BL177*Calculateur!BN177*VLOOKUP('Données projet'!$B$11,Paramètres!$A$1:$I$89,3,0)*0.475*44/12</f>
        <v>1.7217302093370823</v>
      </c>
      <c r="BR177" s="21">
        <f>EXP(-LN(2)/2)*BR176+(1-EXP(-LN(2)/2))/(LN(2)/2)*BL177*BO177*VLOOKUP('Données projet'!$B$11,Paramètres!$A$1:$I$89,3,0)*0.475*44/12</f>
        <v>1.49685465628038E-16</v>
      </c>
      <c r="BS177" s="22">
        <f t="shared" si="169"/>
        <v>18.786096760435996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459.83870442974046</v>
      </c>
      <c r="T178" s="59">
        <f t="shared" si="142"/>
        <v>565.68976940602215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26.089341010132991</v>
      </c>
      <c r="AA178" s="21">
        <f>EXP(-LN(2)/25)*AA177+(1-EXP(-LN(2)/25))/(LN(2)/25)*Calculateur!V178*Calculateur!X178*VLOOKUP('Données projet'!$B$9,Paramètres!$A$1:$I$89,3,0)*0.475*44/12</f>
        <v>2.5002544429084779</v>
      </c>
      <c r="AB178" s="21">
        <f>EXP(-LN(2)/2)*AB177+(1-EXP(-LN(2)/2))/(LN(2)/2)*V178*Y178*VLOOKUP('Données projet'!$B$9,Paramètres!$A$1:$I$89,3,0)*0.475*44/12</f>
        <v>2.1190561601501404E-16</v>
      </c>
      <c r="AC178" s="22">
        <f t="shared" si="163"/>
        <v>28.589595453041468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-1.5429577615577727E-13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376.97234030481559</v>
      </c>
      <c r="AO178" s="59">
        <f t="shared" si="144"/>
        <v>532.90758914457615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5.3369033687427541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5.3369033687427541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256.72534545771862</v>
      </c>
      <c r="BJ178" s="59">
        <f t="shared" si="146"/>
        <v>362.34519377447361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16.729744731267733</v>
      </c>
      <c r="BQ178" s="21">
        <f>EXP(-LN(2)/25)*BQ177+(1-EXP(-LN(2)/25))/(LN(2)/25)*Calculateur!BL178*Calculateur!BN178*VLOOKUP('Données projet'!$B$11,Paramètres!$A$1:$I$89,3,0)*0.475*44/12</f>
        <v>1.6746494062209032</v>
      </c>
      <c r="BR178" s="21">
        <f>EXP(-LN(2)/2)*BR177+(1-EXP(-LN(2)/2))/(LN(2)/2)*BL178*BO178*VLOOKUP('Données projet'!$B$11,Paramètres!$A$1:$I$89,3,0)*0.475*44/12</f>
        <v>1.0584360779065155E-16</v>
      </c>
      <c r="BS178" s="22">
        <f t="shared" si="169"/>
        <v>18.404394137488637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459.83870442974046</v>
      </c>
      <c r="T179" s="59">
        <f t="shared" si="142"/>
        <v>565.68976940602215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25.577744945851027</v>
      </c>
      <c r="AA179" s="21">
        <f>EXP(-LN(2)/25)*AA178+(1-EXP(-LN(2)/25))/(LN(2)/25)*Calculateur!V179*Calculateur!X179*VLOOKUP('Données projet'!$B$9,Paramètres!$A$1:$I$89,3,0)*0.475*44/12</f>
        <v>2.4318848536844788</v>
      </c>
      <c r="AB179" s="21">
        <f>EXP(-LN(2)/2)*AB178+(1-EXP(-LN(2)/2))/(LN(2)/2)*V179*Y179*VLOOKUP('Données projet'!$B$9,Paramètres!$A$1:$I$89,3,0)*0.475*44/12</f>
        <v>1.4983989805572909E-16</v>
      </c>
      <c r="AC179" s="22">
        <f t="shared" si="163"/>
        <v>28.009629799535507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-1.5429577615577727E-13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376.97234030481559</v>
      </c>
      <c r="AO179" s="59">
        <f t="shared" si="144"/>
        <v>532.90758914457615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5.2322499488713401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5.2322499488713401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256.72534545771862</v>
      </c>
      <c r="BJ179" s="59">
        <f t="shared" si="146"/>
        <v>362.34519377447361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16.401684641224282</v>
      </c>
      <c r="BQ179" s="21">
        <f>EXP(-LN(2)/25)*BQ178+(1-EXP(-LN(2)/25))/(LN(2)/25)*Calculateur!BL179*Calculateur!BN179*VLOOKUP('Données projet'!$B$11,Paramètres!$A$1:$I$89,3,0)*0.475*44/12</f>
        <v>1.6288560301418078</v>
      </c>
      <c r="BR179" s="21">
        <f>EXP(-LN(2)/2)*BR178+(1-EXP(-LN(2)/2))/(LN(2)/2)*BL179*BO179*VLOOKUP('Données projet'!$B$11,Paramètres!$A$1:$I$89,3,0)*0.475*44/12</f>
        <v>7.4842732814019001E-17</v>
      </c>
      <c r="BS179" s="22">
        <f t="shared" si="169"/>
        <v>18.03054067136609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459.83870442974046</v>
      </c>
      <c r="T180" s="59">
        <f t="shared" si="142"/>
        <v>565.68976940602215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25.076180968346847</v>
      </c>
      <c r="AA180" s="21">
        <f>EXP(-LN(2)/25)*AA179+(1-EXP(-LN(2)/25))/(LN(2)/25)*Calculateur!V180*Calculateur!X180*VLOOKUP('Données projet'!$B$9,Paramètres!$A$1:$I$89,3,0)*0.475*44/12</f>
        <v>2.3653848344732102</v>
      </c>
      <c r="AB180" s="21">
        <f>EXP(-LN(2)/2)*AB179+(1-EXP(-LN(2)/2))/(LN(2)/2)*V180*Y180*VLOOKUP('Données projet'!$B$9,Paramètres!$A$1:$I$89,3,0)*0.475*44/12</f>
        <v>1.0595280800750702E-16</v>
      </c>
      <c r="AC180" s="22">
        <f t="shared" si="163"/>
        <v>27.441565802820058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-1.5429577615577727E-13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376.97234030481559</v>
      </c>
      <c r="AO180" s="59">
        <f t="shared" si="144"/>
        <v>532.90758914457615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5.129648718731322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5.129648718731322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256.72534545771862</v>
      </c>
      <c r="BJ180" s="59">
        <f t="shared" si="146"/>
        <v>362.34519377447361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16.080057609449689</v>
      </c>
      <c r="BQ180" s="21">
        <f>EXP(-LN(2)/25)*BQ179+(1-EXP(-LN(2)/25))/(LN(2)/25)*Calculateur!BL180*Calculateur!BN180*VLOOKUP('Données projet'!$B$11,Paramètres!$A$1:$I$89,3,0)*0.475*44/12</f>
        <v>1.5843148763397643</v>
      </c>
      <c r="BR180" s="21">
        <f>EXP(-LN(2)/2)*BR179+(1-EXP(-LN(2)/2))/(LN(2)/2)*BL180*BO180*VLOOKUP('Données projet'!$B$11,Paramètres!$A$1:$I$89,3,0)*0.475*44/12</f>
        <v>5.2921803895325775E-17</v>
      </c>
      <c r="BS180" s="22">
        <f t="shared" si="169"/>
        <v>17.664372485789453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459.83870442974046</v>
      </c>
      <c r="T181" s="59">
        <f t="shared" si="142"/>
        <v>565.68976940602215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24.584452354517705</v>
      </c>
      <c r="AA181" s="21">
        <f>EXP(-LN(2)/25)*AA180+(1-EXP(-LN(2)/25))/(LN(2)/25)*Calculateur!V181*Calculateur!X181*VLOOKUP('Données projet'!$B$9,Paramètres!$A$1:$I$89,3,0)*0.475*44/12</f>
        <v>2.3007032617843581</v>
      </c>
      <c r="AB181" s="21">
        <f>EXP(-LN(2)/2)*AB180+(1-EXP(-LN(2)/2))/(LN(2)/2)*V181*Y181*VLOOKUP('Données projet'!$B$9,Paramètres!$A$1:$I$89,3,0)*0.475*44/12</f>
        <v>7.4919949027864546E-17</v>
      </c>
      <c r="AC181" s="22">
        <f t="shared" si="163"/>
        <v>26.885155616302065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-1.5429577615577727E-13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376.97234030481559</v>
      </c>
      <c r="AO181" s="59">
        <f t="shared" si="144"/>
        <v>532.90758914457615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5.0290594361337781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5.0290594361337781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256.72534545771862</v>
      </c>
      <c r="BJ181" s="59">
        <f t="shared" si="146"/>
        <v>362.34519377447361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15.764737487595076</v>
      </c>
      <c r="BQ181" s="21">
        <f>EXP(-LN(2)/25)*BQ180+(1-EXP(-LN(2)/25))/(LN(2)/25)*Calculateur!BL181*Calculateur!BN181*VLOOKUP('Données projet'!$B$11,Paramètres!$A$1:$I$89,3,0)*0.475*44/12</f>
        <v>1.5409917027307551</v>
      </c>
      <c r="BR181" s="21">
        <f>EXP(-LN(2)/2)*BR180+(1-EXP(-LN(2)/2))/(LN(2)/2)*BL181*BO181*VLOOKUP('Données projet'!$B$11,Paramètres!$A$1:$I$89,3,0)*0.475*44/12</f>
        <v>3.7421366407009501E-17</v>
      </c>
      <c r="BS181" s="22">
        <f t="shared" si="169"/>
        <v>17.305729190325831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459.83870442974046</v>
      </c>
      <c r="T182" s="59">
        <f t="shared" si="142"/>
        <v>565.68976940602215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24.102366238880911</v>
      </c>
      <c r="AA182" s="21">
        <f>EXP(-LN(2)/25)*AA181+(1-EXP(-LN(2)/25))/(LN(2)/25)*Calculateur!V182*Calculateur!X182*VLOOKUP('Données projet'!$B$9,Paramètres!$A$1:$I$89,3,0)*0.475*44/12</f>
        <v>2.2377904101021389</v>
      </c>
      <c r="AB182" s="21">
        <f>EXP(-LN(2)/2)*AB181+(1-EXP(-LN(2)/2))/(LN(2)/2)*V182*Y182*VLOOKUP('Données projet'!$B$9,Paramètres!$A$1:$I$89,3,0)*0.475*44/12</f>
        <v>5.297640400375351E-17</v>
      </c>
      <c r="AC182" s="22">
        <f t="shared" si="163"/>
        <v>26.340156648983051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-1.5429577615577727E-13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376.97234030481559</v>
      </c>
      <c r="AO182" s="59">
        <f t="shared" si="144"/>
        <v>532.90758914457615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4.9304426480145676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4.9304426480145676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256.72534545771862</v>
      </c>
      <c r="BJ182" s="59">
        <f t="shared" si="146"/>
        <v>362.34519377447361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15.455600601003749</v>
      </c>
      <c r="BQ182" s="21">
        <f>EXP(-LN(2)/25)*BQ181+(1-EXP(-LN(2)/25))/(LN(2)/25)*Calculateur!BL182*Calculateur!BN182*VLOOKUP('Données projet'!$B$11,Paramètres!$A$1:$I$89,3,0)*0.475*44/12</f>
        <v>1.498853203582351</v>
      </c>
      <c r="BR182" s="21">
        <f>EXP(-LN(2)/2)*BR181+(1-EXP(-LN(2)/2))/(LN(2)/2)*BL182*BO182*VLOOKUP('Données projet'!$B$11,Paramètres!$A$1:$I$89,3,0)*0.475*44/12</f>
        <v>2.6460901947662887E-17</v>
      </c>
      <c r="BS182" s="22">
        <f t="shared" si="169"/>
        <v>16.954453804586098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459.83870442974046</v>
      </c>
      <c r="T183" s="59">
        <f t="shared" si="142"/>
        <v>565.68976940602215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23.62973353792826</v>
      </c>
      <c r="AA183" s="21">
        <f>EXP(-LN(2)/25)*AA182+(1-EXP(-LN(2)/25))/(LN(2)/25)*Calculateur!V183*Calculateur!X183*VLOOKUP('Données projet'!$B$9,Paramètres!$A$1:$I$89,3,0)*0.475*44/12</f>
        <v>2.1765979136576128</v>
      </c>
      <c r="AB183" s="21">
        <f>EXP(-LN(2)/2)*AB182+(1-EXP(-LN(2)/2))/(LN(2)/2)*V183*Y183*VLOOKUP('Données projet'!$B$9,Paramètres!$A$1:$I$89,3,0)*0.475*44/12</f>
        <v>3.7459974513932273E-17</v>
      </c>
      <c r="AC183" s="22">
        <f t="shared" si="163"/>
        <v>25.806331451585873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-1.5429577615577727E-13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376.97234030481559</v>
      </c>
      <c r="AO183" s="59">
        <f t="shared" si="144"/>
        <v>532.90758914457615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4.8337596749600733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4.8337596749600733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256.72534545771862</v>
      </c>
      <c r="BJ183" s="59">
        <f t="shared" si="146"/>
        <v>362.34519377447361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15.152525700203594</v>
      </c>
      <c r="BQ183" s="21">
        <f>EXP(-LN(2)/25)*BQ182+(1-EXP(-LN(2)/25))/(LN(2)/25)*Calculateur!BL183*Calculateur!BN183*VLOOKUP('Données projet'!$B$11,Paramètres!$A$1:$I$89,3,0)*0.475*44/12</f>
        <v>1.4578669839091274</v>
      </c>
      <c r="BR183" s="21">
        <f>EXP(-LN(2)/2)*BR182+(1-EXP(-LN(2)/2))/(LN(2)/2)*BL183*BO183*VLOOKUP('Données projet'!$B$11,Paramètres!$A$1:$I$89,3,0)*0.475*44/12</f>
        <v>1.871068320350475E-17</v>
      </c>
      <c r="BS183" s="22">
        <f t="shared" si="169"/>
        <v>16.610392684112721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459.83870442974046</v>
      </c>
      <c r="T184" s="59">
        <f t="shared" si="142"/>
        <v>565.68976940602215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23.166368875963808</v>
      </c>
      <c r="AA184" s="21">
        <f>EXP(-LN(2)/25)*AA183+(1-EXP(-LN(2)/25))/(LN(2)/25)*Calculateur!V184*Calculateur!X184*VLOOKUP('Données projet'!$B$9,Paramètres!$A$1:$I$89,3,0)*0.475*44/12</f>
        <v>2.1170787292463356</v>
      </c>
      <c r="AB184" s="21">
        <f>EXP(-LN(2)/2)*AB183+(1-EXP(-LN(2)/2))/(LN(2)/2)*V184*Y184*VLOOKUP('Données projet'!$B$9,Paramètres!$A$1:$I$89,3,0)*0.475*44/12</f>
        <v>2.6488202001876755E-17</v>
      </c>
      <c r="AC184" s="22">
        <f t="shared" si="163"/>
        <v>25.283447605210142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-1.5429577615577727E-13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376.97234030481559</v>
      </c>
      <c r="AO184" s="59">
        <f t="shared" si="144"/>
        <v>532.90758914457615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4.7389725960363878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4.7389725960363878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256.72534545771862</v>
      </c>
      <c r="BJ184" s="59">
        <f t="shared" si="146"/>
        <v>362.34519377447361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14.855393913350694</v>
      </c>
      <c r="BQ184" s="21">
        <f>EXP(-LN(2)/25)*BQ183+(1-EXP(-LN(2)/25))/(LN(2)/25)*Calculateur!BL184*Calculateur!BN184*VLOOKUP('Données projet'!$B$11,Paramètres!$A$1:$I$89,3,0)*0.475*44/12</f>
        <v>1.4180015345682395</v>
      </c>
      <c r="BR184" s="21">
        <f>EXP(-LN(2)/2)*BR183+(1-EXP(-LN(2)/2))/(LN(2)/2)*BL184*BO184*VLOOKUP('Données projet'!$B$11,Paramètres!$A$1:$I$89,3,0)*0.475*44/12</f>
        <v>1.3230450973831444E-17</v>
      </c>
      <c r="BS184" s="22">
        <f t="shared" si="169"/>
        <v>16.273395447918933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459.83870442974046</v>
      </c>
      <c r="T185" s="59">
        <f t="shared" si="142"/>
        <v>565.68976940602215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22.712090512395942</v>
      </c>
      <c r="AA185" s="21">
        <f>EXP(-LN(2)/25)*AA184+(1-EXP(-LN(2)/25))/(LN(2)/25)*Calculateur!V185*Calculateur!X185*VLOOKUP('Données projet'!$B$9,Paramètres!$A$1:$I$89,3,0)*0.475*44/12</f>
        <v>2.0591871000627626</v>
      </c>
      <c r="AB185" s="21">
        <f>EXP(-LN(2)/2)*AB184+(1-EXP(-LN(2)/2))/(LN(2)/2)*V185*Y185*VLOOKUP('Données projet'!$B$9,Paramètres!$A$1:$I$89,3,0)*0.475*44/12</f>
        <v>1.8729987256966137E-17</v>
      </c>
      <c r="AC185" s="22">
        <f t="shared" si="163"/>
        <v>24.771277612458704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-1.5429577615577727E-13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376.97234030481559</v>
      </c>
      <c r="AO185" s="59">
        <f t="shared" si="144"/>
        <v>532.90758914457615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4.646044233915986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4.646044233915986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256.72534545771862</v>
      </c>
      <c r="BJ185" s="59">
        <f t="shared" si="146"/>
        <v>362.34519377447361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14.564088699605485</v>
      </c>
      <c r="BQ185" s="21">
        <f>EXP(-LN(2)/25)*BQ184+(1-EXP(-LN(2)/25))/(LN(2)/25)*Calculateur!BL185*Calculateur!BN185*VLOOKUP('Données projet'!$B$11,Paramètres!$A$1:$I$89,3,0)*0.475*44/12</f>
        <v>1.3792262080360111</v>
      </c>
      <c r="BR185" s="21">
        <f>EXP(-LN(2)/2)*BR184+(1-EXP(-LN(2)/2))/(LN(2)/2)*BL185*BO185*VLOOKUP('Données projet'!$B$11,Paramètres!$A$1:$I$89,3,0)*0.475*44/12</f>
        <v>9.3553416017523752E-18</v>
      </c>
      <c r="BS185" s="22">
        <f t="shared" si="169"/>
        <v>15.943314907641495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459.83870442974046</v>
      </c>
      <c r="T186" s="59">
        <f t="shared" si="142"/>
        <v>565.68976940602215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22.266720270455199</v>
      </c>
      <c r="AA186" s="21">
        <f>EXP(-LN(2)/25)*AA185+(1-EXP(-LN(2)/25))/(LN(2)/25)*Calculateur!V186*Calculateur!X186*VLOOKUP('Données projet'!$B$9,Paramètres!$A$1:$I$89,3,0)*0.475*44/12</f>
        <v>2.0028785205236033</v>
      </c>
      <c r="AB186" s="21">
        <f>EXP(-LN(2)/2)*AB185+(1-EXP(-LN(2)/2))/(LN(2)/2)*V186*Y186*VLOOKUP('Données projet'!$B$9,Paramètres!$A$1:$I$89,3,0)*0.475*44/12</f>
        <v>1.3244101000938378E-17</v>
      </c>
      <c r="AC186" s="22">
        <f t="shared" si="163"/>
        <v>24.269598790978801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-1.5429577615577727E-13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376.97234030481559</v>
      </c>
      <c r="AO186" s="59">
        <f t="shared" si="144"/>
        <v>532.90758914457615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4.5549381402960609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4.5549381402960609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256.72534545771862</v>
      </c>
      <c r="BJ186" s="59">
        <f t="shared" si="146"/>
        <v>362.34519377447361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14.278495803423183</v>
      </c>
      <c r="BQ186" s="21">
        <f>EXP(-LN(2)/25)*BQ185+(1-EXP(-LN(2)/25))/(LN(2)/25)*Calculateur!BL186*Calculateur!BN186*VLOOKUP('Données projet'!$B$11,Paramètres!$A$1:$I$89,3,0)*0.475*44/12</f>
        <v>1.3415111948469125</v>
      </c>
      <c r="BR186" s="21">
        <f>EXP(-LN(2)/2)*BR185+(1-EXP(-LN(2)/2))/(LN(2)/2)*BL186*BO186*VLOOKUP('Données projet'!$B$11,Paramètres!$A$1:$I$89,3,0)*0.475*44/12</f>
        <v>6.6152254869157218E-18</v>
      </c>
      <c r="BS186" s="22">
        <f t="shared" si="169"/>
        <v>15.620006998270096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459.83870442974046</v>
      </c>
      <c r="T187" s="59">
        <f t="shared" si="142"/>
        <v>565.68976940602215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21.83008346730989</v>
      </c>
      <c r="AA187" s="21">
        <f>EXP(-LN(2)/25)*AA186+(1-EXP(-LN(2)/25))/(LN(2)/25)*Calculateur!V187*Calculateur!X187*VLOOKUP('Données projet'!$B$9,Paramètres!$A$1:$I$89,3,0)*0.475*44/12</f>
        <v>1.9481097020530815</v>
      </c>
      <c r="AB187" s="21">
        <f>EXP(-LN(2)/2)*AB186+(1-EXP(-LN(2)/2))/(LN(2)/2)*V187*Y187*VLOOKUP('Données projet'!$B$9,Paramètres!$A$1:$I$89,3,0)*0.475*44/12</f>
        <v>9.3649936284830683E-18</v>
      </c>
      <c r="AC187" s="22">
        <f t="shared" si="163"/>
        <v>23.778193169362972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-1.5429577615577727E-13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376.97234030481559</v>
      </c>
      <c r="AO187" s="59">
        <f t="shared" si="144"/>
        <v>532.90758914457615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4.4656185816027927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4.4656185816027927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256.72534545771862</v>
      </c>
      <c r="BJ187" s="59">
        <f t="shared" si="146"/>
        <v>362.34519377447361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13.99850320974055</v>
      </c>
      <c r="BQ187" s="21">
        <f>EXP(-LN(2)/25)*BQ186+(1-EXP(-LN(2)/25))/(LN(2)/25)*Calculateur!BL187*Calculateur!BN187*VLOOKUP('Données projet'!$B$11,Paramètres!$A$1:$I$89,3,0)*0.475*44/12</f>
        <v>1.304827500676816</v>
      </c>
      <c r="BR187" s="21">
        <f>EXP(-LN(2)/2)*BR186+(1-EXP(-LN(2)/2))/(LN(2)/2)*BL187*BO187*VLOOKUP('Données projet'!$B$11,Paramètres!$A$1:$I$89,3,0)*0.475*44/12</f>
        <v>4.6776708008761876E-18</v>
      </c>
      <c r="BS187" s="22">
        <f t="shared" si="169"/>
        <v>15.303330710417367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459.83870442974046</v>
      </c>
      <c r="T188" s="59">
        <f t="shared" si="142"/>
        <v>565.68976940602215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21.402008845552107</v>
      </c>
      <c r="AA188" s="21">
        <f>EXP(-LN(2)/25)*AA187+(1-EXP(-LN(2)/25))/(LN(2)/25)*Calculateur!V188*Calculateur!X188*VLOOKUP('Données projet'!$B$9,Paramètres!$A$1:$I$89,3,0)*0.475*44/12</f>
        <v>1.8948385398038032</v>
      </c>
      <c r="AB188" s="21">
        <f>EXP(-LN(2)/2)*AB187+(1-EXP(-LN(2)/2))/(LN(2)/2)*V188*Y188*VLOOKUP('Données projet'!$B$9,Paramètres!$A$1:$I$89,3,0)*0.475*44/12</f>
        <v>6.6220505004691888E-18</v>
      </c>
      <c r="AC188" s="22">
        <f t="shared" si="163"/>
        <v>23.29684738535591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-1.5429577615577727E-13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376.97234030481559</v>
      </c>
      <c r="AO188" s="59">
        <f t="shared" si="144"/>
        <v>532.90758914457615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4.378050524975948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4.378050524975948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256.72534545771862</v>
      </c>
      <c r="BJ188" s="59">
        <f t="shared" si="146"/>
        <v>362.34519377447361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13.724001100041415</v>
      </c>
      <c r="BQ188" s="21">
        <f>EXP(-LN(2)/25)*BQ187+(1-EXP(-LN(2)/25))/(LN(2)/25)*Calculateur!BL188*Calculateur!BN188*VLOOKUP('Données projet'!$B$11,Paramètres!$A$1:$I$89,3,0)*0.475*44/12</f>
        <v>1.2691469240529123</v>
      </c>
      <c r="BR188" s="21">
        <f>EXP(-LN(2)/2)*BR187+(1-EXP(-LN(2)/2))/(LN(2)/2)*BL188*BO188*VLOOKUP('Données projet'!$B$11,Paramètres!$A$1:$I$89,3,0)*0.475*44/12</f>
        <v>3.3076127434578609E-18</v>
      </c>
      <c r="BS188" s="22">
        <f t="shared" si="169"/>
        <v>14.993148024094326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459.83870442974046</v>
      </c>
      <c r="T189" s="59">
        <f t="shared" si="142"/>
        <v>565.68976940602215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20.982328506027258</v>
      </c>
      <c r="AA189" s="21">
        <f>EXP(-LN(2)/25)*AA188+(1-EXP(-LN(2)/25))/(LN(2)/25)*Calculateur!V189*Calculateur!X189*VLOOKUP('Données projet'!$B$9,Paramètres!$A$1:$I$89,3,0)*0.475*44/12</f>
        <v>1.8430240802876401</v>
      </c>
      <c r="AB189" s="21">
        <f>EXP(-LN(2)/2)*AB188+(1-EXP(-LN(2)/2))/(LN(2)/2)*V189*Y189*VLOOKUP('Données projet'!$B$9,Paramètres!$A$1:$I$89,3,0)*0.475*44/12</f>
        <v>4.6824968142415341E-18</v>
      </c>
      <c r="AC189" s="22">
        <f t="shared" si="163"/>
        <v>22.825352586314899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-1.5429577615577727E-13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376.97234030481559</v>
      </c>
      <c r="AO189" s="59">
        <f t="shared" si="144"/>
        <v>532.90758914457615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4.2921996245283154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4.2921996245283154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256.72534545771862</v>
      </c>
      <c r="BJ189" s="59">
        <f t="shared" si="146"/>
        <v>362.34519377447361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13.454881809283725</v>
      </c>
      <c r="BQ189" s="21">
        <f>EXP(-LN(2)/25)*BQ188+(1-EXP(-LN(2)/25))/(LN(2)/25)*Calculateur!BL189*Calculateur!BN189*VLOOKUP('Données projet'!$B$11,Paramètres!$A$1:$I$89,3,0)*0.475*44/12</f>
        <v>1.2344420346731493</v>
      </c>
      <c r="BR189" s="21">
        <f>EXP(-LN(2)/2)*BR188+(1-EXP(-LN(2)/2))/(LN(2)/2)*BL189*BO189*VLOOKUP('Données projet'!$B$11,Paramètres!$A$1:$I$89,3,0)*0.475*44/12</f>
        <v>2.3388354004380938E-18</v>
      </c>
      <c r="BS189" s="22">
        <f t="shared" si="169"/>
        <v>14.689323843956874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459.83870442974046</v>
      </c>
      <c r="T190" s="59">
        <f t="shared" si="142"/>
        <v>565.68976940602215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20.57087784198076</v>
      </c>
      <c r="AA190" s="21">
        <f>EXP(-LN(2)/25)*AA189+(1-EXP(-LN(2)/25))/(LN(2)/25)*Calculateur!V190*Calculateur!X190*VLOOKUP('Données projet'!$B$9,Paramètres!$A$1:$I$89,3,0)*0.475*44/12</f>
        <v>1.7926264898917506</v>
      </c>
      <c r="AB190" s="21">
        <f>EXP(-LN(2)/2)*AB189+(1-EXP(-LN(2)/2))/(LN(2)/2)*V190*Y190*VLOOKUP('Données projet'!$B$9,Paramètres!$A$1:$I$89,3,0)*0.475*44/12</f>
        <v>3.3110252502345944E-18</v>
      </c>
      <c r="AC190" s="22">
        <f t="shared" si="163"/>
        <v>22.363504331872512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-1.5429577615577727E-13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376.97234030481559</v>
      </c>
      <c r="AO190" s="59">
        <f t="shared" si="144"/>
        <v>532.90758914457615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4.2080322078745818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4.2080322078745818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256.72534545771862</v>
      </c>
      <c r="BJ190" s="59">
        <f t="shared" si="146"/>
        <v>362.34519377447361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13.191039783671233</v>
      </c>
      <c r="BQ190" s="21">
        <f>EXP(-LN(2)/25)*BQ189+(1-EXP(-LN(2)/25))/(LN(2)/25)*Calculateur!BL190*Calculateur!BN190*VLOOKUP('Données projet'!$B$11,Paramètres!$A$1:$I$89,3,0)*0.475*44/12</f>
        <v>1.2006861523185268</v>
      </c>
      <c r="BR190" s="21">
        <f>EXP(-LN(2)/2)*BR189+(1-EXP(-LN(2)/2))/(LN(2)/2)*BL190*BO190*VLOOKUP('Données projet'!$B$11,Paramètres!$A$1:$I$89,3,0)*0.475*44/12</f>
        <v>1.6538063717289305E-18</v>
      </c>
      <c r="BS190" s="22">
        <f t="shared" si="169"/>
        <v>14.39172593598976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459.83870442974046</v>
      </c>
      <c r="T191" s="59">
        <f t="shared" si="142"/>
        <v>565.68976940602215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20.167495474496089</v>
      </c>
      <c r="AA191" s="21">
        <f>EXP(-LN(2)/25)*AA190+(1-EXP(-LN(2)/25))/(LN(2)/25)*Calculateur!V191*Calculateur!X191*VLOOKUP('Données projet'!$B$9,Paramètres!$A$1:$I$89,3,0)*0.475*44/12</f>
        <v>1.7436070242555306</v>
      </c>
      <c r="AB191" s="21">
        <f>EXP(-LN(2)/2)*AB190+(1-EXP(-LN(2)/2))/(LN(2)/2)*V191*Y191*VLOOKUP('Données projet'!$B$9,Paramètres!$A$1:$I$89,3,0)*0.475*44/12</f>
        <v>2.3412484071207671E-18</v>
      </c>
      <c r="AC191" s="22">
        <f t="shared" si="163"/>
        <v>21.911102498751621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-1.5429577615577727E-13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376.97234030481559</v>
      </c>
      <c r="AO191" s="59">
        <f t="shared" si="144"/>
        <v>532.90758914457615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4.125515262924373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4.125515262924373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256.72534545771862</v>
      </c>
      <c r="BJ191" s="59">
        <f t="shared" si="146"/>
        <v>362.34519377447361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12.932371539253257</v>
      </c>
      <c r="BQ191" s="21">
        <f>EXP(-LN(2)/25)*BQ190+(1-EXP(-LN(2)/25))/(LN(2)/25)*Calculateur!BL191*Calculateur!BN191*VLOOKUP('Données projet'!$B$11,Paramètres!$A$1:$I$89,3,0)*0.475*44/12</f>
        <v>1.1678533263420361</v>
      </c>
      <c r="BR191" s="21">
        <f>EXP(-LN(2)/2)*BR190+(1-EXP(-LN(2)/2))/(LN(2)/2)*BL191*BO191*VLOOKUP('Données projet'!$B$11,Paramètres!$A$1:$I$89,3,0)*0.475*44/12</f>
        <v>1.1694177002190469E-18</v>
      </c>
      <c r="BS191" s="22">
        <f t="shared" si="169"/>
        <v>14.100224865595294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459.83870442974046</v>
      </c>
      <c r="T192" s="59">
        <f t="shared" si="142"/>
        <v>565.68976940602215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19.77202318919884</v>
      </c>
      <c r="AA192" s="21">
        <f>EXP(-LN(2)/25)*AA191+(1-EXP(-LN(2)/25))/(LN(2)/25)*Calculateur!V192*Calculateur!X192*VLOOKUP('Données projet'!$B$9,Paramètres!$A$1:$I$89,3,0)*0.475*44/12</f>
        <v>1.6959279984849547</v>
      </c>
      <c r="AB192" s="21">
        <f>EXP(-LN(2)/2)*AB191+(1-EXP(-LN(2)/2))/(LN(2)/2)*V192*Y192*VLOOKUP('Données projet'!$B$9,Paramètres!$A$1:$I$89,3,0)*0.475*44/12</f>
        <v>1.6555126251172972E-18</v>
      </c>
      <c r="AC192" s="22">
        <f t="shared" si="163"/>
        <v>21.467951187683795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-1.5429577615577727E-13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376.97234030481559</v>
      </c>
      <c r="AO192" s="59">
        <f t="shared" si="144"/>
        <v>532.90758914457615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4.0446164249342704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4.0446164249342704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256.72534545771862</v>
      </c>
      <c r="BJ192" s="59">
        <f t="shared" si="146"/>
        <v>362.34519377447361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12.678775621336268</v>
      </c>
      <c r="BQ192" s="21">
        <f>EXP(-LN(2)/25)*BQ191+(1-EXP(-LN(2)/25))/(LN(2)/25)*Calculateur!BL192*Calculateur!BN192*VLOOKUP('Données projet'!$B$11,Paramètres!$A$1:$I$89,3,0)*0.475*44/12</f>
        <v>1.1359183157184758</v>
      </c>
      <c r="BR192" s="21">
        <f>EXP(-LN(2)/2)*BR191+(1-EXP(-LN(2)/2))/(LN(2)/2)*BL192*BO192*VLOOKUP('Données projet'!$B$11,Paramètres!$A$1:$I$89,3,0)*0.475*44/12</f>
        <v>8.2690318586446523E-19</v>
      </c>
      <c r="BS192" s="22">
        <f t="shared" si="169"/>
        <v>13.814693937054743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459.83870442974046</v>
      </c>
      <c r="T193" s="59">
        <f t="shared" si="142"/>
        <v>565.68976940602215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19.384305874201996</v>
      </c>
      <c r="AA193" s="21">
        <f>EXP(-LN(2)/25)*AA192+(1-EXP(-LN(2)/25))/(LN(2)/25)*Calculateur!V193*Calculateur!X193*VLOOKUP('Données projet'!$B$9,Paramètres!$A$1:$I$89,3,0)*0.475*44/12</f>
        <v>1.6495527581814062</v>
      </c>
      <c r="AB193" s="21">
        <f>EXP(-LN(2)/2)*AB192+(1-EXP(-LN(2)/2))/(LN(2)/2)*V193*Y193*VLOOKUP('Données projet'!$B$9,Paramètres!$A$1:$I$89,3,0)*0.475*44/12</f>
        <v>1.1706242035603835E-18</v>
      </c>
      <c r="AC193" s="22">
        <f t="shared" si="163"/>
        <v>21.033858632383403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-1.5429577615577727E-13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376.97234030481559</v>
      </c>
      <c r="AO193" s="59">
        <f t="shared" si="144"/>
        <v>532.90758914457615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3.9653039638137355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3.9653039638137355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256.72534545771862</v>
      </c>
      <c r="BJ193" s="59">
        <f t="shared" si="146"/>
        <v>362.34519377447361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12.430152564691394</v>
      </c>
      <c r="BQ193" s="21">
        <f>EXP(-LN(2)/25)*BQ192+(1-EXP(-LN(2)/25))/(LN(2)/25)*Calculateur!BL193*Calculateur!BN193*VLOOKUP('Données projet'!$B$11,Paramètres!$A$1:$I$89,3,0)*0.475*44/12</f>
        <v>1.1048565696398061</v>
      </c>
      <c r="BR193" s="21">
        <f>EXP(-LN(2)/2)*BR192+(1-EXP(-LN(2)/2))/(LN(2)/2)*BL193*BO193*VLOOKUP('Données projet'!$B$11,Paramètres!$A$1:$I$89,3,0)*0.475*44/12</f>
        <v>5.8470885010952345E-19</v>
      </c>
      <c r="BS193" s="22">
        <f t="shared" si="169"/>
        <v>13.535009134331199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459.83870442974046</v>
      </c>
      <c r="T194" s="59">
        <f t="shared" si="142"/>
        <v>565.68976940602215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19.004191459268029</v>
      </c>
      <c r="AA194" s="21">
        <f>EXP(-LN(2)/25)*AA193+(1-EXP(-LN(2)/25))/(LN(2)/25)*Calculateur!V194*Calculateur!X194*VLOOKUP('Données projet'!$B$9,Paramètres!$A$1:$I$89,3,0)*0.475*44/12</f>
        <v>1.6044456512627263</v>
      </c>
      <c r="AB194" s="21">
        <f>EXP(-LN(2)/2)*AB193+(1-EXP(-LN(2)/2))/(LN(2)/2)*V194*Y194*VLOOKUP('Données projet'!$B$9,Paramètres!$A$1:$I$89,3,0)*0.475*44/12</f>
        <v>8.277563125586486E-19</v>
      </c>
      <c r="AC194" s="22">
        <f t="shared" si="163"/>
        <v>20.608637110530754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-1.5429577615577727E-13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376.97234030481559</v>
      </c>
      <c r="AO194" s="59">
        <f t="shared" si="144"/>
        <v>532.90758914457615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3.8875467716799497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3.8875467716799497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256.72534545771862</v>
      </c>
      <c r="BJ194" s="59">
        <f t="shared" si="146"/>
        <v>362.34519377447361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12.186404854542234</v>
      </c>
      <c r="BQ194" s="21">
        <f>EXP(-LN(2)/25)*BQ193+(1-EXP(-LN(2)/25))/(LN(2)/25)*Calculateur!BL194*Calculateur!BN194*VLOOKUP('Données projet'!$B$11,Paramètres!$A$1:$I$89,3,0)*0.475*44/12</f>
        <v>1.0746442086411236</v>
      </c>
      <c r="BR194" s="21">
        <f>EXP(-LN(2)/2)*BR193+(1-EXP(-LN(2)/2))/(LN(2)/2)*BL194*BO194*VLOOKUP('Données projet'!$B$11,Paramètres!$A$1:$I$89,3,0)*0.475*44/12</f>
        <v>4.1345159293223262E-19</v>
      </c>
      <c r="BS194" s="22">
        <f t="shared" si="169"/>
        <v>13.261049063183357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459.83870442974046</v>
      </c>
      <c r="T195" s="59">
        <f t="shared" si="142"/>
        <v>565.68976940602215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18.631530856164016</v>
      </c>
      <c r="AA195" s="21">
        <f>EXP(-LN(2)/25)*AA194+(1-EXP(-LN(2)/25))/(LN(2)/25)*Calculateur!V195*Calculateur!X195*VLOOKUP('Données projet'!$B$9,Paramètres!$A$1:$I$89,3,0)*0.475*44/12</f>
        <v>1.5605720005548174</v>
      </c>
      <c r="AB195" s="21">
        <f>EXP(-LN(2)/2)*AB194+(1-EXP(-LN(2)/2))/(LN(2)/2)*V195*Y195*VLOOKUP('Données projet'!$B$9,Paramètres!$A$1:$I$89,3,0)*0.475*44/12</f>
        <v>5.8531210178019177E-19</v>
      </c>
      <c r="AC195" s="22">
        <f t="shared" si="163"/>
        <v>20.192102856718833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-1.5429577615577727E-13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376.97234030481559</v>
      </c>
      <c r="AO195" s="59">
        <f t="shared" si="144"/>
        <v>532.90758914457615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3.8113143506567031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3.8113143506567031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256.72534545771862</v>
      </c>
      <c r="BJ195" s="59">
        <f t="shared" si="146"/>
        <v>362.34519377447361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11.947436888317677</v>
      </c>
      <c r="BQ195" s="21">
        <f>EXP(-LN(2)/25)*BQ194+(1-EXP(-LN(2)/25))/(LN(2)/25)*Calculateur!BL195*Calculateur!BN195*VLOOKUP('Données projet'!$B$11,Paramètres!$A$1:$I$89,3,0)*0.475*44/12</f>
        <v>1.0452580062427492</v>
      </c>
      <c r="BR195" s="21">
        <f>EXP(-LN(2)/2)*BR194+(1-EXP(-LN(2)/2))/(LN(2)/2)*BL195*BO195*VLOOKUP('Données projet'!$B$11,Paramètres!$A$1:$I$89,3,0)*0.475*44/12</f>
        <v>2.9235442505476172E-19</v>
      </c>
      <c r="BS195" s="22">
        <f t="shared" si="169"/>
        <v>12.992694894560426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459.83870442974046</v>
      </c>
      <c r="T196" s="59">
        <f t="shared" si="142"/>
        <v>565.68976940602215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18.266177900186349</v>
      </c>
      <c r="AA196" s="21">
        <f>EXP(-LN(2)/25)*AA195+(1-EXP(-LN(2)/25))/(LN(2)/25)*Calculateur!V196*Calculateur!X196*VLOOKUP('Données projet'!$B$9,Paramètres!$A$1:$I$89,3,0)*0.475*44/12</f>
        <v>1.5178980771327311</v>
      </c>
      <c r="AB196" s="21">
        <f>EXP(-LN(2)/2)*AB195+(1-EXP(-LN(2)/2))/(LN(2)/2)*V196*Y196*VLOOKUP('Données projet'!$B$9,Paramètres!$A$1:$I$89,3,0)*0.475*44/12</f>
        <v>4.138781562793243E-19</v>
      </c>
      <c r="AC196" s="22">
        <f t="shared" si="163"/>
        <v>19.78407597731908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-1.5429577615577727E-13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376.97234030481559</v>
      </c>
      <c r="AO196" s="59">
        <f t="shared" si="144"/>
        <v>532.90758914457615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3.7365768009125366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3.7365768009125366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256.72534545771862</v>
      </c>
      <c r="BJ196" s="59">
        <f t="shared" si="146"/>
        <v>362.34519377447361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11.713154938154716</v>
      </c>
      <c r="BQ196" s="21">
        <f>EXP(-LN(2)/25)*BQ195+(1-EXP(-LN(2)/25))/(LN(2)/25)*Calculateur!BL196*Calculateur!BN196*VLOOKUP('Données projet'!$B$11,Paramètres!$A$1:$I$89,3,0)*0.475*44/12</f>
        <v>1.0166753710943117</v>
      </c>
      <c r="BR196" s="21">
        <f>EXP(-LN(2)/2)*BR195+(1-EXP(-LN(2)/2))/(LN(2)/2)*BL196*BO196*VLOOKUP('Données projet'!$B$11,Paramètres!$A$1:$I$89,3,0)*0.475*44/12</f>
        <v>2.0672579646611631E-19</v>
      </c>
      <c r="BS196" s="22">
        <f t="shared" si="169"/>
        <v>12.729830309249028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459.83870442974046</v>
      </c>
      <c r="T197" s="59">
        <f t="shared" ref="T197:T203" si="204">$T$3</f>
        <v>565.68976940602215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17.907989292832106</v>
      </c>
      <c r="AA197" s="21">
        <f>EXP(-LN(2)/25)*AA196+(1-EXP(-LN(2)/25))/(LN(2)/25)*Calculateur!V197*Calculateur!X197*VLOOKUP('Données projet'!$B$9,Paramètres!$A$1:$I$89,3,0)*0.475*44/12</f>
        <v>1.4763910743907458</v>
      </c>
      <c r="AB197" s="21">
        <f>EXP(-LN(2)/2)*AB196+(1-EXP(-LN(2)/2))/(LN(2)/2)*V197*Y197*VLOOKUP('Données projet'!$B$9,Paramètres!$A$1:$I$89,3,0)*0.475*44/12</f>
        <v>2.9265605089009588E-19</v>
      </c>
      <c r="AC197" s="22">
        <f t="shared" si="163"/>
        <v>19.384380367222853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-1.5429577615577727E-13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376.97234030481559</v>
      </c>
      <c r="AO197" s="59">
        <f t="shared" ref="AO197:AO203" si="205">$AO$3</f>
        <v>532.90758914457615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3.6633048089334492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3.6633048089334492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256.72534545771862</v>
      </c>
      <c r="BJ197" s="59">
        <f t="shared" ref="BJ197:BJ203" si="206">$BJ$3</f>
        <v>362.34519377447361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11.483467114136571</v>
      </c>
      <c r="BQ197" s="21">
        <f>EXP(-LN(2)/25)*BQ196+(1-EXP(-LN(2)/25))/(LN(2)/25)*Calculateur!BL197*Calculateur!BN197*VLOOKUP('Données projet'!$B$11,Paramètres!$A$1:$I$89,3,0)*0.475*44/12</f>
        <v>0.98887432960710364</v>
      </c>
      <c r="BR197" s="21">
        <f>EXP(-LN(2)/2)*BR196+(1-EXP(-LN(2)/2))/(LN(2)/2)*BL197*BO197*VLOOKUP('Données projet'!$B$11,Paramètres!$A$1:$I$89,3,0)*0.475*44/12</f>
        <v>1.4617721252738086E-19</v>
      </c>
      <c r="BS197" s="22">
        <f t="shared" si="169"/>
        <v>12.472341443743675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459.83870442974046</v>
      </c>
      <c r="T198" s="59">
        <f t="shared" si="204"/>
        <v>565.68976940602215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17.556824545594601</v>
      </c>
      <c r="AA198" s="21">
        <f>EXP(-LN(2)/25)*AA197+(1-EXP(-LN(2)/25))/(LN(2)/25)*Calculateur!V198*Calculateur!X198*VLOOKUP('Données projet'!$B$9,Paramètres!$A$1:$I$89,3,0)*0.475*44/12</f>
        <v>1.4360190828214985</v>
      </c>
      <c r="AB198" s="21">
        <f>EXP(-LN(2)/2)*AB197+(1-EXP(-LN(2)/2))/(LN(2)/2)*V198*Y198*VLOOKUP('Données projet'!$B$9,Paramètres!$A$1:$I$89,3,0)*0.475*44/12</f>
        <v>2.0693907813966215E-19</v>
      </c>
      <c r="AC198" s="22">
        <f t="shared" si="163"/>
        <v>18.9928436284161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-1.5429577615577727E-13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376.97234030481559</v>
      </c>
      <c r="AO198" s="59">
        <f t="shared" si="205"/>
        <v>532.90758914457615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3.5914696360255696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3.5914696360255696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256.72534545771862</v>
      </c>
      <c r="BJ198" s="59">
        <f t="shared" si="206"/>
        <v>362.34519377447361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11.258283328251684</v>
      </c>
      <c r="BQ198" s="21">
        <f>EXP(-LN(2)/25)*BQ197+(1-EXP(-LN(2)/25))/(LN(2)/25)*Calculateur!BL198*Calculateur!BN198*VLOOKUP('Données projet'!$B$11,Paramètres!$A$1:$I$89,3,0)*0.475*44/12</f>
        <v>0.96183350906135645</v>
      </c>
      <c r="BR198" s="21">
        <f>EXP(-LN(2)/2)*BR197+(1-EXP(-LN(2)/2))/(LN(2)/2)*BL198*BO198*VLOOKUP('Données projet'!$B$11,Paramètres!$A$1:$I$89,3,0)*0.475*44/12</f>
        <v>1.0336289823305815E-19</v>
      </c>
      <c r="BS198" s="22">
        <f t="shared" si="169"/>
        <v>12.220116837313041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459.83870442974046</v>
      </c>
      <c r="T199" s="59">
        <f t="shared" si="204"/>
        <v>565.68976940602215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17.212545924861075</v>
      </c>
      <c r="AA199" s="21">
        <f>EXP(-LN(2)/25)*AA198+(1-EXP(-LN(2)/25))/(LN(2)/25)*Calculateur!V199*Calculateur!X199*VLOOKUP('Données projet'!$B$9,Paramètres!$A$1:$I$89,3,0)*0.475*44/12</f>
        <v>1.396751065484783</v>
      </c>
      <c r="AB199" s="21">
        <f>EXP(-LN(2)/2)*AB198+(1-EXP(-LN(2)/2))/(LN(2)/2)*V199*Y199*VLOOKUP('Données projet'!$B$9,Paramètres!$A$1:$I$89,3,0)*0.475*44/12</f>
        <v>1.4632802544504794E-19</v>
      </c>
      <c r="AC199" s="22">
        <f t="shared" si="163"/>
        <v>18.609296990345857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-1.5429577615577727E-13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376.97234030481559</v>
      </c>
      <c r="AO199" s="59">
        <f t="shared" si="205"/>
        <v>532.90758914457615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3.5210431070432842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3.5210431070432842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256.72534545771862</v>
      </c>
      <c r="BJ199" s="59">
        <f t="shared" si="206"/>
        <v>362.34519377447361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11.037515259059452</v>
      </c>
      <c r="BQ199" s="21">
        <f>EXP(-LN(2)/25)*BQ198+(1-EXP(-LN(2)/25))/(LN(2)/25)*Calculateur!BL199*Calculateur!BN199*VLOOKUP('Données projet'!$B$11,Paramètres!$A$1:$I$89,3,0)*0.475*44/12</f>
        <v>0.93553212117544771</v>
      </c>
      <c r="BR199" s="21">
        <f>EXP(-LN(2)/2)*BR198+(1-EXP(-LN(2)/2))/(LN(2)/2)*BL199*BO199*VLOOKUP('Données projet'!$B$11,Paramètres!$A$1:$I$89,3,0)*0.475*44/12</f>
        <v>7.3088606263690431E-20</v>
      </c>
      <c r="BS199" s="22">
        <f t="shared" si="169"/>
        <v>11.973047380234899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459.83870442974046</v>
      </c>
      <c r="T200" s="59">
        <f t="shared" si="204"/>
        <v>565.68976940602215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16.875018397890912</v>
      </c>
      <c r="AA200" s="21">
        <f>EXP(-LN(2)/25)*AA199+(1-EXP(-LN(2)/25))/(LN(2)/25)*Calculateur!V200*Calculateur!X200*VLOOKUP('Données projet'!$B$9,Paramètres!$A$1:$I$89,3,0)*0.475*44/12</f>
        <v>1.3585568341471554</v>
      </c>
      <c r="AB200" s="21">
        <f>EXP(-LN(2)/2)*AB199+(1-EXP(-LN(2)/2))/(LN(2)/2)*V200*Y200*VLOOKUP('Données projet'!$B$9,Paramètres!$A$1:$I$89,3,0)*0.475*44/12</f>
        <v>1.0346953906983107E-19</v>
      </c>
      <c r="AC200" s="22">
        <f t="shared" si="163"/>
        <v>18.233575232038067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-1.5429577615577727E-13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376.97234030481559</v>
      </c>
      <c r="AO200" s="59">
        <f t="shared" si="205"/>
        <v>532.90758914457615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3.4519975993384002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3.4519975993384002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256.72534545771862</v>
      </c>
      <c r="BJ200" s="59">
        <f t="shared" si="206"/>
        <v>362.34519377447361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10.821076317048853</v>
      </c>
      <c r="BQ200" s="21">
        <f>EXP(-LN(2)/25)*BQ199+(1-EXP(-LN(2)/25))/(LN(2)/25)*Calculateur!BL200*Calculateur!BN200*VLOOKUP('Données projet'!$B$11,Paramètres!$A$1:$I$89,3,0)*0.475*44/12</f>
        <v>0.90994994612440905</v>
      </c>
      <c r="BR200" s="21">
        <f>EXP(-LN(2)/2)*BR199+(1-EXP(-LN(2)/2))/(LN(2)/2)*BL200*BO200*VLOOKUP('Données projet'!$B$11,Paramètres!$A$1:$I$89,3,0)*0.475*44/12</f>
        <v>5.1681449116529077E-20</v>
      </c>
      <c r="BS200" s="22">
        <f t="shared" si="169"/>
        <v>11.731026263173261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459.83870442974046</v>
      </c>
      <c r="T201" s="59">
        <f t="shared" si="204"/>
        <v>565.68976940602215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16.544109579853171</v>
      </c>
      <c r="AA201" s="21">
        <f>EXP(-LN(2)/25)*AA200+(1-EXP(-LN(2)/25))/(LN(2)/25)*Calculateur!V201*Calculateur!X201*VLOOKUP('Données projet'!$B$9,Paramètres!$A$1:$I$89,3,0)*0.475*44/12</f>
        <v>1.3214070260740025</v>
      </c>
      <c r="AB201" s="21">
        <f>EXP(-LN(2)/2)*AB200+(1-EXP(-LN(2)/2))/(LN(2)/2)*V201*Y201*VLOOKUP('Données projet'!$B$9,Paramètres!$A$1:$I$89,3,0)*0.475*44/12</f>
        <v>7.3164012722523971E-20</v>
      </c>
      <c r="AC201" s="22">
        <f t="shared" si="163"/>
        <v>17.865516605927173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-1.5429577615577727E-13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376.97234030481559</v>
      </c>
      <c r="AO201" s="59">
        <f t="shared" si="205"/>
        <v>532.90758914457615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3.3843060319260081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3.3843060319260081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256.72534545771862</v>
      </c>
      <c r="BJ201" s="59">
        <f t="shared" si="206"/>
        <v>362.34519377447361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10.608881610676361</v>
      </c>
      <c r="BQ201" s="21">
        <f>EXP(-LN(2)/25)*BQ200+(1-EXP(-LN(2)/25))/(LN(2)/25)*Calculateur!BL201*Calculateur!BN201*VLOOKUP('Données projet'!$B$11,Paramètres!$A$1:$I$89,3,0)*0.475*44/12</f>
        <v>0.88506731699544916</v>
      </c>
      <c r="BR201" s="21">
        <f>EXP(-LN(2)/2)*BR200+(1-EXP(-LN(2)/2))/(LN(2)/2)*BL201*BO201*VLOOKUP('Données projet'!$B$11,Paramètres!$A$1:$I$89,3,0)*0.475*44/12</f>
        <v>3.6544303131845215E-20</v>
      </c>
      <c r="BS201" s="22">
        <f t="shared" si="169"/>
        <v>11.493948927671811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459.83870442974046</v>
      </c>
      <c r="T202" s="59">
        <f t="shared" si="204"/>
        <v>565.68976940602215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16.2196896819027</v>
      </c>
      <c r="AA202" s="21">
        <f>EXP(-LN(2)/25)*AA201+(1-EXP(-LN(2)/25))/(LN(2)/25)*Calculateur!V202*Calculateur!X202*VLOOKUP('Données projet'!$B$9,Paramètres!$A$1:$I$89,3,0)*0.475*44/12</f>
        <v>1.2852730814562334</v>
      </c>
      <c r="AB202" s="21">
        <f>EXP(-LN(2)/2)*AB201+(1-EXP(-LN(2)/2))/(LN(2)/2)*V202*Y202*VLOOKUP('Données projet'!$B$9,Paramètres!$A$1:$I$89,3,0)*0.475*44/12</f>
        <v>5.1734769534915537E-20</v>
      </c>
      <c r="AC202" s="22">
        <f t="shared" si="163"/>
        <v>17.504962763358932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-1.5429577615577727E-13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376.97234030481559</v>
      </c>
      <c r="AO202" s="59">
        <f t="shared" si="205"/>
        <v>532.90758914457615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3.3179418548627937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3.3179418548627937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256.72534545771862</v>
      </c>
      <c r="BJ202" s="59">
        <f t="shared" si="206"/>
        <v>362.34519377447361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10.400847913069844</v>
      </c>
      <c r="BQ202" s="21">
        <f>EXP(-LN(2)/25)*BQ201+(1-EXP(-LN(2)/25))/(LN(2)/25)*Calculateur!BL202*Calculateur!BN202*VLOOKUP('Données projet'!$B$11,Paramètres!$A$1:$I$89,3,0)*0.475*44/12</f>
        <v>0.86086510466854127</v>
      </c>
      <c r="BR202" s="21">
        <f>EXP(-LN(2)/2)*BR201+(1-EXP(-LN(2)/2))/(LN(2)/2)*BL202*BO202*VLOOKUP('Données projet'!$B$11,Paramètres!$A$1:$I$89,3,0)*0.475*44/12</f>
        <v>2.5840724558264538E-20</v>
      </c>
      <c r="BS202" s="22">
        <f t="shared" si="169"/>
        <v>11.261713017738385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459.83870442974046</v>
      </c>
      <c r="T203" s="59">
        <f t="shared" si="204"/>
        <v>565.68976940602215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15.901631460274439</v>
      </c>
      <c r="AA203" s="21">
        <f>EXP(-LN(2)/25)*AA202+(1-EXP(-LN(2)/25))/(LN(2)/25)*Calculateur!V203*Calculateur!X203*VLOOKUP('Données projet'!$B$9,Paramètres!$A$1:$I$89,3,0)*0.475*44/12</f>
        <v>1.2501272214542389</v>
      </c>
      <c r="AB203" s="21">
        <f>EXP(-LN(2)/2)*AB202+(1-EXP(-LN(2)/2))/(LN(2)/2)*V203*Y203*VLOOKUP('Données projet'!$B$9,Paramètres!$A$1:$I$89,3,0)*0.475*44/12</f>
        <v>3.6582006361261985E-20</v>
      </c>
      <c r="AC203" s="22">
        <f t="shared" si="163"/>
        <v>17.15175868172868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-1.5429577615577727E-13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376.97234030481559</v>
      </c>
      <c r="AO203" s="59">
        <f t="shared" si="205"/>
        <v>532.90758914457615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3.2528790388336377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3.2528790388336377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256.72534545771862</v>
      </c>
      <c r="BJ203" s="59">
        <f t="shared" si="206"/>
        <v>362.34519377447361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10.196893629385364</v>
      </c>
      <c r="BQ203" s="21">
        <f>EXP(-LN(2)/25)*BQ202+(1-EXP(-LN(2)/25))/(LN(2)/25)*Calculateur!BL203*Calculateur!BN203*VLOOKUP('Données projet'!$B$11,Paramètres!$A$1:$I$89,3,0)*0.475*44/12</f>
        <v>0.83732470311045171</v>
      </c>
      <c r="BR203" s="21">
        <f>EXP(-LN(2)/2)*BR202+(1-EXP(-LN(2)/2))/(LN(2)/2)*BL203*BO203*VLOOKUP('Données projet'!$B$11,Paramètres!$A$1:$I$89,3,0)*0.475*44/12</f>
        <v>1.8272151565922608E-20</v>
      </c>
      <c r="BS203" s="22">
        <f t="shared" si="169"/>
        <v>11.034218332495817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1.3070441688874561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2.0243974584998852</v>
      </c>
      <c r="BA205" s="82">
        <f>EXP(LN('Données projet'!B88)/'Données projet'!A88)</f>
        <v>1.2997069632623315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3.5629769999999996</v>
      </c>
      <c r="C6" s="147">
        <f ca="1">IF(OR('Données projet'!B9="",'Données projet'!C9="",'Données projet'!C9=0%),0,Calculateur!S3)</f>
        <v>459.83870442974046</v>
      </c>
      <c r="D6" s="147">
        <f>IF(OR('Données projet'!B9="",'Données projet'!C9="",'Données projet'!C9=0%),0,Calculateur!T3)</f>
        <v>565.68976940602215</v>
      </c>
      <c r="E6" s="147">
        <f ca="1">MIN(C6,D6)</f>
        <v>459.83870442974046</v>
      </c>
      <c r="F6" s="147">
        <f ca="1">E6*B6</f>
        <v>1638.3947275929631</v>
      </c>
      <c r="G6" s="147">
        <f ca="1">F6*(100%-'Données projet'!$C$24)*(100%-'Données projet'!$C$25)*(100%-'Données projet'!$C$26)*(100%-'Données projet'!$C$27)</f>
        <v>1474.5552548336668</v>
      </c>
      <c r="H6" s="148">
        <f>IF(OR('Données projet'!B9="",'Données projet'!C9="",'Données projet'!C9=0%),0,AVERAGE(Calculateur!$AC$3:$AC$33)*B6)</f>
        <v>16.256713456660808</v>
      </c>
      <c r="I6" s="149">
        <f>H6*(100%-'Données projet'!$C$24)*(100%-'Données projet'!$C$25)*(100%-'Données projet'!$C$26)*(100%-'Données projet'!$C$27)</f>
        <v>14.631042110994727</v>
      </c>
      <c r="J6" s="150">
        <f>IF(OR('Données projet'!B9="",'Données projet'!C9="",'Données projet'!C9=0%),0,SUM(Calculateur!$V$3:$V$33)*VLOOKUP('Données projet'!$B$9,Paramètres!$A$1:$I$89,9,0)*B6)</f>
        <v>165.46465187999996</v>
      </c>
      <c r="K6" s="151">
        <f>J6*(100%-'Données projet'!$C$24)*(100%-'Données projet'!$C$25)*(100%-'Données projet'!$C$26)*(100%-'Données projet'!$C$27)</f>
        <v>148.91818669199998</v>
      </c>
      <c r="L6" s="152">
        <f ca="1">G6+I6+K6</f>
        <v>1638.1044836366616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Robinier faux-acacia</v>
      </c>
      <c r="B7" s="154">
        <f>'Données projet'!D10</f>
        <v>3.5629769999999996</v>
      </c>
      <c r="C7" s="147">
        <f ca="1">IF(OR('Données projet'!B10="",'Données projet'!C10="",'Données projet'!C10=0%),0,Calculateur!AN3)</f>
        <v>376.97234030481559</v>
      </c>
      <c r="D7" s="147">
        <f>IF(OR('Données projet'!B10="",'Données projet'!C10="",'Données projet'!C10=0%),0,Calculateur!AO3)</f>
        <v>532.90758914457615</v>
      </c>
      <c r="E7" s="147">
        <f t="shared" ref="E7:E15" ca="1" si="0">MIN(C7,D7)</f>
        <v>376.97234030481559</v>
      </c>
      <c r="F7" s="147">
        <f t="shared" ref="F7:F15" ca="1" si="1">E7*B7</f>
        <v>1343.1437781422308</v>
      </c>
      <c r="G7" s="147">
        <f ca="1">F7*(100%-'Données projet'!$C$24)*(100%-'Données projet'!$C$25)*(100%-'Données projet'!$C$26)*(100%-'Données projet'!$C$27)</f>
        <v>1208.8294003280078</v>
      </c>
      <c r="H7" s="155">
        <f>IF(OR('Données projet'!B10="",'Données projet'!C10="",'Données projet'!C10=0%),0,AVERAGE(Calculateur!$AX$3:$AX$33)*B7)</f>
        <v>1.0172831423776103</v>
      </c>
      <c r="I7" s="149">
        <f>H7*(100%-'Données projet'!$C$24)*(100%-'Données projet'!$C$25)*(100%-'Données projet'!$C$26)*(100%-'Données projet'!$C$27)</f>
        <v>0.91555482813984934</v>
      </c>
      <c r="J7" s="150">
        <f>IF(OR('Données projet'!B10="",'Données projet'!C10="",'Données projet'!C10=0%),0,SUM(Calculateur!$AQ$3:$AQ$33)*VLOOKUP('Données projet'!$B$10,Paramètres!$A$1:$I$89,9,0)*B7)</f>
        <v>86.402192249999985</v>
      </c>
      <c r="K7" s="151">
        <f>J7*(100%-'Données projet'!$C$24)*(100%-'Données projet'!$C$25)*(100%-'Données projet'!$C$26)*(100%-'Données projet'!$C$27)</f>
        <v>77.761973024999989</v>
      </c>
      <c r="L7" s="152">
        <f t="shared" ref="L7:L15" ca="1" si="2">G7+I7+K7</f>
        <v>1287.5069281811477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Mélèze d'Europe</v>
      </c>
      <c r="B8" s="154">
        <f>'Données projet'!D11</f>
        <v>3.5640459999999994</v>
      </c>
      <c r="C8" s="147">
        <f ca="1">IF(OR('Données projet'!B11="",'Données projet'!C11="",'Données projet'!C11=0%),0,Calculateur!BI3)</f>
        <v>256.72534545771862</v>
      </c>
      <c r="D8" s="147">
        <f>IF(OR('Données projet'!B11="",'Données projet'!C11="",'Données projet'!C11=0%),0,Calculateur!BJ3)</f>
        <v>362.34519377447361</v>
      </c>
      <c r="E8" s="147">
        <f t="shared" ca="1" si="0"/>
        <v>256.72534545771862</v>
      </c>
      <c r="F8" s="147">
        <f t="shared" ca="1" si="1"/>
        <v>914.98094057720004</v>
      </c>
      <c r="G8" s="147">
        <f ca="1">F8*(100%-'Données projet'!$C$24)*(100%-'Données projet'!$C$25)*(100%-'Données projet'!$C$26)*(100%-'Données projet'!$C$27)</f>
        <v>823.48284651948006</v>
      </c>
      <c r="H8" s="155">
        <f>IF(OR('Données projet'!B11="",'Données projet'!C11="",'Données projet'!C11=0%),0,AVERAGE(Calculateur!$BS$3:$BS$33)*B8)</f>
        <v>33.248621123850334</v>
      </c>
      <c r="I8" s="149">
        <f>H8*(100%-'Données projet'!$C$24)*(100%-'Données projet'!$C$25)*(100%-'Données projet'!$C$26)*(100%-'Données projet'!$C$27)</f>
        <v>29.9237590114653</v>
      </c>
      <c r="J8" s="150">
        <f>IF(OR('Données projet'!B11="",'Données projet'!C11="",'Données projet'!C11=0%),0,SUM(Calculateur!$BL$3:$BL$33)*VLOOKUP('Données projet'!$B$11,Paramètres!$A$1:$I$89,9,0)*B8)</f>
        <v>196.16509183999997</v>
      </c>
      <c r="K8" s="151">
        <f>J8*(100%-'Données projet'!$C$24)*(100%-'Données projet'!$C$25)*(100%-'Données projet'!$C$26)*(100%-'Données projet'!$C$27)</f>
        <v>176.54858265599998</v>
      </c>
      <c r="L8" s="152">
        <f t="shared" ca="1" si="2"/>
        <v>1029.9551881869454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3896.5194463123944</v>
      </c>
      <c r="G16" s="166">
        <f t="shared" ca="1" si="3"/>
        <v>3506.8675016811544</v>
      </c>
      <c r="H16" s="167">
        <f t="shared" si="3"/>
        <v>50.522617722888754</v>
      </c>
      <c r="I16" s="167">
        <f t="shared" si="3"/>
        <v>45.470355950599881</v>
      </c>
      <c r="J16" s="168">
        <f t="shared" si="3"/>
        <v>448.03193596999995</v>
      </c>
      <c r="K16" s="168">
        <f t="shared" si="3"/>
        <v>403.22874237299993</v>
      </c>
      <c r="L16" s="169">
        <f t="shared" ca="1" si="3"/>
        <v>3955.5666000047549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Robinier faux-acacia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Mélèze d'Europe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L33" sqref="L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3017.8895874779209</v>
      </c>
      <c r="U10" s="178">
        <f>'Données projet'!D9</f>
        <v>3.5629769999999996</v>
      </c>
      <c r="V10" s="177">
        <f>U10*T10</f>
        <v>10752.67118872332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Robinier faux-acacia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3216.4485534329524</v>
      </c>
      <c r="U11" s="178">
        <f>'Données projet'!D10</f>
        <v>3.5629769999999996</v>
      </c>
      <c r="V11" s="177">
        <f t="shared" ref="V11" si="0">U11*T11</f>
        <v>11460.132217564878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d'Europe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2181.7192392729612</v>
      </c>
      <c r="U12" s="178">
        <f>'Données projet'!D11</f>
        <v>3.5640459999999994</v>
      </c>
      <c r="V12" s="177">
        <f t="shared" ref="V12:V19" si="1">U12*T12</f>
        <v>7775.747727853839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74610/10.69</f>
        <v>6979.4200187090746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(((3450*7.12)+2670)/3)/10.69</f>
        <v>849.2048643592143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 t="shared" ref="I22:I23" si="2">((3450*7.12+2670)/3)/10.69</f>
        <v>849.2048643592143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19</v>
      </c>
      <c r="B23" s="181">
        <f>'Données projet'!D36</f>
        <v>0</v>
      </c>
      <c r="C23" s="193">
        <v>11.600000000000001</v>
      </c>
      <c r="D23" s="182">
        <f>B23*C23</f>
        <v>0</v>
      </c>
      <c r="E23" s="193"/>
      <c r="F23" s="230"/>
      <c r="H23" s="190">
        <v>5</v>
      </c>
      <c r="I23" s="191">
        <f t="shared" si="2"/>
        <v>849.2048643592143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-68548.201377314574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25</v>
      </c>
      <c r="B24" s="181">
        <f>'Données projet'!D37</f>
        <v>54</v>
      </c>
      <c r="C24" s="193">
        <v>11.600000000000001</v>
      </c>
      <c r="D24" s="182">
        <f t="shared" ref="D24:D42" si="3">B24*C24</f>
        <v>626.40000000000009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54</v>
      </c>
      <c r="C25" s="193">
        <v>11.600000000000001</v>
      </c>
      <c r="D25" s="182">
        <f t="shared" si="3"/>
        <v>626.40000000000009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-68548.201377314574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35</v>
      </c>
      <c r="B26" s="181">
        <f>'Données projet'!D39</f>
        <v>69</v>
      </c>
      <c r="C26" s="193">
        <v>17.600000000000001</v>
      </c>
      <c r="D26" s="182">
        <f t="shared" si="3"/>
        <v>1214.4000000000001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40</v>
      </c>
      <c r="B27" s="181">
        <f>'Données projet'!D40</f>
        <v>72</v>
      </c>
      <c r="C27" s="193">
        <v>23.2</v>
      </c>
      <c r="D27" s="182">
        <f t="shared" si="3"/>
        <v>1670.3999999999999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45</v>
      </c>
      <c r="B28" s="181">
        <f>'Données projet'!D41</f>
        <v>66</v>
      </c>
      <c r="C28" s="193">
        <v>25.8</v>
      </c>
      <c r="D28" s="182">
        <f t="shared" si="3"/>
        <v>1702.8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50</v>
      </c>
      <c r="B29" s="181">
        <f>'Données projet'!D42</f>
        <v>48</v>
      </c>
      <c r="C29" s="193">
        <v>25.8</v>
      </c>
      <c r="D29" s="182">
        <f t="shared" si="3"/>
        <v>1238.4000000000001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55</v>
      </c>
      <c r="B30" s="181">
        <f>'Données projet'!D43</f>
        <v>35</v>
      </c>
      <c r="C30" s="193">
        <v>28.8</v>
      </c>
      <c r="D30" s="182">
        <f t="shared" si="3"/>
        <v>1008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60</v>
      </c>
      <c r="B31" s="181">
        <f>'Données projet'!D44</f>
        <v>666</v>
      </c>
      <c r="C31" s="193">
        <v>34.4</v>
      </c>
      <c r="D31" s="182">
        <f t="shared" si="3"/>
        <v>22910.399999999998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3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3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3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3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3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3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3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3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3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3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3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Robinier faux-acacia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5</v>
      </c>
      <c r="B54" s="181">
        <f>'Données projet'!D62</f>
        <v>0</v>
      </c>
      <c r="C54" s="191">
        <v>8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10</v>
      </c>
      <c r="B55" s="181">
        <f>'Données projet'!D63</f>
        <v>0</v>
      </c>
      <c r="C55" s="191">
        <v>8</v>
      </c>
      <c r="D55" s="179">
        <f t="shared" ref="D55:D73" si="5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15</v>
      </c>
      <c r="B56" s="181">
        <f>'Données projet'!D64</f>
        <v>0</v>
      </c>
      <c r="C56" s="191">
        <v>13.7</v>
      </c>
      <c r="D56" s="179">
        <f t="shared" si="5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20</v>
      </c>
      <c r="B57" s="181">
        <f>'Données projet'!D65</f>
        <v>72</v>
      </c>
      <c r="C57" s="191">
        <v>25.1</v>
      </c>
      <c r="D57" s="179">
        <f t="shared" si="5"/>
        <v>1807.2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25</v>
      </c>
      <c r="B58" s="181">
        <f>'Données projet'!D66</f>
        <v>14</v>
      </c>
      <c r="C58" s="191">
        <v>36.5</v>
      </c>
      <c r="D58" s="179">
        <f t="shared" si="5"/>
        <v>511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30</v>
      </c>
      <c r="B59" s="181">
        <f>'Données projet'!D67</f>
        <v>11</v>
      </c>
      <c r="C59" s="191">
        <v>36.5</v>
      </c>
      <c r="D59" s="179">
        <f t="shared" si="5"/>
        <v>401.5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35</v>
      </c>
      <c r="B60" s="181">
        <f>'Données projet'!D68</f>
        <v>9</v>
      </c>
      <c r="C60" s="191">
        <v>36.5</v>
      </c>
      <c r="D60" s="179">
        <f t="shared" si="5"/>
        <v>328.5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40</v>
      </c>
      <c r="B61" s="181">
        <f>'Données projet'!D69</f>
        <v>7</v>
      </c>
      <c r="C61" s="191">
        <v>47.9</v>
      </c>
      <c r="D61" s="179">
        <f t="shared" si="5"/>
        <v>335.3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45</v>
      </c>
      <c r="B62" s="181">
        <f>'Données projet'!D70</f>
        <v>312</v>
      </c>
      <c r="C62" s="191">
        <v>47.9</v>
      </c>
      <c r="D62" s="179">
        <f t="shared" si="5"/>
        <v>14944.8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6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6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6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6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6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6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6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6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6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6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6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Mélèze d'Europe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6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6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6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6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6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6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6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6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6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18</v>
      </c>
      <c r="B85" s="181">
        <f>'Données projet'!D88</f>
        <v>20</v>
      </c>
      <c r="C85" s="191">
        <v>11.600000000000001</v>
      </c>
      <c r="D85" s="179">
        <f>B85*C85</f>
        <v>232.00000000000003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6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21</v>
      </c>
      <c r="B86" s="181">
        <f>'Données projet'!D89</f>
        <v>26</v>
      </c>
      <c r="C86" s="191">
        <v>11.600000000000001</v>
      </c>
      <c r="D86" s="179">
        <f t="shared" ref="D86:D104" si="7">B86*C86</f>
        <v>301.60000000000002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6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24</v>
      </c>
      <c r="B87" s="181">
        <f>'Données projet'!D90</f>
        <v>29</v>
      </c>
      <c r="C87" s="191">
        <v>11.600000000000001</v>
      </c>
      <c r="D87" s="179">
        <f t="shared" si="7"/>
        <v>336.40000000000003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6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30</v>
      </c>
      <c r="B88" s="181">
        <f>'Données projet'!D91</f>
        <v>53</v>
      </c>
      <c r="C88" s="191">
        <v>17.600000000000001</v>
      </c>
      <c r="D88" s="179">
        <f t="shared" si="7"/>
        <v>932.80000000000007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6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36</v>
      </c>
      <c r="B89" s="181">
        <f>'Données projet'!D92</f>
        <v>62</v>
      </c>
      <c r="C89" s="191">
        <v>23.2</v>
      </c>
      <c r="D89" s="179">
        <f t="shared" si="7"/>
        <v>1438.3999999999999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6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42</v>
      </c>
      <c r="B90" s="181">
        <f>'Données projet'!D93</f>
        <v>67</v>
      </c>
      <c r="C90" s="191">
        <v>28.8</v>
      </c>
      <c r="D90" s="179">
        <f t="shared" si="7"/>
        <v>1929.6000000000001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6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48</v>
      </c>
      <c r="B91" s="181">
        <f>'Données projet'!D94</f>
        <v>65</v>
      </c>
      <c r="C91" s="191">
        <v>31.4</v>
      </c>
      <c r="D91" s="179">
        <f t="shared" si="7"/>
        <v>2041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6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60</v>
      </c>
      <c r="B92" s="181">
        <f>'Données projet'!D95</f>
        <v>304</v>
      </c>
      <c r="C92" s="191">
        <v>34.4</v>
      </c>
      <c r="D92" s="179">
        <f t="shared" si="7"/>
        <v>10457.6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6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7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6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7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6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7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6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7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6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7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8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8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8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8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8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8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8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9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9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9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9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9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9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9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9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9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9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1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1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1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1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1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ALVES PEREIRA Carolina</cp:lastModifiedBy>
  <dcterms:created xsi:type="dcterms:W3CDTF">2021-02-01T08:22:39Z</dcterms:created>
  <dcterms:modified xsi:type="dcterms:W3CDTF">2024-12-05T12:53:07Z</dcterms:modified>
</cp:coreProperties>
</file>