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LACAUNE (81) - VALETTE Aimé\Dossier à déposer\"/>
    </mc:Choice>
  </mc:AlternateContent>
  <xr:revisionPtr revIDLastSave="0" documentId="13_ncr:1_{5B1B3E9A-1DF4-44AC-BD57-C05EC6617B08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58" i="2" a="1"/>
  <c r="BC58" i="2" s="1"/>
  <c r="BC47" i="2" a="1"/>
  <c r="BC47" i="2" s="1"/>
  <c r="BC114" i="2" a="1"/>
  <c r="BC114" i="2" s="1"/>
  <c r="BC65" i="2" a="1"/>
  <c r="BC65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192" i="2" a="1"/>
  <c r="BC192" i="2" s="1"/>
  <c r="BC164" i="2" a="1"/>
  <c r="BC164" i="2" s="1"/>
  <c r="BC32" i="2" a="1"/>
  <c r="BC32" i="2" s="1"/>
  <c r="BC7" i="2" a="1"/>
  <c r="BC7" i="2" s="1"/>
  <c r="BC83" i="2" a="1"/>
  <c r="BC83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66" i="2" a="1"/>
  <c r="AH166" i="2" s="1"/>
  <c r="BC31" i="2" a="1"/>
  <c r="BC31" i="2" s="1"/>
  <c r="BC117" i="2" a="1"/>
  <c r="BC117" i="2" s="1"/>
  <c r="BC181" i="2" a="1"/>
  <c r="BC181" i="2" s="1"/>
  <c r="BC130" i="2" a="1"/>
  <c r="BC130" i="2" s="1"/>
  <c r="BC126" i="2" a="1"/>
  <c r="BC126" i="2" s="1"/>
  <c r="BC38" i="2" a="1"/>
  <c r="BC38" i="2" s="1"/>
  <c r="BC82" i="2" a="1"/>
  <c r="BC82" i="2" s="1"/>
  <c r="BC151" i="2" a="1"/>
  <c r="BC151" i="2" s="1"/>
  <c r="BC68" i="2" a="1"/>
  <c r="BC68" i="2" s="1"/>
  <c r="BC185" i="2" a="1"/>
  <c r="BC185" i="2" s="1"/>
  <c r="BC143" i="2" a="1"/>
  <c r="BC143" i="2" s="1"/>
  <c r="BC34" i="2" a="1"/>
  <c r="BC34" i="2" s="1"/>
  <c r="BC84" i="2" a="1"/>
  <c r="BC84" i="2" s="1"/>
  <c r="AH151" i="2" a="1"/>
  <c r="AH151" i="2" s="1"/>
  <c r="AH199" i="2" a="1"/>
  <c r="AH199" i="2" s="1"/>
  <c r="AH163" i="2" a="1"/>
  <c r="AH163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<sst xmlns="http://schemas.openxmlformats.org/spreadsheetml/2006/main" count="1171" uniqueCount="324">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</sst>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353.42725333031763</c:v>
                </c:pt>
                <c:pt idx="47">
                  <c:v>375.61724038320648</c:v>
                </c:pt>
                <c:pt idx="48">
                  <c:v>397.77868431648454</c:v>
                </c:pt>
                <c:pt idx="49">
                  <c:v>419.91339784568589</c:v>
                </c:pt>
                <c:pt idx="50">
                  <c:v>442.02298709837555</c:v>
                </c:pt>
                <c:pt idx="51">
                  <c:v>397.04677419414202</c:v>
                </c:pt>
                <c:pt idx="52">
                  <c:v>419.46841203373424</c:v>
                </c:pt>
                <c:pt idx="53">
                  <c:v>441.86423995233059</c:v>
                </c:pt>
                <c:pt idx="54">
                  <c:v>464.2357490458092</c:v>
                </c:pt>
                <c:pt idx="55">
                  <c:v>486.58427507999835</c:v>
                </c:pt>
                <c:pt idx="56">
                  <c:v>508.9110212072971</c:v>
                </c:pt>
                <c:pt idx="57">
                  <c:v>531.21707649038069</c:v>
                </c:pt>
                <c:pt idx="58">
                  <c:v>553.50343115388478</c:v>
                </c:pt>
                <c:pt idx="59">
                  <c:v>475.80905293653558</c:v>
                </c:pt>
                <c:pt idx="60">
                  <c:v>496.87938425766248</c:v>
                </c:pt>
                <c:pt idx="61">
                  <c:v>517.93079633437981</c:v>
                </c:pt>
                <c:pt idx="62">
                  <c:v>538.96416569474195</c:v>
                </c:pt>
                <c:pt idx="63">
                  <c:v>559.98029493096897</c:v>
                </c:pt>
                <c:pt idx="64">
                  <c:v>580.97992153281746</c:v>
                </c:pt>
                <c:pt idx="65">
                  <c:v>601.96372537813886</c:v>
                </c:pt>
                <c:pt idx="66">
                  <c:v>622.932335125348</c:v>
                </c:pt>
                <c:pt idx="67">
                  <c:v>557.13698805350487</c:v>
                </c:pt>
                <c:pt idx="68">
                  <c:v>573.40296810840198</c:v>
                </c:pt>
                <c:pt idx="69">
                  <c:v>589.65931608140193</c:v>
                </c:pt>
                <c:pt idx="70">
                  <c:v>605.90633475563175</c:v>
                </c:pt>
                <c:pt idx="71">
                  <c:v>622.14430936278279</c:v>
                </c:pt>
                <c:pt idx="72">
                  <c:v>638.37350904146251</c:v>
                </c:pt>
                <c:pt idx="73">
                  <c:v>654.59418813963009</c:v>
                </c:pt>
                <c:pt idx="74">
                  <c:v>670.80658738130876</c:v>
                </c:pt>
                <c:pt idx="75">
                  <c:v>635.38042145276233</c:v>
                </c:pt>
                <c:pt idx="76">
                  <c:v>646.56363932443753</c:v>
                </c:pt>
                <c:pt idx="77">
                  <c:v>657.74286732996552</c:v>
                </c:pt>
                <c:pt idx="78">
                  <c:v>668.91818281738085</c:v>
                </c:pt>
                <c:pt idx="79">
                  <c:v>680.08966034049365</c:v>
                </c:pt>
                <c:pt idx="80">
                  <c:v>691.25737180503893</c:v>
                </c:pt>
                <c:pt idx="81">
                  <c:v>702.42138660489547</c:v>
                </c:pt>
                <c:pt idx="82">
                  <c:v>713.58177174919865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4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I11" sqref="I1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4.0999999999999996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35</v>
      </c>
      <c r="C9" s="35">
        <v>0.19</v>
      </c>
      <c r="D9" s="36">
        <f t="shared" ref="D9:D18" si="0">C9*$C$5</f>
        <v>0.77899999999999991</v>
      </c>
      <c r="E9" s="37">
        <v>82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18</v>
      </c>
      <c r="C10" s="35">
        <v>0.40500000000000003</v>
      </c>
      <c r="D10" s="36">
        <f t="shared" si="0"/>
        <v>1.6604999999999999</v>
      </c>
      <c r="E10" s="37">
        <v>60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164</v>
      </c>
      <c r="C11" s="35">
        <v>0.40500000000000003</v>
      </c>
      <c r="D11" s="36">
        <f t="shared" si="0"/>
        <v>1.6604999999999999</v>
      </c>
      <c r="E11" s="37">
        <v>100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4.0999999999999996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laricio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22</v>
      </c>
      <c r="B36" s="63">
        <v>123</v>
      </c>
      <c r="C36" s="63">
        <v>1</v>
      </c>
      <c r="D36" s="63">
        <v>16</v>
      </c>
      <c r="E36" s="54"/>
      <c r="F36" s="54"/>
      <c r="G36" s="54">
        <v>1</v>
      </c>
      <c r="H36" s="54"/>
      <c r="I36" s="52">
        <f>IFERROR(B36/A36,"")</f>
        <v>5.5909090909090908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144</v>
      </c>
      <c r="C37" s="63">
        <v>2</v>
      </c>
      <c r="D37" s="63">
        <v>17</v>
      </c>
      <c r="E37" s="54"/>
      <c r="F37" s="54"/>
      <c r="G37" s="54">
        <v>1</v>
      </c>
      <c r="H37" s="54"/>
      <c r="I37" s="56">
        <f t="shared" ref="I37:I55" si="1">IF(A37&lt;&gt;0,(B37-(B36-D36))/(A37-A36),"")</f>
        <v>12.333333333333334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194</v>
      </c>
      <c r="C38" s="63">
        <v>3</v>
      </c>
      <c r="D38" s="63">
        <v>34</v>
      </c>
      <c r="E38" s="54"/>
      <c r="F38" s="54">
        <v>0.5</v>
      </c>
      <c r="G38" s="54">
        <v>0.5</v>
      </c>
      <c r="H38" s="54"/>
      <c r="I38" s="56">
        <f t="shared" si="1"/>
        <v>13.4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233</v>
      </c>
      <c r="C39" s="63">
        <v>4</v>
      </c>
      <c r="D39" s="63">
        <v>41</v>
      </c>
      <c r="E39" s="54"/>
      <c r="F39" s="54"/>
      <c r="G39" s="54"/>
      <c r="H39" s="54"/>
      <c r="I39" s="52">
        <f t="shared" si="1"/>
        <v>14.6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264</v>
      </c>
      <c r="C40" s="63">
        <v>5</v>
      </c>
      <c r="D40" s="63">
        <v>41</v>
      </c>
      <c r="E40" s="54"/>
      <c r="F40" s="54"/>
      <c r="G40" s="54"/>
      <c r="H40" s="54"/>
      <c r="I40" s="52">
        <f t="shared" si="1"/>
        <v>14.4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306</v>
      </c>
      <c r="C41" s="63">
        <v>6</v>
      </c>
      <c r="D41" s="63">
        <v>53</v>
      </c>
      <c r="E41" s="54"/>
      <c r="F41" s="54"/>
      <c r="G41" s="54"/>
      <c r="H41" s="54"/>
      <c r="I41" s="56">
        <f t="shared" si="1"/>
        <v>16.600000000000001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340</v>
      </c>
      <c r="C42" s="63">
        <v>7</v>
      </c>
      <c r="D42" s="63">
        <v>53</v>
      </c>
      <c r="E42" s="54"/>
      <c r="F42" s="54"/>
      <c r="G42" s="54"/>
      <c r="H42" s="54"/>
      <c r="I42" s="56">
        <f t="shared" si="1"/>
        <v>17.399999999999999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58</v>
      </c>
      <c r="B43" s="63">
        <v>428</v>
      </c>
      <c r="C43" s="63">
        <v>8</v>
      </c>
      <c r="D43" s="63">
        <v>78</v>
      </c>
      <c r="E43" s="54"/>
      <c r="F43" s="54"/>
      <c r="G43" s="54"/>
      <c r="H43" s="54"/>
      <c r="I43" s="52">
        <f t="shared" si="1"/>
        <v>17.625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66</v>
      </c>
      <c r="B44" s="63">
        <v>483</v>
      </c>
      <c r="C44" s="63">
        <v>9</v>
      </c>
      <c r="D44" s="63">
        <v>65</v>
      </c>
      <c r="E44" s="54"/>
      <c r="F44" s="54"/>
      <c r="G44" s="54"/>
      <c r="H44" s="54"/>
      <c r="I44" s="52">
        <f t="shared" si="1"/>
        <v>16.625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74</v>
      </c>
      <c r="B45" s="63">
        <v>521</v>
      </c>
      <c r="C45" s="63">
        <v>10</v>
      </c>
      <c r="D45" s="63">
        <v>37</v>
      </c>
      <c r="E45" s="54"/>
      <c r="F45" s="54"/>
      <c r="G45" s="54"/>
      <c r="H45" s="54"/>
      <c r="I45" s="52">
        <f t="shared" si="1"/>
        <v>12.875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82</v>
      </c>
      <c r="B46" s="63">
        <v>555</v>
      </c>
      <c r="C46" s="63">
        <v>11</v>
      </c>
      <c r="D46" s="63">
        <v>555</v>
      </c>
      <c r="E46" s="54"/>
      <c r="F46" s="54"/>
      <c r="G46" s="54"/>
      <c r="H46" s="54"/>
      <c r="I46" s="52">
        <f t="shared" si="1"/>
        <v>8.875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Douglas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19</v>
      </c>
      <c r="B62" s="63">
        <v>162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8.526315789473685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335</v>
      </c>
      <c r="C63" s="63">
        <v>2</v>
      </c>
      <c r="D63" s="63">
        <v>54</v>
      </c>
      <c r="E63" s="54">
        <v>0.1</v>
      </c>
      <c r="F63" s="54">
        <v>0.4</v>
      </c>
      <c r="G63" s="54">
        <v>0.5</v>
      </c>
      <c r="H63" s="54">
        <v>0</v>
      </c>
      <c r="I63" s="52">
        <f>IF(A63&lt;&gt;0,(B63-(B62-D62))/(A63-A62),"")</f>
        <v>28.833333333333332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421</v>
      </c>
      <c r="C64" s="63">
        <v>3</v>
      </c>
      <c r="D64" s="63">
        <v>54</v>
      </c>
      <c r="E64" s="54">
        <v>0.4</v>
      </c>
      <c r="F64" s="54">
        <v>0.3</v>
      </c>
      <c r="G64" s="54">
        <v>0.3</v>
      </c>
      <c r="H64" s="54">
        <v>0</v>
      </c>
      <c r="I64" s="52">
        <f>IF(A64&lt;&gt;0,(B64-(B63-D63))/(A64-A63),"")</f>
        <v>28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505</v>
      </c>
      <c r="C65" s="63">
        <v>4</v>
      </c>
      <c r="D65" s="63">
        <v>69</v>
      </c>
      <c r="E65" s="54"/>
      <c r="F65" s="54"/>
      <c r="G65" s="54"/>
      <c r="H65" s="54"/>
      <c r="I65" s="52">
        <f>IF(A65&lt;&gt;0,(B65-(B64-D64))/(A65-A64),"")</f>
        <v>27.6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564</v>
      </c>
      <c r="C66" s="63">
        <v>5</v>
      </c>
      <c r="D66" s="63">
        <v>72</v>
      </c>
      <c r="E66" s="54"/>
      <c r="F66" s="54"/>
      <c r="G66" s="54"/>
      <c r="H66" s="54"/>
      <c r="I66" s="52">
        <f t="shared" ref="I66:I81" si="2">IF(A66&lt;&gt;0,(B66-(B65-D65))/(A66-A65),"")</f>
        <v>25.6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606</v>
      </c>
      <c r="C67" s="63">
        <v>6</v>
      </c>
      <c r="D67" s="63">
        <v>66</v>
      </c>
      <c r="E67" s="54"/>
      <c r="F67" s="54"/>
      <c r="G67" s="54"/>
      <c r="H67" s="54"/>
      <c r="I67" s="52">
        <f t="shared" si="2"/>
        <v>22.8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629</v>
      </c>
      <c r="C68" s="63">
        <v>7</v>
      </c>
      <c r="D68" s="63">
        <v>48</v>
      </c>
      <c r="E68" s="54"/>
      <c r="F68" s="54"/>
      <c r="G68" s="54"/>
      <c r="H68" s="54"/>
      <c r="I68" s="52">
        <f t="shared" si="2"/>
        <v>17.8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650</v>
      </c>
      <c r="C69" s="53">
        <v>8</v>
      </c>
      <c r="D69" s="53">
        <v>35</v>
      </c>
      <c r="E69" s="54"/>
      <c r="F69" s="54"/>
      <c r="G69" s="54"/>
      <c r="H69" s="54"/>
      <c r="I69" s="52">
        <f t="shared" si="2"/>
        <v>13.8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666</v>
      </c>
      <c r="C70" s="53">
        <v>9</v>
      </c>
      <c r="D70" s="53">
        <v>666</v>
      </c>
      <c r="E70" s="54"/>
      <c r="F70" s="54"/>
      <c r="G70" s="54"/>
      <c r="H70" s="54"/>
      <c r="I70" s="52">
        <f t="shared" si="2"/>
        <v>10.199999999999999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Cèdre de l'Atlas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158</v>
      </c>
      <c r="C88" s="63">
        <v>1</v>
      </c>
      <c r="D88" s="63">
        <v>0</v>
      </c>
      <c r="E88" s="54"/>
      <c r="F88" s="54"/>
      <c r="G88" s="54"/>
      <c r="H88" s="93"/>
      <c r="I88" s="56">
        <f>IFERROR(B88/A88,"")</f>
        <v>7.9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250</v>
      </c>
      <c r="C89" s="63">
        <v>2</v>
      </c>
      <c r="D89" s="63">
        <v>0</v>
      </c>
      <c r="E89" s="54"/>
      <c r="F89" s="54"/>
      <c r="G89" s="54"/>
      <c r="H89" s="93"/>
      <c r="I89" s="56">
        <f t="shared" ref="I89:I107" si="3">IF(A89&lt;&gt;0,(B89-(B88-D88))/(A89-A88),"")</f>
        <v>9.1999999999999993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40</v>
      </c>
      <c r="B90" s="63">
        <v>350</v>
      </c>
      <c r="C90" s="63">
        <v>3</v>
      </c>
      <c r="D90" s="63">
        <v>88</v>
      </c>
      <c r="E90" s="93"/>
      <c r="F90" s="93"/>
      <c r="G90" s="93"/>
      <c r="H90" s="93"/>
      <c r="I90" s="56">
        <f t="shared" si="3"/>
        <v>10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50</v>
      </c>
      <c r="B91" s="63">
        <v>377</v>
      </c>
      <c r="C91" s="63">
        <v>4</v>
      </c>
      <c r="D91" s="63">
        <v>0</v>
      </c>
      <c r="E91" s="93"/>
      <c r="F91" s="93"/>
      <c r="G91" s="93"/>
      <c r="H91" s="93"/>
      <c r="I91" s="56">
        <f t="shared" si="3"/>
        <v>11.5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60</v>
      </c>
      <c r="B92" s="63">
        <v>512</v>
      </c>
      <c r="C92" s="63">
        <v>5</v>
      </c>
      <c r="D92" s="63">
        <v>102</v>
      </c>
      <c r="E92" s="93"/>
      <c r="F92" s="93"/>
      <c r="G92" s="93"/>
      <c r="H92" s="93"/>
      <c r="I92" s="56">
        <f t="shared" si="3"/>
        <v>13.5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70</v>
      </c>
      <c r="B93" s="63">
        <v>565</v>
      </c>
      <c r="C93" s="63">
        <v>6</v>
      </c>
      <c r="D93" s="63">
        <v>113</v>
      </c>
      <c r="E93" s="93"/>
      <c r="F93" s="93"/>
      <c r="G93" s="93"/>
      <c r="H93" s="93"/>
      <c r="I93" s="56">
        <f t="shared" si="3"/>
        <v>15.5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80</v>
      </c>
      <c r="B94" s="63">
        <v>622</v>
      </c>
      <c r="C94" s="63">
        <v>7</v>
      </c>
      <c r="D94" s="63">
        <v>124</v>
      </c>
      <c r="E94" s="93"/>
      <c r="F94" s="93"/>
      <c r="G94" s="93"/>
      <c r="H94" s="93"/>
      <c r="I94" s="56">
        <f t="shared" si="3"/>
        <v>17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90</v>
      </c>
      <c r="B95" s="63">
        <v>673</v>
      </c>
      <c r="C95" s="63">
        <v>8</v>
      </c>
      <c r="D95" s="63">
        <v>135</v>
      </c>
      <c r="E95" s="93"/>
      <c r="F95" s="93"/>
      <c r="G95" s="93"/>
      <c r="H95" s="93"/>
      <c r="I95" s="56">
        <f t="shared" si="3"/>
        <v>17.5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100</v>
      </c>
      <c r="B96" s="63">
        <v>723</v>
      </c>
      <c r="C96" s="63">
        <v>9</v>
      </c>
      <c r="D96" s="63">
        <v>723</v>
      </c>
      <c r="E96" s="93"/>
      <c r="F96" s="93"/>
      <c r="G96" s="93"/>
      <c r="H96" s="93"/>
      <c r="I96" s="56">
        <f t="shared" si="3"/>
        <v>18.5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4" sqref="G2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laricio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Douglas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Cèdre de l'Atlas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287.69656598881124</v>
      </c>
      <c r="T3" s="62">
        <f>IF('Données projet'!E9&gt;30,$R$33-$H$33,LOOKUP('Données projet'!$E$9,$A$3:$A$203,R3:R203)-LOOKUP('Données projet'!$E$9,$A$3:$A$203,$H$3:$H$203))</f>
        <v>221.9773436301067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382.55387448074327</v>
      </c>
      <c r="AO3" s="62">
        <f>IF('Données projet'!E10&gt;30,$AM$33-$H$33,LOOKUP('Données projet'!$E$10,$A$3:$A$203,AM3:AM203)-LOOKUP('Données projet'!$E$10,$A$3:$A$203,$H$3:$H$203))</f>
        <v>476.29465646955543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310.95287409903602</v>
      </c>
      <c r="BJ3" s="62">
        <f>IF('Données projet'!E11&gt;30,$BH$33-$H$33,LOOKUP('Données projet'!$E$11,$A$3:$A$203,BH3:BH203)-LOOKUP('Données projet'!$E$11,$A$3:$A$203,$H$3:$H$203))</f>
        <v>224.10083380795163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5.5909090909090908</v>
      </c>
      <c r="N4" s="14">
        <f>IF('Données projet'!$A$36&gt;35,N3+M4-V3,IF(A4&lt;'Données projet'!$A$36,$K$205^A4,IF(A4='Données projet'!$A$36,'Données projet'!$B$36,N3+M4-V3)))</f>
        <v>1.244502252163008</v>
      </c>
      <c r="O4" s="14">
        <f>N4*VLOOKUP('Données projet'!$B$9,Paramètres!$A$1:$I$89,3,0)*VLOOKUP('Données projet'!$B$9,Paramètres!$A$1:$I$89,5,0)</f>
        <v>0.74421234679347892</v>
      </c>
      <c r="P4" s="14">
        <f>EXP(-1.0587+0.8836*LN(O4)+0.284)</f>
        <v>0.3549632728022305</v>
      </c>
      <c r="Q4" s="22">
        <f t="shared" ref="Q4:Q34" si="2">(O4+P4)*0.475*44/12</f>
        <v>1.9143975374625271</v>
      </c>
      <c r="R4" s="62">
        <f t="shared" si="0"/>
        <v>295.24773087079586</v>
      </c>
      <c r="S4" s="62">
        <f ca="1">AVERAGE(OFFSET($R$3,0,0,'Données projet'!$E$9+1,1))-AVERAGE(OFFSET($H$3,0,0,'Données projet'!$E$9+1,1))</f>
        <v>287.69656598881124</v>
      </c>
      <c r="T4" s="62">
        <f>$T$3</f>
        <v>221.9773436301067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8.526315789473685</v>
      </c>
      <c r="AI4" s="14">
        <f>IF('Données projet'!$A$62&gt;35,AI3+AH4-AQ3,IF(A4&lt;'Données projet'!$A$62,$AF$205^A4,IF(A4='Données projet'!$A$62,'Données projet'!$B$62,AI3+AH4-AQ3)))</f>
        <v>1.3070441688874561</v>
      </c>
      <c r="AJ4" s="14">
        <f>AI4*VLOOKUP('Données projet'!$B$10,Paramètres!$A$1:$I$89,3,0)*VLOOKUP('Données projet'!$B$10,Paramètres!$A$1:$I$89,5,0)</f>
        <v>0.73063769040808801</v>
      </c>
      <c r="AK4" s="14">
        <f>EXP(-1.0587+0.8836*LN(AJ4)+0.284)</f>
        <v>0.34923616900555043</v>
      </c>
      <c r="AL4" s="22">
        <f t="shared" ref="AL4:AL67" si="4">(AJ4+AK4)*0.475*44/12</f>
        <v>1.8807803051454206</v>
      </c>
      <c r="AM4" s="62">
        <f t="shared" ref="AM4:AM67" si="5">AL4+(AD4+AE4)*44/12</f>
        <v>295.21411363847875</v>
      </c>
      <c r="AN4" s="62">
        <f ca="1">AVERAGE(OFFSET($AM$3,0,0,'Données projet'!$E$10+1,1))-AVERAGE(OFFSET($H$3,0,0,'Données projet'!$E$10+1,1))</f>
        <v>382.55387448074327</v>
      </c>
      <c r="AO4" s="62">
        <f>$AO$3</f>
        <v>476.29465646955543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7.9</v>
      </c>
      <c r="BD4" s="13">
        <f>IF('Données projet'!$A$88&gt;35,BD3+BC4-BL3,IF(A4&lt;'Données projet'!$A$88,$BA$205^A4,IF(A4='Données projet'!$A$88,'Données projet'!$B$88,BD3+BC4-BL3)))</f>
        <v>1.2880503926580862</v>
      </c>
      <c r="BE4" s="14">
        <f>BD4*VLOOKUP('Données projet'!$B$11,Paramètres!$A$1:$I$89,3,0)*VLOOKUP('Données projet'!$B$11,Paramètres!$A$1:$I$89,5,0)</f>
        <v>0.60280758376398436</v>
      </c>
      <c r="BF4" s="14">
        <f>EXP(-1.0587+0.8836*LN(BE4)+0.284)</f>
        <v>0.29465781953181042</v>
      </c>
      <c r="BG4" s="22">
        <f t="shared" ref="BG4:BG67" si="7">(BE4+BF4)*0.475*44/12</f>
        <v>1.5630855774068424</v>
      </c>
      <c r="BH4" s="62">
        <f t="shared" ref="BH4:BH67" si="8">BG4+(AY4+AZ4)*44/12</f>
        <v>294.89641891074018</v>
      </c>
      <c r="BI4" s="62">
        <f ca="1">AVERAGE(OFFSET($BH$3,0,0,'Données projet'!$E$11+1,1))-AVERAGE(OFFSET($H$3,0,0,'Données projet'!$E$11+1,1))</f>
        <v>310.95287409903602</v>
      </c>
      <c r="BJ4" s="62">
        <f>$BJ$3</f>
        <v>224.10083380795163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5.5909090909090908</v>
      </c>
      <c r="N5" s="14">
        <f>IF('Données projet'!$A$36&gt;35,N4+M5-V4,IF(A5&lt;'Données projet'!$A$36,$K$205^A5,IF(A5='Données projet'!$A$36,'Données projet'!$B$36,N4+M5-V4)))</f>
        <v>1.5487858556387992</v>
      </c>
      <c r="O5" s="14">
        <f>N5*VLOOKUP('Données projet'!$B$9,Paramètres!$A$1:$I$89,3,0)*VLOOKUP('Données projet'!$B$9,Paramètres!$A$1:$I$89,5,0)</f>
        <v>0.92617394167200195</v>
      </c>
      <c r="P5" s="14">
        <f t="shared" ref="P5:P68" si="33">EXP(-1.0587+0.8836*LN(O5)+0.284)</f>
        <v>0.43064718121421069</v>
      </c>
      <c r="Q5" s="22">
        <f t="shared" si="2"/>
        <v>2.3631301223601535</v>
      </c>
      <c r="R5" s="62">
        <f t="shared" si="0"/>
        <v>295.69646345569345</v>
      </c>
      <c r="S5" s="62">
        <f ca="1">AVERAGE(OFFSET($R$3,0,0,'Données projet'!$E$9+1,1))-AVERAGE(OFFSET($H$3,0,0,'Données projet'!$E$9+1,1))</f>
        <v>287.69656598881124</v>
      </c>
      <c r="T5" s="62">
        <f t="shared" ref="T5:T68" si="34">$T$3</f>
        <v>221.9773436301067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8.526315789473685</v>
      </c>
      <c r="AI5" s="14">
        <f>IF('Données projet'!$A$62&gt;35,AI4+AH5-AQ4,IF(A5&lt;'Données projet'!$A$62,$AF$205^A5,IF(A5='Données projet'!$A$62,'Données projet'!$B$62,AI4+AH5-AQ4)))</f>
        <v>1.708364459422701</v>
      </c>
      <c r="AJ5" s="14">
        <f>AI5*VLOOKUP('Données projet'!$B$10,Paramètres!$A$1:$I$89,3,0)*VLOOKUP('Données projet'!$B$10,Paramètres!$A$1:$I$89,5,0)</f>
        <v>0.95497573281728976</v>
      </c>
      <c r="AK5" s="14">
        <f t="shared" ref="AK5:AK68" si="35">EXP(-1.0587+0.8836*LN(AJ5)+0.284)</f>
        <v>0.44245926414263009</v>
      </c>
      <c r="AL5" s="22">
        <f t="shared" si="4"/>
        <v>2.4338659530385267</v>
      </c>
      <c r="AM5" s="62">
        <f t="shared" si="5"/>
        <v>295.76719928637186</v>
      </c>
      <c r="AN5" s="62">
        <f ca="1">AVERAGE(OFFSET($AM$3,0,0,'Données projet'!$E$10+1,1))-AVERAGE(OFFSET($H$3,0,0,'Données projet'!$E$10+1,1))</f>
        <v>382.55387448074327</v>
      </c>
      <c r="AO5" s="62">
        <f t="shared" ref="AO5:AO68" si="36">$AO$3</f>
        <v>476.29465646955543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7.9</v>
      </c>
      <c r="BD5" s="13">
        <f>IF('Données projet'!$A$88&gt;35,BD4+BC5-BL4,IF(A5&lt;'Données projet'!$A$88,$BA$205^A5,IF(A5='Données projet'!$A$88,'Données projet'!$B$88,BD4+BC5-BL4)))</f>
        <v>1.6590738140266501</v>
      </c>
      <c r="BE5" s="14">
        <f>BD5*VLOOKUP('Données projet'!$B$11,Paramètres!$A$1:$I$89,3,0)*VLOOKUP('Données projet'!$B$11,Paramètres!$A$1:$I$89,5,0)</f>
        <v>0.77644654496447219</v>
      </c>
      <c r="BF5" s="14">
        <f t="shared" ref="BF5:BF68" si="37">EXP(-1.0587+0.8836*LN(BE5)+0.284)</f>
        <v>0.36851455096495994</v>
      </c>
      <c r="BG5" s="22">
        <f t="shared" si="7"/>
        <v>1.9941405754104276</v>
      </c>
      <c r="BH5" s="62">
        <f t="shared" si="8"/>
        <v>295.32747390874374</v>
      </c>
      <c r="BI5" s="62">
        <f ca="1">AVERAGE(OFFSET($BH$3,0,0,'Données projet'!$E$11+1,1))-AVERAGE(OFFSET($H$3,0,0,'Données projet'!$E$11+1,1))</f>
        <v>310.95287409903602</v>
      </c>
      <c r="BJ5" s="62">
        <f t="shared" ref="BJ5:BJ68" si="38">$BJ$3</f>
        <v>224.10083380795163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5.5909090909090908</v>
      </c>
      <c r="N6" s="14">
        <f>IF('Données projet'!$A$36&gt;35,N5+M6-V5,IF(A6&lt;'Données projet'!$A$36,$K$205^A6,IF(A6='Données projet'!$A$36,'Données projet'!$B$36,N5+M6-V5)))</f>
        <v>1.927467485460697</v>
      </c>
      <c r="O6" s="14">
        <f>N6*VLOOKUP('Données projet'!$B$9,Paramètres!$A$1:$I$89,3,0)*VLOOKUP('Données projet'!$B$9,Paramètres!$A$1:$I$89,5,0)</f>
        <v>1.152625556305497</v>
      </c>
      <c r="P6" s="14">
        <f t="shared" si="33"/>
        <v>0.52246812247269758</v>
      </c>
      <c r="Q6" s="22">
        <f t="shared" si="2"/>
        <v>2.9174548238720219</v>
      </c>
      <c r="R6" s="62">
        <f t="shared" si="0"/>
        <v>296.25078815720536</v>
      </c>
      <c r="S6" s="62">
        <f ca="1">AVERAGE(OFFSET($R$3,0,0,'Données projet'!$E$9+1,1))-AVERAGE(OFFSET($H$3,0,0,'Données projet'!$E$9+1,1))</f>
        <v>287.69656598881124</v>
      </c>
      <c r="T6" s="62">
        <f t="shared" si="34"/>
        <v>221.9773436301067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8.526315789473685</v>
      </c>
      <c r="AI6" s="14">
        <f>IF('Données projet'!$A$62&gt;35,AI5+AH6-AQ5,IF(A6&lt;'Données projet'!$A$62,$AF$205^A6,IF(A6='Données projet'!$A$62,'Données projet'!$B$62,AI5+AH6-AQ5)))</f>
        <v>2.2329078050230127</v>
      </c>
      <c r="AJ6" s="14">
        <f>AI6*VLOOKUP('Données projet'!$B$10,Paramètres!$A$1:$I$89,3,0)*VLOOKUP('Données projet'!$B$10,Paramètres!$A$1:$I$89,5,0)</f>
        <v>1.248195463007864</v>
      </c>
      <c r="AK6" s="14">
        <f t="shared" si="35"/>
        <v>0.56056679634040518</v>
      </c>
      <c r="AL6" s="22">
        <f t="shared" si="4"/>
        <v>3.1502609350315693</v>
      </c>
      <c r="AM6" s="62">
        <f t="shared" si="5"/>
        <v>296.48359426836487</v>
      </c>
      <c r="AN6" s="62">
        <f ca="1">AVERAGE(OFFSET($AM$3,0,0,'Données projet'!$E$10+1,1))-AVERAGE(OFFSET($H$3,0,0,'Données projet'!$E$10+1,1))</f>
        <v>382.55387448074327</v>
      </c>
      <c r="AO6" s="62">
        <f t="shared" si="36"/>
        <v>476.29465646955543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7.9</v>
      </c>
      <c r="BD6" s="13">
        <f>IF('Données projet'!$A$88&gt;35,BD5+BC6-BL5,IF(A6&lt;'Données projet'!$A$88,$BA$205^A6,IF(A6='Données projet'!$A$88,'Données projet'!$B$88,BD5+BC6-BL5)))</f>
        <v>2.1369706776057753</v>
      </c>
      <c r="BE6" s="14">
        <f>BD6*VLOOKUP('Données projet'!$B$11,Paramètres!$A$1:$I$89,3,0)*VLOOKUP('Données projet'!$B$11,Paramètres!$A$1:$I$89,5,0)</f>
        <v>1.0001022771195029</v>
      </c>
      <c r="BF6" s="14">
        <f t="shared" si="37"/>
        <v>0.46088365986243646</v>
      </c>
      <c r="BG6" s="22">
        <f t="shared" si="7"/>
        <v>2.5445505069102112</v>
      </c>
      <c r="BH6" s="62">
        <f t="shared" si="8"/>
        <v>295.8778838402435</v>
      </c>
      <c r="BI6" s="62">
        <f ca="1">AVERAGE(OFFSET($BH$3,0,0,'Données projet'!$E$11+1,1))-AVERAGE(OFFSET($H$3,0,0,'Données projet'!$E$11+1,1))</f>
        <v>310.95287409903602</v>
      </c>
      <c r="BJ6" s="62">
        <f t="shared" si="38"/>
        <v>224.10083380795163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5.5909090909090908</v>
      </c>
      <c r="N7" s="14">
        <f>IF('Données projet'!$A$36&gt;35,N6+M7-V6,IF(A7&lt;'Données projet'!$A$36,$K$205^A7,IF(A7='Données projet'!$A$36,'Données projet'!$B$36,N6+M7-V6)))</f>
        <v>2.3987376266268075</v>
      </c>
      <c r="O7" s="14">
        <f>N7*VLOOKUP('Données projet'!$B$9,Paramètres!$A$1:$I$89,3,0)*VLOOKUP('Données projet'!$B$9,Paramètres!$A$1:$I$89,5,0)</f>
        <v>1.4344451007228309</v>
      </c>
      <c r="P7" s="14">
        <f t="shared" si="33"/>
        <v>0.63386677286612625</v>
      </c>
      <c r="Q7" s="22">
        <f t="shared" si="2"/>
        <v>3.6023098465007668</v>
      </c>
      <c r="R7" s="62">
        <f t="shared" si="0"/>
        <v>296.93564317983407</v>
      </c>
      <c r="S7" s="62">
        <f ca="1">AVERAGE(OFFSET($R$3,0,0,'Données projet'!$E$9+1,1))-AVERAGE(OFFSET($H$3,0,0,'Données projet'!$E$9+1,1))</f>
        <v>287.69656598881124</v>
      </c>
      <c r="T7" s="62">
        <f t="shared" si="34"/>
        <v>221.9773436301067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8.526315789473685</v>
      </c>
      <c r="AI7" s="14">
        <f>IF('Données projet'!$A$62&gt;35,AI6+AH7-AQ6,IF(A7&lt;'Données projet'!$A$62,$AF$205^A7,IF(A7='Données projet'!$A$62,'Données projet'!$B$62,AI6+AH7-AQ6)))</f>
        <v>2.9185091262186176</v>
      </c>
      <c r="AJ7" s="14">
        <f>AI7*VLOOKUP('Données projet'!$B$10,Paramètres!$A$1:$I$89,3,0)*VLOOKUP('Données projet'!$B$10,Paramètres!$A$1:$I$89,5,0)</f>
        <v>1.6314466015562072</v>
      </c>
      <c r="AK7" s="14">
        <f t="shared" si="35"/>
        <v>0.71020127416305878</v>
      </c>
      <c r="AL7" s="22">
        <f t="shared" si="4"/>
        <v>4.0783700502110554</v>
      </c>
      <c r="AM7" s="62">
        <f t="shared" si="5"/>
        <v>297.41170338354436</v>
      </c>
      <c r="AN7" s="62">
        <f ca="1">AVERAGE(OFFSET($AM$3,0,0,'Données projet'!$E$10+1,1))-AVERAGE(OFFSET($H$3,0,0,'Données projet'!$E$10+1,1))</f>
        <v>382.55387448074327</v>
      </c>
      <c r="AO7" s="62">
        <f t="shared" si="36"/>
        <v>476.29465646955543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7.9</v>
      </c>
      <c r="BD7" s="13">
        <f>IF('Données projet'!$A$88&gt;35,BD6+BC7-BL6,IF(A7&lt;'Données projet'!$A$88,$BA$205^A7,IF(A7='Données projet'!$A$88,'Données projet'!$B$88,BD6+BC7-BL6)))</f>
        <v>2.7525259203889356</v>
      </c>
      <c r="BE7" s="14">
        <f>BD7*VLOOKUP('Données projet'!$B$11,Paramètres!$A$1:$I$89,3,0)*VLOOKUP('Données projet'!$B$11,Paramètres!$A$1:$I$89,5,0)</f>
        <v>1.2881821307420218</v>
      </c>
      <c r="BF7" s="14">
        <f t="shared" si="37"/>
        <v>0.57640532069082717</v>
      </c>
      <c r="BG7" s="22">
        <f t="shared" si="7"/>
        <v>3.2474898112455457</v>
      </c>
      <c r="BH7" s="62">
        <f t="shared" si="8"/>
        <v>296.58082314457886</v>
      </c>
      <c r="BI7" s="62">
        <f ca="1">AVERAGE(OFFSET($BH$3,0,0,'Données projet'!$E$11+1,1))-AVERAGE(OFFSET($H$3,0,0,'Données projet'!$E$11+1,1))</f>
        <v>310.95287409903602</v>
      </c>
      <c r="BJ7" s="62">
        <f t="shared" si="38"/>
        <v>224.10083380795163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5.5909090909090908</v>
      </c>
      <c r="N8" s="14">
        <f>IF('Données projet'!$A$36&gt;35,N7+M8-V7,IF(A8&lt;'Données projet'!$A$36,$K$205^A8,IF(A8='Données projet'!$A$36,'Données projet'!$B$36,N7+M8-V7)))</f>
        <v>2.9852343786852105</v>
      </c>
      <c r="O8" s="14">
        <f>N8*VLOOKUP('Données projet'!$B$9,Paramètres!$A$1:$I$89,3,0)*VLOOKUP('Données projet'!$B$9,Paramètres!$A$1:$I$89,5,0)</f>
        <v>1.785170158453756</v>
      </c>
      <c r="P8" s="14">
        <f t="shared" si="33"/>
        <v>0.7690174164926461</v>
      </c>
      <c r="Q8" s="22">
        <f t="shared" si="2"/>
        <v>4.4485433596983173</v>
      </c>
      <c r="R8" s="62">
        <f t="shared" si="0"/>
        <v>297.78187669303162</v>
      </c>
      <c r="S8" s="62">
        <f ca="1">AVERAGE(OFFSET($R$3,0,0,'Données projet'!$E$9+1,1))-AVERAGE(OFFSET($H$3,0,0,'Données projet'!$E$9+1,1))</f>
        <v>287.69656598881124</v>
      </c>
      <c r="T8" s="62">
        <f t="shared" si="34"/>
        <v>221.9773436301067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8.526315789473685</v>
      </c>
      <c r="AI8" s="14">
        <f>IF('Données projet'!$A$62&gt;35,AI7+AH8-AQ7,IF(A8&lt;'Données projet'!$A$62,$AF$205^A8,IF(A8='Données projet'!$A$62,'Données projet'!$B$62,AI7+AH8-AQ7)))</f>
        <v>3.8146203352688688</v>
      </c>
      <c r="AJ8" s="14">
        <f>AI8*VLOOKUP('Données projet'!$B$10,Paramètres!$A$1:$I$89,3,0)*VLOOKUP('Données projet'!$B$10,Paramètres!$A$1:$I$89,5,0)</f>
        <v>2.1323727674152977</v>
      </c>
      <c r="AK8" s="14">
        <f t="shared" si="35"/>
        <v>0.89977831922200224</v>
      </c>
      <c r="AL8" s="22">
        <f t="shared" si="4"/>
        <v>5.2809964758932972</v>
      </c>
      <c r="AM8" s="62">
        <f t="shared" si="5"/>
        <v>298.6143298092266</v>
      </c>
      <c r="AN8" s="62">
        <f ca="1">AVERAGE(OFFSET($AM$3,0,0,'Données projet'!$E$10+1,1))-AVERAGE(OFFSET($H$3,0,0,'Données projet'!$E$10+1,1))</f>
        <v>382.55387448074327</v>
      </c>
      <c r="AO8" s="62">
        <f t="shared" si="36"/>
        <v>476.29465646955543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7.9</v>
      </c>
      <c r="BD8" s="13">
        <f>IF('Données projet'!$A$88&gt;35,BD7+BC8-BL7,IF(A8&lt;'Données projet'!$A$88,$BA$205^A8,IF(A8='Données projet'!$A$88,'Données projet'!$B$88,BD7+BC8-BL7)))</f>
        <v>3.5453920925585285</v>
      </c>
      <c r="BE8" s="14">
        <f>BD8*VLOOKUP('Données projet'!$B$11,Paramètres!$A$1:$I$89,3,0)*VLOOKUP('Données projet'!$B$11,Paramètres!$A$1:$I$89,5,0)</f>
        <v>1.6592434993173915</v>
      </c>
      <c r="BF8" s="14">
        <f t="shared" si="37"/>
        <v>0.72088277944126433</v>
      </c>
      <c r="BG8" s="22">
        <f t="shared" si="7"/>
        <v>4.1453866021713255</v>
      </c>
      <c r="BH8" s="62">
        <f t="shared" si="8"/>
        <v>297.47871993550461</v>
      </c>
      <c r="BI8" s="62">
        <f ca="1">AVERAGE(OFFSET($BH$3,0,0,'Données projet'!$E$11+1,1))-AVERAGE(OFFSET($H$3,0,0,'Données projet'!$E$11+1,1))</f>
        <v>310.95287409903602</v>
      </c>
      <c r="BJ8" s="62">
        <f t="shared" si="38"/>
        <v>224.10083380795163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5.5909090909090908</v>
      </c>
      <c r="N9" s="14">
        <f>IF('Données projet'!$A$36&gt;35,N8+M9-V8,IF(A9&lt;'Données projet'!$A$36,$K$205^A9,IF(A9='Données projet'!$A$36,'Données projet'!$B$36,N8+M9-V8)))</f>
        <v>3.7151309075081826</v>
      </c>
      <c r="O9" s="14">
        <f>N9*VLOOKUP('Données projet'!$B$9,Paramètres!$A$1:$I$89,3,0)*VLOOKUP('Données projet'!$B$9,Paramètres!$A$1:$I$89,5,0)</f>
        <v>2.2216482826898933</v>
      </c>
      <c r="P9" s="14">
        <f t="shared" si="33"/>
        <v>0.93298436230530435</v>
      </c>
      <c r="Q9" s="22">
        <f t="shared" si="2"/>
        <v>5.4943185233666361</v>
      </c>
      <c r="R9" s="62">
        <f t="shared" si="0"/>
        <v>298.82765185669996</v>
      </c>
      <c r="S9" s="62">
        <f ca="1">AVERAGE(OFFSET($R$3,0,0,'Données projet'!$E$9+1,1))-AVERAGE(OFFSET($H$3,0,0,'Données projet'!$E$9+1,1))</f>
        <v>287.69656598881124</v>
      </c>
      <c r="T9" s="62">
        <f t="shared" si="34"/>
        <v>221.9773436301067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8.526315789473685</v>
      </c>
      <c r="AI9" s="14">
        <f>IF('Données projet'!$A$62&gt;35,AI8+AH9-AQ8,IF(A9&lt;'Données projet'!$A$62,$AF$205^A9,IF(A9='Données projet'!$A$62,'Données projet'!$B$62,AI8+AH9-AQ8)))</f>
        <v>4.9858772657326877</v>
      </c>
      <c r="AJ9" s="14">
        <f>AI9*VLOOKUP('Données projet'!$B$10,Paramètres!$A$1:$I$89,3,0)*VLOOKUP('Données projet'!$B$10,Paramètres!$A$1:$I$89,5,0)</f>
        <v>2.7871053915445723</v>
      </c>
      <c r="AK9" s="14">
        <f t="shared" si="35"/>
        <v>1.1399599707787778</v>
      </c>
      <c r="AL9" s="22">
        <f t="shared" si="4"/>
        <v>6.839638839379834</v>
      </c>
      <c r="AM9" s="62">
        <f t="shared" si="5"/>
        <v>300.17297217271317</v>
      </c>
      <c r="AN9" s="62">
        <f ca="1">AVERAGE(OFFSET($AM$3,0,0,'Données projet'!$E$10+1,1))-AVERAGE(OFFSET($H$3,0,0,'Données projet'!$E$10+1,1))</f>
        <v>382.55387448074327</v>
      </c>
      <c r="AO9" s="62">
        <f t="shared" si="36"/>
        <v>476.29465646955543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7.9</v>
      </c>
      <c r="BD9" s="13">
        <f>IF('Données projet'!$A$88&gt;35,BD8+BC9-BL8,IF(A9&lt;'Données projet'!$A$88,$BA$205^A9,IF(A9='Données projet'!$A$88,'Données projet'!$B$88,BD8+BC9-BL8)))</f>
        <v>4.566643676946887</v>
      </c>
      <c r="BE9" s="14">
        <f>BD9*VLOOKUP('Données projet'!$B$11,Paramètres!$A$1:$I$89,3,0)*VLOOKUP('Données projet'!$B$11,Paramètres!$A$1:$I$89,5,0)</f>
        <v>2.1371892408111433</v>
      </c>
      <c r="BF9" s="14">
        <f t="shared" si="37"/>
        <v>0.9015738804633705</v>
      </c>
      <c r="BG9" s="22">
        <f t="shared" si="7"/>
        <v>5.292512436219778</v>
      </c>
      <c r="BH9" s="62">
        <f t="shared" si="8"/>
        <v>298.62584576955311</v>
      </c>
      <c r="BI9" s="62">
        <f ca="1">AVERAGE(OFFSET($BH$3,0,0,'Données projet'!$E$11+1,1))-AVERAGE(OFFSET($H$3,0,0,'Données projet'!$E$11+1,1))</f>
        <v>310.95287409903602</v>
      </c>
      <c r="BJ9" s="62">
        <f t="shared" si="38"/>
        <v>224.10083380795163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5.5909090909090908</v>
      </c>
      <c r="N10" s="14">
        <f>IF('Données projet'!$A$36&gt;35,N9+M10-V9,IF(A10&lt;'Données projet'!$A$36,$K$205^A10,IF(A10='Données projet'!$A$36,'Données projet'!$B$36,N9+M10-V9)))</f>
        <v>4.6234887814743333</v>
      </c>
      <c r="O10" s="14">
        <f>N10*VLOOKUP('Données projet'!$B$9,Paramètres!$A$1:$I$89,3,0)*VLOOKUP('Données projet'!$B$9,Paramètres!$A$1:$I$89,5,0)</f>
        <v>2.7648462913216516</v>
      </c>
      <c r="P10" s="14">
        <f t="shared" si="33"/>
        <v>1.1319117118000401</v>
      </c>
      <c r="Q10" s="22">
        <f t="shared" si="2"/>
        <v>6.7868535221036126</v>
      </c>
      <c r="R10" s="62">
        <f t="shared" si="0"/>
        <v>300.12018685543694</v>
      </c>
      <c r="S10" s="62">
        <f ca="1">AVERAGE(OFFSET($R$3,0,0,'Données projet'!$E$9+1,1))-AVERAGE(OFFSET($H$3,0,0,'Données projet'!$E$9+1,1))</f>
        <v>287.69656598881124</v>
      </c>
      <c r="T10" s="62">
        <f t="shared" si="34"/>
        <v>221.9773436301067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8.526315789473685</v>
      </c>
      <c r="AI10" s="14">
        <f>IF('Données projet'!$A$62&gt;35,AI9+AH10-AQ9,IF(A10&lt;'Données projet'!$A$62,$AF$205^A10,IF(A10='Données projet'!$A$62,'Données projet'!$B$62,AI9+AH10-AQ9)))</f>
        <v>6.5167618069644444</v>
      </c>
      <c r="AJ10" s="14">
        <f>AI10*VLOOKUP('Données projet'!$B$10,Paramètres!$A$1:$I$89,3,0)*VLOOKUP('Données projet'!$B$10,Paramètres!$A$1:$I$89,5,0)</f>
        <v>3.6428698500931249</v>
      </c>
      <c r="AK10" s="14">
        <f t="shared" si="35"/>
        <v>1.4442543315575544</v>
      </c>
      <c r="AL10" s="22">
        <f t="shared" si="4"/>
        <v>8.8600746163749324</v>
      </c>
      <c r="AM10" s="62">
        <f t="shared" si="5"/>
        <v>302.19340794970827</v>
      </c>
      <c r="AN10" s="62">
        <f ca="1">AVERAGE(OFFSET($AM$3,0,0,'Données projet'!$E$10+1,1))-AVERAGE(OFFSET($H$3,0,0,'Données projet'!$E$10+1,1))</f>
        <v>382.55387448074327</v>
      </c>
      <c r="AO10" s="62">
        <f t="shared" si="36"/>
        <v>476.29465646955543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7.9</v>
      </c>
      <c r="BD10" s="13">
        <f>IF('Données projet'!$A$88&gt;35,BD9+BC10-BL9,IF(A10&lt;'Données projet'!$A$88,$BA$205^A10,IF(A10='Données projet'!$A$88,'Données projet'!$B$88,BD9+BC10-BL9)))</f>
        <v>5.8820671812210037</v>
      </c>
      <c r="BE10" s="14">
        <f>BD10*VLOOKUP('Données projet'!$B$11,Paramètres!$A$1:$I$89,3,0)*VLOOKUP('Données projet'!$B$11,Paramètres!$A$1:$I$89,5,0)</f>
        <v>2.7528074408114294</v>
      </c>
      <c r="BF10" s="14">
        <f t="shared" si="37"/>
        <v>1.1275556652411438</v>
      </c>
      <c r="BG10" s="22">
        <f t="shared" si="7"/>
        <v>6.7582990763748976</v>
      </c>
      <c r="BH10" s="62">
        <f t="shared" si="8"/>
        <v>300.09163240970821</v>
      </c>
      <c r="BI10" s="62">
        <f ca="1">AVERAGE(OFFSET($BH$3,0,0,'Données projet'!$E$11+1,1))-AVERAGE(OFFSET($H$3,0,0,'Données projet'!$E$11+1,1))</f>
        <v>310.95287409903602</v>
      </c>
      <c r="BJ10" s="62">
        <f t="shared" si="38"/>
        <v>224.10083380795163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5.5909090909090908</v>
      </c>
      <c r="N11" s="14">
        <f>IF('Données projet'!$A$36&gt;35,N10+M11-V10,IF(A11&lt;'Données projet'!$A$36,$K$205^A11,IF(A11='Données projet'!$A$36,'Données projet'!$B$36,N10+M11-V10)))</f>
        <v>5.7539422013952093</v>
      </c>
      <c r="O11" s="14">
        <f>N11*VLOOKUP('Données projet'!$B$9,Paramètres!$A$1:$I$89,3,0)*VLOOKUP('Données projet'!$B$9,Paramètres!$A$1:$I$89,5,0)</f>
        <v>3.4408574364343356</v>
      </c>
      <c r="P11" s="14">
        <f t="shared" si="33"/>
        <v>1.3732535882427113</v>
      </c>
      <c r="Q11" s="22">
        <f t="shared" si="2"/>
        <v>8.3845767013125236</v>
      </c>
      <c r="R11" s="62">
        <f t="shared" si="0"/>
        <v>301.71791003464585</v>
      </c>
      <c r="S11" s="62">
        <f ca="1">AVERAGE(OFFSET($R$3,0,0,'Données projet'!$E$9+1,1))-AVERAGE(OFFSET($H$3,0,0,'Données projet'!$E$9+1,1))</f>
        <v>287.69656598881124</v>
      </c>
      <c r="T11" s="62">
        <f t="shared" si="34"/>
        <v>221.9773436301067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8.526315789473685</v>
      </c>
      <c r="AI11" s="14">
        <f>IF('Données projet'!$A$62&gt;35,AI10+AH11-AQ10,IF(A11&lt;'Données projet'!$A$62,$AF$205^A11,IF(A11='Données projet'!$A$62,'Données projet'!$B$62,AI10+AH11-AQ10)))</f>
        <v>8.5176955198213591</v>
      </c>
      <c r="AJ11" s="14">
        <f>AI11*VLOOKUP('Données projet'!$B$10,Paramètres!$A$1:$I$89,3,0)*VLOOKUP('Données projet'!$B$10,Paramètres!$A$1:$I$89,5,0)</f>
        <v>4.7613917955801393</v>
      </c>
      <c r="AK11" s="14">
        <f t="shared" si="35"/>
        <v>1.8297752795633417</v>
      </c>
      <c r="AL11" s="22">
        <f t="shared" si="4"/>
        <v>11.479615989208229</v>
      </c>
      <c r="AM11" s="62">
        <f t="shared" si="5"/>
        <v>304.81294932254156</v>
      </c>
      <c r="AN11" s="62">
        <f ca="1">AVERAGE(OFFSET($AM$3,0,0,'Données projet'!$E$10+1,1))-AVERAGE(OFFSET($H$3,0,0,'Données projet'!$E$10+1,1))</f>
        <v>382.55387448074327</v>
      </c>
      <c r="AO11" s="62">
        <f t="shared" si="36"/>
        <v>476.29465646955543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7.9</v>
      </c>
      <c r="BD11" s="13">
        <f>IF('Données projet'!$A$88&gt;35,BD10+BC11-BL10,IF(A11&lt;'Données projet'!$A$88,$BA$205^A11,IF(A11='Données projet'!$A$88,'Données projet'!$B$88,BD10+BC11-BL10)))</f>
        <v>7.5763989424129567</v>
      </c>
      <c r="BE11" s="14">
        <f>BD11*VLOOKUP('Données projet'!$B$11,Paramètres!$A$1:$I$89,3,0)*VLOOKUP('Données projet'!$B$11,Paramètres!$A$1:$I$89,5,0)</f>
        <v>3.5457547050492639</v>
      </c>
      <c r="BF11" s="14">
        <f t="shared" si="37"/>
        <v>1.4101803587787649</v>
      </c>
      <c r="BG11" s="22">
        <f t="shared" si="7"/>
        <v>8.631586902833817</v>
      </c>
      <c r="BH11" s="62">
        <f t="shared" si="8"/>
        <v>301.96492023616713</v>
      </c>
      <c r="BI11" s="62">
        <f ca="1">AVERAGE(OFFSET($BH$3,0,0,'Données projet'!$E$11+1,1))-AVERAGE(OFFSET($H$3,0,0,'Données projet'!$E$11+1,1))</f>
        <v>310.95287409903602</v>
      </c>
      <c r="BJ11" s="62">
        <f t="shared" si="38"/>
        <v>224.10083380795163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5.5909090909090908</v>
      </c>
      <c r="N12" s="14">
        <f>IF('Données projet'!$A$36&gt;35,N11+M12-V11,IF(A12&lt;'Données projet'!$A$36,$K$205^A12,IF(A12='Données projet'!$A$36,'Données projet'!$B$36,N11+M12-V11)))</f>
        <v>7.1607940284521145</v>
      </c>
      <c r="O12" s="14">
        <f>N12*VLOOKUP('Données projet'!$B$9,Paramètres!$A$1:$I$89,3,0)*VLOOKUP('Données projet'!$B$9,Paramètres!$A$1:$I$89,5,0)</f>
        <v>4.2821548290143649</v>
      </c>
      <c r="P12" s="14">
        <f t="shared" si="33"/>
        <v>1.6660534544894132</v>
      </c>
      <c r="Q12" s="22">
        <f t="shared" si="2"/>
        <v>10.359796093769079</v>
      </c>
      <c r="R12" s="62">
        <f t="shared" si="0"/>
        <v>303.69312942710241</v>
      </c>
      <c r="S12" s="62">
        <f ca="1">AVERAGE(OFFSET($R$3,0,0,'Données projet'!$E$9+1,1))-AVERAGE(OFFSET($H$3,0,0,'Données projet'!$E$9+1,1))</f>
        <v>287.69656598881124</v>
      </c>
      <c r="T12" s="62">
        <f t="shared" si="34"/>
        <v>221.9773436301067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8.526315789473685</v>
      </c>
      <c r="AI12" s="14">
        <f>IF('Données projet'!$A$62&gt;35,AI11+AH12-AQ11,IF(A12&lt;'Données projet'!$A$62,$AF$205^A12,IF(A12='Données projet'!$A$62,'Données projet'!$B$62,AI11+AH12-AQ11)))</f>
        <v>11.133004261541316</v>
      </c>
      <c r="AJ12" s="14">
        <f>AI12*VLOOKUP('Données projet'!$B$10,Paramètres!$A$1:$I$89,3,0)*VLOOKUP('Données projet'!$B$10,Paramètres!$A$1:$I$89,5,0)</f>
        <v>6.2233493822015964</v>
      </c>
      <c r="AK12" s="14">
        <f t="shared" si="35"/>
        <v>2.3182049730052579</v>
      </c>
      <c r="AL12" s="22">
        <f t="shared" si="4"/>
        <v>14.87654050198527</v>
      </c>
      <c r="AM12" s="62">
        <f t="shared" si="5"/>
        <v>308.2098738353186</v>
      </c>
      <c r="AN12" s="62">
        <f ca="1">AVERAGE(OFFSET($AM$3,0,0,'Données projet'!$E$10+1,1))-AVERAGE(OFFSET($H$3,0,0,'Données projet'!$E$10+1,1))</f>
        <v>382.55387448074327</v>
      </c>
      <c r="AO12" s="62">
        <f t="shared" si="36"/>
        <v>476.29465646955543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7.9</v>
      </c>
      <c r="BD12" s="13">
        <f>IF('Données projet'!$A$88&gt;35,BD11+BC12-BL11,IF(A12&lt;'Données projet'!$A$88,$BA$205^A12,IF(A12='Données projet'!$A$88,'Données projet'!$B$88,BD11+BC12-BL11)))</f>
        <v>9.7587836327093171</v>
      </c>
      <c r="BE12" s="14">
        <f>BD12*VLOOKUP('Données projet'!$B$11,Paramètres!$A$1:$I$89,3,0)*VLOOKUP('Données projet'!$B$11,Paramètres!$A$1:$I$89,5,0)</f>
        <v>4.5671107401079603</v>
      </c>
      <c r="BF12" s="14">
        <f t="shared" si="37"/>
        <v>1.763645650133036</v>
      </c>
      <c r="BG12" s="22">
        <f t="shared" si="7"/>
        <v>11.026067379669733</v>
      </c>
      <c r="BH12" s="62">
        <f t="shared" si="8"/>
        <v>304.35940071300303</v>
      </c>
      <c r="BI12" s="62">
        <f ca="1">AVERAGE(OFFSET($BH$3,0,0,'Données projet'!$E$11+1,1))-AVERAGE(OFFSET($H$3,0,0,'Données projet'!$E$11+1,1))</f>
        <v>310.95287409903602</v>
      </c>
      <c r="BJ12" s="62">
        <f t="shared" si="38"/>
        <v>224.10083380795163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5.5909090909090908</v>
      </c>
      <c r="N13" s="14">
        <f>IF('Données projet'!$A$36&gt;35,N12+M13-V12,IF(A13&lt;'Données projet'!$A$36,$K$205^A13,IF(A13='Données projet'!$A$36,'Données projet'!$B$36,N12+M13-V12)))</f>
        <v>8.9116242956840761</v>
      </c>
      <c r="O13" s="14">
        <f>N13*VLOOKUP('Données projet'!$B$9,Paramètres!$A$1:$I$89,3,0)*VLOOKUP('Données projet'!$B$9,Paramètres!$A$1:$I$89,5,0)</f>
        <v>5.3291513288190782</v>
      </c>
      <c r="P13" s="14">
        <f t="shared" si="33"/>
        <v>2.0212829858817885</v>
      </c>
      <c r="Q13" s="22">
        <f t="shared" si="2"/>
        <v>12.802006431437341</v>
      </c>
      <c r="R13" s="62">
        <f t="shared" si="0"/>
        <v>306.13533976477066</v>
      </c>
      <c r="S13" s="62">
        <f ca="1">AVERAGE(OFFSET($R$3,0,0,'Données projet'!$E$9+1,1))-AVERAGE(OFFSET($H$3,0,0,'Données projet'!$E$9+1,1))</f>
        <v>287.69656598881124</v>
      </c>
      <c r="T13" s="62">
        <f t="shared" si="34"/>
        <v>221.9773436301067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8.526315789473685</v>
      </c>
      <c r="AI13" s="14">
        <f>IF('Données projet'!$A$62&gt;35,AI12+AH13-AQ12,IF(A13&lt;'Données projet'!$A$62,$AF$205^A13,IF(A13='Données projet'!$A$62,'Données projet'!$B$62,AI12+AH13-AQ12)))</f>
        <v>14.551328302246779</v>
      </c>
      <c r="AJ13" s="14">
        <f>AI13*VLOOKUP('Données projet'!$B$10,Paramètres!$A$1:$I$89,3,0)*VLOOKUP('Données projet'!$B$10,Paramètres!$A$1:$I$89,5,0)</f>
        <v>8.1341925209559491</v>
      </c>
      <c r="AK13" s="14">
        <f t="shared" si="35"/>
        <v>2.9370132807503975</v>
      </c>
      <c r="AL13" s="22">
        <f t="shared" si="4"/>
        <v>19.282350104638549</v>
      </c>
      <c r="AM13" s="62">
        <f t="shared" si="5"/>
        <v>312.61568343797188</v>
      </c>
      <c r="AN13" s="62">
        <f ca="1">AVERAGE(OFFSET($AM$3,0,0,'Données projet'!$E$10+1,1))-AVERAGE(OFFSET($H$3,0,0,'Données projet'!$E$10+1,1))</f>
        <v>382.55387448074327</v>
      </c>
      <c r="AO13" s="62">
        <f t="shared" si="36"/>
        <v>476.29465646955543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7.9</v>
      </c>
      <c r="BD13" s="13">
        <f>IF('Données projet'!$A$88&gt;35,BD12+BC13-BL12,IF(A13&lt;'Données projet'!$A$88,$BA$205^A13,IF(A13='Données projet'!$A$88,'Données projet'!$B$88,BD12+BC13-BL12)))</f>
        <v>12.569805089976542</v>
      </c>
      <c r="BE13" s="14">
        <f>BD13*VLOOKUP('Données projet'!$B$11,Paramètres!$A$1:$I$89,3,0)*VLOOKUP('Données projet'!$B$11,Paramètres!$A$1:$I$89,5,0)</f>
        <v>5.8826687821090227</v>
      </c>
      <c r="BF13" s="14">
        <f t="shared" si="37"/>
        <v>2.2057079152108381</v>
      </c>
      <c r="BG13" s="22">
        <f t="shared" si="7"/>
        <v>14.087256081165423</v>
      </c>
      <c r="BH13" s="62">
        <f t="shared" si="8"/>
        <v>307.42058941449875</v>
      </c>
      <c r="BI13" s="62">
        <f ca="1">AVERAGE(OFFSET($BH$3,0,0,'Données projet'!$E$11+1,1))-AVERAGE(OFFSET($H$3,0,0,'Données projet'!$E$11+1,1))</f>
        <v>310.95287409903602</v>
      </c>
      <c r="BJ13" s="62">
        <f t="shared" si="38"/>
        <v>224.10083380795163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5.5909090909090908</v>
      </c>
      <c r="N14" s="14">
        <f>IF('Données projet'!$A$36&gt;35,N13+M14-V13,IF(A14&lt;'Données projet'!$A$36,$K$205^A14,IF(A14='Données projet'!$A$36,'Données projet'!$B$36,N13+M14-V13)))</f>
        <v>11.090536506409412</v>
      </c>
      <c r="O14" s="14">
        <f>N14*VLOOKUP('Données projet'!$B$9,Paramètres!$A$1:$I$89,3,0)*VLOOKUP('Données projet'!$B$9,Paramètres!$A$1:$I$89,5,0)</f>
        <v>6.6321408308328289</v>
      </c>
      <c r="P14" s="14">
        <f t="shared" si="33"/>
        <v>2.4522531963221348</v>
      </c>
      <c r="Q14" s="22">
        <f t="shared" si="2"/>
        <v>15.821986263961561</v>
      </c>
      <c r="R14" s="62">
        <f t="shared" si="0"/>
        <v>309.15531959729486</v>
      </c>
      <c r="S14" s="62">
        <f ca="1">AVERAGE(OFFSET($R$3,0,0,'Données projet'!$E$9+1,1))-AVERAGE(OFFSET($H$3,0,0,'Données projet'!$E$9+1,1))</f>
        <v>287.69656598881124</v>
      </c>
      <c r="T14" s="62">
        <f t="shared" si="34"/>
        <v>221.9773436301067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8.526315789473685</v>
      </c>
      <c r="AI14" s="14">
        <f>IF('Données projet'!$A$62&gt;35,AI13+AH14-AQ13,IF(A14&lt;'Données projet'!$A$62,$AF$205^A14,IF(A14='Données projet'!$A$62,'Données projet'!$B$62,AI13+AH14-AQ13)))</f>
        <v>19.01922880701866</v>
      </c>
      <c r="AJ14" s="14">
        <f>AI14*VLOOKUP('Données projet'!$B$10,Paramètres!$A$1:$I$89,3,0)*VLOOKUP('Données projet'!$B$10,Paramètres!$A$1:$I$89,5,0)</f>
        <v>10.631748903123432</v>
      </c>
      <c r="AK14" s="14">
        <f t="shared" si="35"/>
        <v>3.7210027205323613</v>
      </c>
      <c r="AL14" s="22">
        <f t="shared" si="4"/>
        <v>24.997709077867171</v>
      </c>
      <c r="AM14" s="62">
        <f t="shared" si="5"/>
        <v>318.33104241120049</v>
      </c>
      <c r="AN14" s="62">
        <f ca="1">AVERAGE(OFFSET($AM$3,0,0,'Données projet'!$E$10+1,1))-AVERAGE(OFFSET($H$3,0,0,'Données projet'!$E$10+1,1))</f>
        <v>382.55387448074327</v>
      </c>
      <c r="AO14" s="62">
        <f t="shared" si="36"/>
        <v>476.29465646955543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7.9</v>
      </c>
      <c r="BD14" s="13">
        <f>IF('Données projet'!$A$88&gt;35,BD13+BC14-BL13,IF(A14&lt;'Données projet'!$A$88,$BA$205^A14,IF(A14='Données projet'!$A$88,'Données projet'!$B$88,BD13+BC14-BL13)))</f>
        <v>16.190542381779895</v>
      </c>
      <c r="BE14" s="14">
        <f>BD14*VLOOKUP('Données projet'!$B$11,Paramètres!$A$1:$I$89,3,0)*VLOOKUP('Données projet'!$B$11,Paramètres!$A$1:$I$89,5,0)</f>
        <v>7.5771738346729904</v>
      </c>
      <c r="BF14" s="14">
        <f t="shared" si="37"/>
        <v>2.7585742106736397</v>
      </c>
      <c r="BG14" s="22">
        <f t="shared" si="7"/>
        <v>18.001427845645381</v>
      </c>
      <c r="BH14" s="62">
        <f t="shared" si="8"/>
        <v>311.33476117897868</v>
      </c>
      <c r="BI14" s="62">
        <f ca="1">AVERAGE(OFFSET($BH$3,0,0,'Données projet'!$E$11+1,1))-AVERAGE(OFFSET($H$3,0,0,'Données projet'!$E$11+1,1))</f>
        <v>310.95287409903602</v>
      </c>
      <c r="BJ14" s="62">
        <f t="shared" si="38"/>
        <v>224.10083380795163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5.5909090909090908</v>
      </c>
      <c r="N15" s="14">
        <f>IF('Données projet'!$A$36&gt;35,N14+M15-V14,IF(A15&lt;'Données projet'!$A$36,$K$205^A15,IF(A15='Données projet'!$A$36,'Données projet'!$B$36,N14+M15-V14)))</f>
        <v>13.802197659922571</v>
      </c>
      <c r="O15" s="14">
        <f>N15*VLOOKUP('Données projet'!$B$9,Paramètres!$A$1:$I$89,3,0)*VLOOKUP('Données projet'!$B$9,Paramètres!$A$1:$I$89,5,0)</f>
        <v>8.2537142006336985</v>
      </c>
      <c r="P15" s="14">
        <f t="shared" si="33"/>
        <v>2.9751132230743558</v>
      </c>
      <c r="Q15" s="22">
        <f t="shared" si="2"/>
        <v>19.556874429624859</v>
      </c>
      <c r="R15" s="62">
        <f t="shared" si="0"/>
        <v>312.8902077629582</v>
      </c>
      <c r="S15" s="62">
        <f ca="1">AVERAGE(OFFSET($R$3,0,0,'Données projet'!$E$9+1,1))-AVERAGE(OFFSET($H$3,0,0,'Données projet'!$E$9+1,1))</f>
        <v>287.69656598881124</v>
      </c>
      <c r="T15" s="62">
        <f t="shared" si="34"/>
        <v>221.9773436301067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8.526315789473685</v>
      </c>
      <c r="AI15" s="14">
        <f>IF('Données projet'!$A$62&gt;35,AI14+AH15-AQ14,IF(A15&lt;'Données projet'!$A$62,$AF$205^A15,IF(A15='Données projet'!$A$62,'Données projet'!$B$62,AI14+AH15-AQ14)))</f>
        <v>24.85897210895007</v>
      </c>
      <c r="AJ15" s="14">
        <f>AI15*VLOOKUP('Données projet'!$B$10,Paramètres!$A$1:$I$89,3,0)*VLOOKUP('Données projet'!$B$10,Paramètres!$A$1:$I$89,5,0)</f>
        <v>13.896165408903089</v>
      </c>
      <c r="AK15" s="14">
        <f t="shared" si="35"/>
        <v>4.7142657940830492</v>
      </c>
      <c r="AL15" s="22">
        <f t="shared" si="4"/>
        <v>32.413167678534187</v>
      </c>
      <c r="AM15" s="62">
        <f t="shared" si="5"/>
        <v>325.74650101186751</v>
      </c>
      <c r="AN15" s="62">
        <f ca="1">AVERAGE(OFFSET($AM$3,0,0,'Données projet'!$E$10+1,1))-AVERAGE(OFFSET($H$3,0,0,'Données projet'!$E$10+1,1))</f>
        <v>382.55387448074327</v>
      </c>
      <c r="AO15" s="62">
        <f t="shared" si="36"/>
        <v>476.29465646955543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7.9</v>
      </c>
      <c r="BD15" s="13">
        <f>IF('Données projet'!$A$88&gt;35,BD14+BC15-BL14,IF(A15&lt;'Données projet'!$A$88,$BA$205^A15,IF(A15='Données projet'!$A$88,'Données projet'!$B$88,BD14+BC15-BL14)))</f>
        <v>20.854234472198982</v>
      </c>
      <c r="BE15" s="14">
        <f>BD15*VLOOKUP('Données projet'!$B$11,Paramètres!$A$1:$I$89,3,0)*VLOOKUP('Données projet'!$B$11,Paramètres!$A$1:$I$89,5,0)</f>
        <v>9.7597817329891239</v>
      </c>
      <c r="BF15" s="14">
        <f t="shared" si="37"/>
        <v>3.4500178483814818</v>
      </c>
      <c r="BG15" s="22">
        <f t="shared" si="7"/>
        <v>23.00706760422047</v>
      </c>
      <c r="BH15" s="62">
        <f t="shared" si="8"/>
        <v>316.3404009375538</v>
      </c>
      <c r="BI15" s="62">
        <f ca="1">AVERAGE(OFFSET($BH$3,0,0,'Données projet'!$E$11+1,1))-AVERAGE(OFFSET($H$3,0,0,'Données projet'!$E$11+1,1))</f>
        <v>310.95287409903602</v>
      </c>
      <c r="BJ15" s="62">
        <f t="shared" si="38"/>
        <v>224.10083380795163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5.5909090909090908</v>
      </c>
      <c r="N16" s="14">
        <f>IF('Données projet'!$A$36&gt;35,N15+M16-V15,IF(A16&lt;'Données projet'!$A$36,$K$205^A16,IF(A16='Données projet'!$A$36,'Données projet'!$B$36,N15+M16-V15)))</f>
        <v>17.17686607257264</v>
      </c>
      <c r="O16" s="14">
        <f>N16*VLOOKUP('Données projet'!$B$9,Paramètres!$A$1:$I$89,3,0)*VLOOKUP('Données projet'!$B$9,Paramètres!$A$1:$I$89,5,0)</f>
        <v>10.27176591139844</v>
      </c>
      <c r="P16" s="14">
        <f t="shared" si="33"/>
        <v>3.609455460548272</v>
      </c>
      <c r="Q16" s="22">
        <f t="shared" si="2"/>
        <v>24.176460556140523</v>
      </c>
      <c r="R16" s="62">
        <f t="shared" si="0"/>
        <v>317.50979388947383</v>
      </c>
      <c r="S16" s="62">
        <f ca="1">AVERAGE(OFFSET($R$3,0,0,'Données projet'!$E$9+1,1))-AVERAGE(OFFSET($H$3,0,0,'Données projet'!$E$9+1,1))</f>
        <v>287.69656598881124</v>
      </c>
      <c r="T16" s="62">
        <f t="shared" si="34"/>
        <v>221.9773436301067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8.526315789473685</v>
      </c>
      <c r="AI16" s="14">
        <f>IF('Données projet'!$A$62&gt;35,AI15+AH16-AQ15,IF(A16&lt;'Données projet'!$A$62,$AF$205^A16,IF(A16='Données projet'!$A$62,'Données projet'!$B$62,AI15+AH16-AQ15)))</f>
        <v>32.491774539539094</v>
      </c>
      <c r="AJ16" s="14">
        <f>AI16*VLOOKUP('Données projet'!$B$10,Paramètres!$A$1:$I$89,3,0)*VLOOKUP('Données projet'!$B$10,Paramètres!$A$1:$I$89,5,0)</f>
        <v>18.162901967602355</v>
      </c>
      <c r="AK16" s="14">
        <f t="shared" si="35"/>
        <v>5.9726648020514927</v>
      </c>
      <c r="AL16" s="22">
        <f t="shared" si="4"/>
        <v>42.036112123813787</v>
      </c>
      <c r="AM16" s="62">
        <f t="shared" si="5"/>
        <v>335.36944545714709</v>
      </c>
      <c r="AN16" s="62">
        <f ca="1">AVERAGE(OFFSET($AM$3,0,0,'Données projet'!$E$10+1,1))-AVERAGE(OFFSET($H$3,0,0,'Données projet'!$E$10+1,1))</f>
        <v>382.55387448074327</v>
      </c>
      <c r="AO16" s="62">
        <f t="shared" si="36"/>
        <v>476.29465646955543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7.9</v>
      </c>
      <c r="BD16" s="13">
        <f>IF('Données projet'!$A$88&gt;35,BD15+BC16-BL15,IF(A16&lt;'Données projet'!$A$88,$BA$205^A16,IF(A16='Données projet'!$A$88,'Données projet'!$B$88,BD15+BC16-BL15)))</f>
        <v>26.861304900499697</v>
      </c>
      <c r="BE16" s="14">
        <f>BD16*VLOOKUP('Données projet'!$B$11,Paramètres!$A$1:$I$89,3,0)*VLOOKUP('Données projet'!$B$11,Paramètres!$A$1:$I$89,5,0)</f>
        <v>12.571090693433858</v>
      </c>
      <c r="BF16" s="14">
        <f t="shared" si="37"/>
        <v>4.3147735914069099</v>
      </c>
      <c r="BG16" s="22">
        <f t="shared" si="7"/>
        <v>29.409546962764335</v>
      </c>
      <c r="BH16" s="62">
        <f t="shared" si="8"/>
        <v>322.74288029609767</v>
      </c>
      <c r="BI16" s="62">
        <f ca="1">AVERAGE(OFFSET($BH$3,0,0,'Données projet'!$E$11+1,1))-AVERAGE(OFFSET($H$3,0,0,'Données projet'!$E$11+1,1))</f>
        <v>310.95287409903602</v>
      </c>
      <c r="BJ16" s="62">
        <f t="shared" si="38"/>
        <v>224.10083380795163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5.5909090909090908</v>
      </c>
      <c r="N17" s="14">
        <f>IF('Données projet'!$A$36&gt;35,N16+M17-V16,IF(A17&lt;'Données projet'!$A$36,$K$205^A17,IF(A17='Données projet'!$A$36,'Données projet'!$B$36,N16+M17-V16)))</f>
        <v>21.376648512419013</v>
      </c>
      <c r="O17" s="14">
        <f>N17*VLOOKUP('Données projet'!$B$9,Paramètres!$A$1:$I$89,3,0)*VLOOKUP('Données projet'!$B$9,Paramètres!$A$1:$I$89,5,0)</f>
        <v>12.783235810426572</v>
      </c>
      <c r="P17" s="14">
        <f t="shared" si="33"/>
        <v>4.3790497183898731</v>
      </c>
      <c r="Q17" s="22">
        <f t="shared" si="2"/>
        <v>29.890980629355308</v>
      </c>
      <c r="R17" s="62">
        <f t="shared" si="0"/>
        <v>323.2243139626886</v>
      </c>
      <c r="S17" s="62">
        <f ca="1">AVERAGE(OFFSET($R$3,0,0,'Données projet'!$E$9+1,1))-AVERAGE(OFFSET($H$3,0,0,'Données projet'!$E$9+1,1))</f>
        <v>287.69656598881124</v>
      </c>
      <c r="T17" s="62">
        <f t="shared" si="34"/>
        <v>221.9773436301067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8.526315789473685</v>
      </c>
      <c r="AI17" s="14">
        <f>IF('Données projet'!$A$62&gt;35,AI16+AH17-AQ16,IF(A17&lt;'Données projet'!$A$62,$AF$205^A17,IF(A17='Données projet'!$A$62,'Données projet'!$B$62,AI16+AH17-AQ16)))</f>
        <v>42.468184448710481</v>
      </c>
      <c r="AJ17" s="14">
        <f>AI17*VLOOKUP('Données projet'!$B$10,Paramètres!$A$1:$I$89,3,0)*VLOOKUP('Données projet'!$B$10,Paramètres!$A$1:$I$89,5,0)</f>
        <v>23.739715106829159</v>
      </c>
      <c r="AK17" s="14">
        <f t="shared" si="35"/>
        <v>7.5669736064602473</v>
      </c>
      <c r="AL17" s="22">
        <f t="shared" si="4"/>
        <v>54.525816175645708</v>
      </c>
      <c r="AM17" s="62">
        <f t="shared" si="5"/>
        <v>347.85914950897904</v>
      </c>
      <c r="AN17" s="62">
        <f ca="1">AVERAGE(OFFSET($AM$3,0,0,'Données projet'!$E$10+1,1))-AVERAGE(OFFSET($H$3,0,0,'Données projet'!$E$10+1,1))</f>
        <v>382.55387448074327</v>
      </c>
      <c r="AO17" s="62">
        <f t="shared" si="36"/>
        <v>476.29465646955543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7.9</v>
      </c>
      <c r="BD17" s="13">
        <f>IF('Données projet'!$A$88&gt;35,BD16+BC17-BL16,IF(A17&lt;'Données projet'!$A$88,$BA$205^A17,IF(A17='Données projet'!$A$88,'Données projet'!$B$88,BD16+BC17-BL16)))</f>
        <v>34.598714324397214</v>
      </c>
      <c r="BE17" s="14">
        <f>BD17*VLOOKUP('Données projet'!$B$11,Paramètres!$A$1:$I$89,3,0)*VLOOKUP('Données projet'!$B$11,Paramètres!$A$1:$I$89,5,0)</f>
        <v>16.192198303817896</v>
      </c>
      <c r="BF17" s="14">
        <f t="shared" si="37"/>
        <v>5.3962825594761723</v>
      </c>
      <c r="BG17" s="22">
        <f t="shared" si="7"/>
        <v>37.599937503570509</v>
      </c>
      <c r="BH17" s="62">
        <f t="shared" si="8"/>
        <v>330.93327083690383</v>
      </c>
      <c r="BI17" s="62">
        <f ca="1">AVERAGE(OFFSET($BH$3,0,0,'Données projet'!$E$11+1,1))-AVERAGE(OFFSET($H$3,0,0,'Données projet'!$E$11+1,1))</f>
        <v>310.95287409903602</v>
      </c>
      <c r="BJ17" s="62">
        <f t="shared" si="38"/>
        <v>224.10083380795163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5.5909090909090908</v>
      </c>
      <c r="N18" s="14">
        <f>IF('Données projet'!$A$36&gt;35,N17+M18-V17,IF(A18&lt;'Données projet'!$A$36,$K$205^A18,IF(A18='Données projet'!$A$36,'Données projet'!$B$36,N17+M18-V17)))</f>
        <v>26.603287217402478</v>
      </c>
      <c r="O18" s="14">
        <f>N18*VLOOKUP('Données projet'!$B$9,Paramètres!$A$1:$I$89,3,0)*VLOOKUP('Données projet'!$B$9,Paramètres!$A$1:$I$89,5,0)</f>
        <v>15.908765756006684</v>
      </c>
      <c r="P18" s="14">
        <f t="shared" si="33"/>
        <v>5.312733913945455</v>
      </c>
      <c r="Q18" s="22">
        <f t="shared" si="2"/>
        <v>36.960778591833304</v>
      </c>
      <c r="R18" s="62">
        <f t="shared" si="0"/>
        <v>330.29411192516659</v>
      </c>
      <c r="S18" s="62">
        <f ca="1">AVERAGE(OFFSET($R$3,0,0,'Données projet'!$E$9+1,1))-AVERAGE(OFFSET($H$3,0,0,'Données projet'!$E$9+1,1))</f>
        <v>287.69656598881124</v>
      </c>
      <c r="T18" s="62">
        <f t="shared" si="34"/>
        <v>221.9773436301067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8.526315789473685</v>
      </c>
      <c r="AI18" s="14">
        <f>IF('Données projet'!$A$62&gt;35,AI17+AH18-AQ17,IF(A18&lt;'Données projet'!$A$62,$AF$205^A18,IF(A18='Données projet'!$A$62,'Données projet'!$B$62,AI17+AH18-AQ17)))</f>
        <v>55.507792846923991</v>
      </c>
      <c r="AJ18" s="14">
        <f>AI18*VLOOKUP('Données projet'!$B$10,Paramètres!$A$1:$I$89,3,0)*VLOOKUP('Données projet'!$B$10,Paramètres!$A$1:$I$89,5,0)</f>
        <v>31.028856201430514</v>
      </c>
      <c r="AK18" s="14">
        <f t="shared" si="35"/>
        <v>9.5868580371693835</v>
      </c>
      <c r="AL18" s="22">
        <f t="shared" si="4"/>
        <v>70.739035632228152</v>
      </c>
      <c r="AM18" s="62">
        <f t="shared" si="5"/>
        <v>364.07236896556145</v>
      </c>
      <c r="AN18" s="62">
        <f ca="1">AVERAGE(OFFSET($AM$3,0,0,'Données projet'!$E$10+1,1))-AVERAGE(OFFSET($H$3,0,0,'Données projet'!$E$10+1,1))</f>
        <v>382.55387448074327</v>
      </c>
      <c r="AO18" s="62">
        <f t="shared" si="36"/>
        <v>476.29465646955543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7.9</v>
      </c>
      <c r="BD18" s="13">
        <f>IF('Données projet'!$A$88&gt;35,BD17+BC18-BL17,IF(A18&lt;'Données projet'!$A$88,$BA$205^A18,IF(A18='Données projet'!$A$88,'Données projet'!$B$88,BD17+BC18-BL17)))</f>
        <v>44.564887571004775</v>
      </c>
      <c r="BE18" s="14">
        <f>BD18*VLOOKUP('Données projet'!$B$11,Paramètres!$A$1:$I$89,3,0)*VLOOKUP('Données projet'!$B$11,Paramètres!$A$1:$I$89,5,0)</f>
        <v>20.856367383230236</v>
      </c>
      <c r="BF18" s="14">
        <f t="shared" si="37"/>
        <v>6.7488744993944465</v>
      </c>
      <c r="BG18" s="22">
        <f t="shared" si="7"/>
        <v>48.079129612237985</v>
      </c>
      <c r="BH18" s="62">
        <f t="shared" si="8"/>
        <v>341.41246294557129</v>
      </c>
      <c r="BI18" s="62">
        <f ca="1">AVERAGE(OFFSET($BH$3,0,0,'Données projet'!$E$11+1,1))-AVERAGE(OFFSET($H$3,0,0,'Données projet'!$E$11+1,1))</f>
        <v>310.95287409903602</v>
      </c>
      <c r="BJ18" s="62">
        <f t="shared" si="38"/>
        <v>224.10083380795163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5.5909090909090908</v>
      </c>
      <c r="N19" s="14">
        <f>IF('Données projet'!$A$36&gt;35,N18+M19-V18,IF(A19&lt;'Données projet'!$A$36,$K$205^A19,IF(A19='Données projet'!$A$36,'Données projet'!$B$36,N18+M19-V18)))</f>
        <v>33.107850856996748</v>
      </c>
      <c r="O19" s="14">
        <f>N19*VLOOKUP('Données projet'!$B$9,Paramètres!$A$1:$I$89,3,0)*VLOOKUP('Données projet'!$B$9,Paramètres!$A$1:$I$89,5,0)</f>
        <v>19.798494812484059</v>
      </c>
      <c r="P19" s="14">
        <f t="shared" si="33"/>
        <v>6.4454946747588586</v>
      </c>
      <c r="Q19" s="22">
        <f t="shared" si="2"/>
        <v>45.70828169028141</v>
      </c>
      <c r="R19" s="62">
        <f t="shared" si="0"/>
        <v>339.04161502361472</v>
      </c>
      <c r="S19" s="62">
        <f ca="1">AVERAGE(OFFSET($R$3,0,0,'Données projet'!$E$9+1,1))-AVERAGE(OFFSET($H$3,0,0,'Données projet'!$E$9+1,1))</f>
        <v>287.69656598881124</v>
      </c>
      <c r="T19" s="62">
        <f t="shared" si="34"/>
        <v>221.9773436301067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8.526315789473685</v>
      </c>
      <c r="AI19" s="14">
        <f>IF('Données projet'!$A$62&gt;35,AI18+AH19-AQ18,IF(A19&lt;'Données projet'!$A$62,$AF$205^A19,IF(A19='Données projet'!$A$62,'Données projet'!$B$62,AI18+AH19-AQ18)))</f>
        <v>72.551136968384853</v>
      </c>
      <c r="AJ19" s="14">
        <f>AI19*VLOOKUP('Données projet'!$B$10,Paramètres!$A$1:$I$89,3,0)*VLOOKUP('Données projet'!$B$10,Paramètres!$A$1:$I$89,5,0)</f>
        <v>40.55608556532713</v>
      </c>
      <c r="AK19" s="14">
        <f t="shared" si="35"/>
        <v>12.145918805157919</v>
      </c>
      <c r="AL19" s="22">
        <f t="shared" si="4"/>
        <v>91.78932427859479</v>
      </c>
      <c r="AM19" s="62">
        <f t="shared" si="5"/>
        <v>385.1226576119281</v>
      </c>
      <c r="AN19" s="62">
        <f ca="1">AVERAGE(OFFSET($AM$3,0,0,'Données projet'!$E$10+1,1))-AVERAGE(OFFSET($H$3,0,0,'Données projet'!$E$10+1,1))</f>
        <v>382.55387448074327</v>
      </c>
      <c r="AO19" s="62">
        <f t="shared" si="36"/>
        <v>476.29465646955543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7.9</v>
      </c>
      <c r="BD19" s="13">
        <f>IF('Données projet'!$A$88&gt;35,BD18+BC19-BL18,IF(A19&lt;'Données projet'!$A$88,$BA$205^A19,IF(A19='Données projet'!$A$88,'Données projet'!$B$88,BD18+BC19-BL18)))</f>
        <v>57.401820934596167</v>
      </c>
      <c r="BE19" s="14">
        <f>BD19*VLOOKUP('Données projet'!$B$11,Paramètres!$A$1:$I$89,3,0)*VLOOKUP('Données projet'!$B$11,Paramètres!$A$1:$I$89,5,0)</f>
        <v>26.864052197391008</v>
      </c>
      <c r="BF19" s="14">
        <f t="shared" si="37"/>
        <v>8.4404970471001413</v>
      </c>
      <c r="BG19" s="22">
        <f t="shared" si="7"/>
        <v>61.488756600822086</v>
      </c>
      <c r="BH19" s="62">
        <f t="shared" si="8"/>
        <v>354.82208993415543</v>
      </c>
      <c r="BI19" s="62">
        <f ca="1">AVERAGE(OFFSET($BH$3,0,0,'Données projet'!$E$11+1,1))-AVERAGE(OFFSET($H$3,0,0,'Données projet'!$E$11+1,1))</f>
        <v>310.95287409903602</v>
      </c>
      <c r="BJ19" s="62">
        <f t="shared" si="38"/>
        <v>224.10083380795163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5.5909090909090908</v>
      </c>
      <c r="N20" s="14">
        <f>IF('Données projet'!$A$36&gt;35,N19+M20-V19,IF(A20&lt;'Données projet'!$A$36,$K$205^A20,IF(A20='Données projet'!$A$36,'Données projet'!$B$36,N19+M20-V19)))</f>
        <v>41.202794955809431</v>
      </c>
      <c r="O20" s="14">
        <f>N20*VLOOKUP('Données projet'!$B$9,Paramètres!$A$1:$I$89,3,0)*VLOOKUP('Données projet'!$B$9,Paramètres!$A$1:$I$89,5,0)</f>
        <v>24.639271383574041</v>
      </c>
      <c r="P20" s="14">
        <f t="shared" si="33"/>
        <v>7.8197783429910519</v>
      </c>
      <c r="Q20" s="22">
        <f t="shared" si="2"/>
        <v>56.532844940434195</v>
      </c>
      <c r="R20" s="62">
        <f t="shared" si="0"/>
        <v>349.8661782737675</v>
      </c>
      <c r="S20" s="62">
        <f ca="1">AVERAGE(OFFSET($R$3,0,0,'Données projet'!$E$9+1,1))-AVERAGE(OFFSET($H$3,0,0,'Données projet'!$E$9+1,1))</f>
        <v>287.69656598881124</v>
      </c>
      <c r="T20" s="62">
        <f t="shared" si="34"/>
        <v>221.9773436301067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8.526315789473685</v>
      </c>
      <c r="AI20" s="14">
        <f>IF('Données projet'!$A$62&gt;35,AI19+AH20-AQ19,IF(A20&lt;'Données projet'!$A$62,$AF$205^A20,IF(A20='Données projet'!$A$62,'Données projet'!$B$62,AI19+AH20-AQ19)))</f>
        <v>94.827540520682575</v>
      </c>
      <c r="AJ20" s="14">
        <f>AI20*VLOOKUP('Données projet'!$B$10,Paramètres!$A$1:$I$89,3,0)*VLOOKUP('Données projet'!$B$10,Paramètres!$A$1:$I$89,5,0)</f>
        <v>53.008595151061563</v>
      </c>
      <c r="AK20" s="14">
        <f t="shared" si="35"/>
        <v>15.388080542084102</v>
      </c>
      <c r="AL20" s="22">
        <f t="shared" si="4"/>
        <v>119.12421016556203</v>
      </c>
      <c r="AM20" s="62">
        <f t="shared" si="5"/>
        <v>412.45754349889535</v>
      </c>
      <c r="AN20" s="62">
        <f ca="1">AVERAGE(OFFSET($AM$3,0,0,'Données projet'!$E$10+1,1))-AVERAGE(OFFSET($H$3,0,0,'Données projet'!$E$10+1,1))</f>
        <v>382.55387448074327</v>
      </c>
      <c r="AO20" s="62">
        <f t="shared" si="36"/>
        <v>476.29465646955543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7.9</v>
      </c>
      <c r="BD20" s="13">
        <f>IF('Données projet'!$A$88&gt;35,BD19+BC20-BL19,IF(A20&lt;'Données projet'!$A$88,$BA$205^A20,IF(A20='Données projet'!$A$88,'Données projet'!$B$88,BD19+BC20-BL19)))</f>
        <v>73.936437994095741</v>
      </c>
      <c r="BE20" s="14">
        <f>BD20*VLOOKUP('Données projet'!$B$11,Paramètres!$A$1:$I$89,3,0)*VLOOKUP('Données projet'!$B$11,Paramètres!$A$1:$I$89,5,0)</f>
        <v>34.602252981236802</v>
      </c>
      <c r="BF20" s="14">
        <f t="shared" si="37"/>
        <v>10.556129086190376</v>
      </c>
      <c r="BG20" s="22">
        <f t="shared" si="7"/>
        <v>78.650848767435647</v>
      </c>
      <c r="BH20" s="62">
        <f t="shared" si="8"/>
        <v>371.98418210076898</v>
      </c>
      <c r="BI20" s="62">
        <f ca="1">AVERAGE(OFFSET($BH$3,0,0,'Données projet'!$E$11+1,1))-AVERAGE(OFFSET($H$3,0,0,'Données projet'!$E$11+1,1))</f>
        <v>310.95287409903602</v>
      </c>
      <c r="BJ20" s="62">
        <f t="shared" si="38"/>
        <v>224.10083380795163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5.5909090909090908</v>
      </c>
      <c r="N21" s="14">
        <f>IF('Données projet'!$A$36&gt;35,N20+M21-V20,IF(A21&lt;'Données projet'!$A$36,$K$205^A21,IF(A21='Données projet'!$A$36,'Données projet'!$B$36,N20+M21-V20)))</f>
        <v>51.276971117915458</v>
      </c>
      <c r="O21" s="14">
        <f>N21*VLOOKUP('Données projet'!$B$9,Paramètres!$A$1:$I$89,3,0)*VLOOKUP('Données projet'!$B$9,Paramètres!$A$1:$I$89,5,0)</f>
        <v>30.663628728513448</v>
      </c>
      <c r="P21" s="14">
        <f t="shared" si="33"/>
        <v>9.4870815071768995</v>
      </c>
      <c r="Q21" s="22">
        <f t="shared" si="2"/>
        <v>69.929153660494023</v>
      </c>
      <c r="R21" s="62">
        <f t="shared" si="0"/>
        <v>363.26248699382734</v>
      </c>
      <c r="S21" s="62">
        <f ca="1">AVERAGE(OFFSET($R$3,0,0,'Données projet'!$E$9+1,1))-AVERAGE(OFFSET($H$3,0,0,'Données projet'!$E$9+1,1))</f>
        <v>287.69656598881124</v>
      </c>
      <c r="T21" s="62">
        <f t="shared" si="34"/>
        <v>221.9773436301067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8.526315789473685</v>
      </c>
      <c r="AI21" s="14">
        <f>IF('Données projet'!$A$62&gt;35,AI20+AH21-AQ20,IF(A21&lt;'Données projet'!$A$62,$AF$205^A21,IF(A21='Données projet'!$A$62,'Données projet'!$B$62,AI20+AH21-AQ20)))</f>
        <v>123.94378388749713</v>
      </c>
      <c r="AJ21" s="14">
        <f>AI21*VLOOKUP('Données projet'!$B$10,Paramètres!$A$1:$I$89,3,0)*VLOOKUP('Données projet'!$B$10,Paramètres!$A$1:$I$89,5,0)</f>
        <v>69.284575193110896</v>
      </c>
      <c r="AK21" s="14">
        <f t="shared" si="35"/>
        <v>19.495686293334202</v>
      </c>
      <c r="AL21" s="22">
        <f t="shared" si="4"/>
        <v>154.62562208889187</v>
      </c>
      <c r="AM21" s="62">
        <f t="shared" si="5"/>
        <v>447.95895542222519</v>
      </c>
      <c r="AN21" s="62">
        <f ca="1">AVERAGE(OFFSET($AM$3,0,0,'Données projet'!$E$10+1,1))-AVERAGE(OFFSET($H$3,0,0,'Données projet'!$E$10+1,1))</f>
        <v>382.55387448074327</v>
      </c>
      <c r="AO21" s="62">
        <f t="shared" si="36"/>
        <v>476.29465646955543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7.9</v>
      </c>
      <c r="BD21" s="13">
        <f>IF('Données projet'!$A$88&gt;35,BD20+BC21-BL20,IF(A21&lt;'Données projet'!$A$88,$BA$205^A21,IF(A21='Données projet'!$A$88,'Données projet'!$B$88,BD20+BC21-BL20)))</f>
        <v>95.233857990035276</v>
      </c>
      <c r="BE21" s="14">
        <f>BD21*VLOOKUP('Données projet'!$B$11,Paramètres!$A$1:$I$89,3,0)*VLOOKUP('Données projet'!$B$11,Paramètres!$A$1:$I$89,5,0)</f>
        <v>44.569445539336513</v>
      </c>
      <c r="BF21" s="14">
        <f t="shared" si="37"/>
        <v>13.202049673437019</v>
      </c>
      <c r="BG21" s="22">
        <f t="shared" si="7"/>
        <v>100.61868749558056</v>
      </c>
      <c r="BH21" s="62">
        <f t="shared" si="8"/>
        <v>393.95202082891387</v>
      </c>
      <c r="BI21" s="62">
        <f ca="1">AVERAGE(OFFSET($BH$3,0,0,'Données projet'!$E$11+1,1))-AVERAGE(OFFSET($H$3,0,0,'Données projet'!$E$11+1,1))</f>
        <v>310.95287409903602</v>
      </c>
      <c r="BJ21" s="62">
        <f t="shared" si="38"/>
        <v>224.10083380795163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5.5909090909090908</v>
      </c>
      <c r="N22" s="14">
        <f>IF('Données projet'!$A$36&gt;35,N21+M22-V21,IF(A22&lt;'Données projet'!$A$36,$K$205^A22,IF(A22='Données projet'!$A$36,'Données projet'!$B$36,N21+M22-V21)))</f>
        <v>63.814306040343304</v>
      </c>
      <c r="O22" s="14">
        <f>N22*VLOOKUP('Données projet'!$B$9,Paramètres!$A$1:$I$89,3,0)*VLOOKUP('Données projet'!$B$9,Paramètres!$A$1:$I$89,5,0)</f>
        <v>38.160955012125299</v>
      </c>
      <c r="P22" s="14">
        <f t="shared" si="33"/>
        <v>11.509880661066306</v>
      </c>
      <c r="Q22" s="22">
        <f t="shared" si="2"/>
        <v>86.510038797475374</v>
      </c>
      <c r="R22" s="62">
        <f t="shared" si="0"/>
        <v>379.84337213080869</v>
      </c>
      <c r="S22" s="62">
        <f ca="1">AVERAGE(OFFSET($R$3,0,0,'Données projet'!$E$9+1,1))-AVERAGE(OFFSET($H$3,0,0,'Données projet'!$E$9+1,1))</f>
        <v>287.69656598881124</v>
      </c>
      <c r="T22" s="62">
        <f t="shared" si="34"/>
        <v>221.9773436301067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>
        <f>VLOOKUP(A22,'Données projet'!$A$61:$I$81,2,0)</f>
        <v>162</v>
      </c>
      <c r="AG22" s="13">
        <f>VLOOKUP(A22,'Données projet'!$A$61:$I$81,9,0)</f>
        <v>8.526315789473685</v>
      </c>
      <c r="AH22" s="13">
        <f t="array" ref="AH22">INDEX(AG:AG,MIN(IF(ISNUMBER(AG22:AG218),ROW(AG22:AG218),"")))</f>
        <v>8.526315789473685</v>
      </c>
      <c r="AI22" s="14">
        <f>IF('Données projet'!$A$62&gt;35,AI21+AH22-AQ21,IF(A22&lt;'Données projet'!$A$62,$AF$205^A22,IF(A22='Données projet'!$A$62,'Données projet'!$B$62,AI21+AH22-AQ21)))</f>
        <v>162</v>
      </c>
      <c r="AJ22" s="14">
        <f>AI22*VLOOKUP('Données projet'!$B$10,Paramètres!$A$1:$I$89,3,0)*VLOOKUP('Données projet'!$B$10,Paramètres!$A$1:$I$89,5,0)</f>
        <v>90.557999999999993</v>
      </c>
      <c r="AK22" s="14">
        <f t="shared" si="35"/>
        <v>24.699752708509138</v>
      </c>
      <c r="AL22" s="22">
        <f t="shared" si="4"/>
        <v>200.74058596732007</v>
      </c>
      <c r="AM22" s="62">
        <f t="shared" si="5"/>
        <v>494.07391930065342</v>
      </c>
      <c r="AN22" s="62">
        <f ca="1">AVERAGE(OFFSET($AM$3,0,0,'Données projet'!$E$10+1,1))-AVERAGE(OFFSET($H$3,0,0,'Données projet'!$E$10+1,1))</f>
        <v>382.55387448074327</v>
      </c>
      <c r="AO22" s="62">
        <f t="shared" si="36"/>
        <v>476.29465646955543</v>
      </c>
      <c r="AP22" s="16">
        <f>IF(ISNA(VLOOKUP(A22,'Données projet'!$A$61:$I$81,3,0)),0,VLOOKUP(A22,'Données projet'!$A$61:$I$81,3,0))</f>
        <v>1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7.9</v>
      </c>
      <c r="BD22" s="13">
        <f>IF('Données projet'!$A$88&gt;35,BD21+BC22-BL21,IF(A22&lt;'Données projet'!$A$88,$BA$205^A22,IF(A22='Données projet'!$A$88,'Données projet'!$B$88,BD21+BC22-BL21)))</f>
        <v>122.66600817840934</v>
      </c>
      <c r="BE22" s="14">
        <f>BD22*VLOOKUP('Données projet'!$B$11,Paramètres!$A$1:$I$89,3,0)*VLOOKUP('Données projet'!$B$11,Paramètres!$A$1:$I$89,5,0)</f>
        <v>57.407691827495569</v>
      </c>
      <c r="BF22" s="14">
        <f t="shared" si="37"/>
        <v>16.511176981334152</v>
      </c>
      <c r="BG22" s="22">
        <f t="shared" si="7"/>
        <v>128.7420298420451</v>
      </c>
      <c r="BH22" s="62">
        <f t="shared" si="8"/>
        <v>422.07536317537841</v>
      </c>
      <c r="BI22" s="62">
        <f ca="1">AVERAGE(OFFSET($BH$3,0,0,'Données projet'!$E$11+1,1))-AVERAGE(OFFSET($H$3,0,0,'Données projet'!$E$11+1,1))</f>
        <v>310.95287409903602</v>
      </c>
      <c r="BJ22" s="62">
        <f t="shared" si="38"/>
        <v>224.10083380795163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5.5909090909090908</v>
      </c>
      <c r="N23" s="14">
        <f>IF('Données projet'!$A$36&gt;35,N22+M23-V22,IF(A23&lt;'Données projet'!$A$36,$K$205^A23,IF(A23='Données projet'!$A$36,'Données projet'!$B$36,N22+M23-V22)))</f>
        <v>79.417047587426694</v>
      </c>
      <c r="O23" s="14">
        <f>N23*VLOOKUP('Données projet'!$B$9,Paramètres!$A$1:$I$89,3,0)*VLOOKUP('Données projet'!$B$9,Paramètres!$A$1:$I$89,5,0)</f>
        <v>47.49139445728116</v>
      </c>
      <c r="P23" s="14">
        <f t="shared" si="33"/>
        <v>13.96397329692701</v>
      </c>
      <c r="Q23" s="22">
        <f t="shared" si="2"/>
        <v>107.03476550524589</v>
      </c>
      <c r="R23" s="62">
        <f t="shared" si="0"/>
        <v>400.36809883857921</v>
      </c>
      <c r="S23" s="62">
        <f ca="1">AVERAGE(OFFSET($R$3,0,0,'Données projet'!$E$9+1,1))-AVERAGE(OFFSET($H$3,0,0,'Données projet'!$E$9+1,1))</f>
        <v>287.69656598881124</v>
      </c>
      <c r="T23" s="62">
        <f t="shared" si="34"/>
        <v>221.9773436301067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28.833333333333332</v>
      </c>
      <c r="AI23" s="14">
        <f>IF('Données projet'!$A$62&gt;35,AI22+AH23-AQ22,IF(A23&lt;'Données projet'!$A$62,$AF$205^A23,IF(A23='Données projet'!$A$62,'Données projet'!$B$62,AI22+AH23-AQ22)))</f>
        <v>190.83333333333334</v>
      </c>
      <c r="AJ23" s="14">
        <f>AI23*VLOOKUP('Données projet'!$B$10,Paramètres!$A$1:$I$89,3,0)*VLOOKUP('Données projet'!$B$10,Paramètres!$A$1:$I$89,5,0)</f>
        <v>106.67583333333334</v>
      </c>
      <c r="AK23" s="14">
        <f t="shared" si="35"/>
        <v>28.546391754319739</v>
      </c>
      <c r="AL23" s="22">
        <f t="shared" si="4"/>
        <v>235.51204202766243</v>
      </c>
      <c r="AM23" s="62">
        <f t="shared" si="5"/>
        <v>528.84537536099572</v>
      </c>
      <c r="AN23" s="62">
        <f ca="1">AVERAGE(OFFSET($AM$3,0,0,'Données projet'!$E$10+1,1))-AVERAGE(OFFSET($H$3,0,0,'Données projet'!$E$10+1,1))</f>
        <v>382.55387448074327</v>
      </c>
      <c r="AO23" s="62">
        <f t="shared" si="36"/>
        <v>476.29465646955543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158</v>
      </c>
      <c r="BB23" s="13">
        <f>VLOOKUP(A23,'Données projet'!$A$87:$I$107,9,0)</f>
        <v>7.9</v>
      </c>
      <c r="BC23" s="13">
        <f t="array" ref="BC23">INDEX(BB:BB,MIN(IF(ISNUMBER(BB23:BB219),ROW(BB23:BB219),"")))</f>
        <v>7.9</v>
      </c>
      <c r="BD23" s="13">
        <f>IF('Données projet'!$A$88&gt;35,BD22+BC23-BL22,IF(A23&lt;'Données projet'!$A$88,$BA$205^A23,IF(A23='Données projet'!$A$88,'Données projet'!$B$88,BD22+BC23-BL22)))</f>
        <v>158</v>
      </c>
      <c r="BE23" s="14">
        <f>BD23*VLOOKUP('Données projet'!$B$11,Paramètres!$A$1:$I$89,3,0)*VLOOKUP('Données projet'!$B$11,Paramètres!$A$1:$I$89,5,0)</f>
        <v>73.944000000000003</v>
      </c>
      <c r="BF23" s="14">
        <f t="shared" si="37"/>
        <v>20.649745460165708</v>
      </c>
      <c r="BG23" s="22">
        <f t="shared" si="7"/>
        <v>164.75077334312192</v>
      </c>
      <c r="BH23" s="62">
        <f t="shared" si="8"/>
        <v>458.08410667645524</v>
      </c>
      <c r="BI23" s="62">
        <f ca="1">AVERAGE(OFFSET($BH$3,0,0,'Données projet'!$E$11+1,1))-AVERAGE(OFFSET($H$3,0,0,'Données projet'!$E$11+1,1))</f>
        <v>310.95287409903602</v>
      </c>
      <c r="BJ23" s="62">
        <f t="shared" si="38"/>
        <v>224.10083380795163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5.5909090909090908</v>
      </c>
      <c r="N24" s="14">
        <f>IF('Données projet'!$A$36&gt;35,N23+M24-V23,IF(A24&lt;'Données projet'!$A$36,$K$205^A24,IF(A24='Données projet'!$A$36,'Données projet'!$B$36,N23+M24-V23)))</f>
        <v>98.834694582689295</v>
      </c>
      <c r="O24" s="14">
        <f>N24*VLOOKUP('Données projet'!$B$9,Paramètres!$A$1:$I$89,3,0)*VLOOKUP('Données projet'!$B$9,Paramètres!$A$1:$I$89,5,0)</f>
        <v>59.103147360448204</v>
      </c>
      <c r="P24" s="14">
        <f t="shared" si="33"/>
        <v>16.94131815778756</v>
      </c>
      <c r="Q24" s="22">
        <f t="shared" si="2"/>
        <v>132.44411077759398</v>
      </c>
      <c r="R24" s="62">
        <f t="shared" si="0"/>
        <v>425.77744411092726</v>
      </c>
      <c r="S24" s="62">
        <f ca="1">AVERAGE(OFFSET($R$3,0,0,'Données projet'!$E$9+1,1))-AVERAGE(OFFSET($H$3,0,0,'Données projet'!$E$9+1,1))</f>
        <v>287.69656598881124</v>
      </c>
      <c r="T24" s="62">
        <f t="shared" si="34"/>
        <v>221.9773436301067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28.833333333333332</v>
      </c>
      <c r="AI24" s="14">
        <f>IF('Données projet'!$A$62&gt;35,AI23+AH24-AQ23,IF(A24&lt;'Données projet'!$A$62,$AF$205^A24,IF(A24='Données projet'!$A$62,'Données projet'!$B$62,AI23+AH24-AQ23)))</f>
        <v>219.66666666666669</v>
      </c>
      <c r="AJ24" s="14">
        <f>AI24*VLOOKUP('Données projet'!$B$10,Paramètres!$A$1:$I$89,3,0)*VLOOKUP('Données projet'!$B$10,Paramètres!$A$1:$I$89,5,0)</f>
        <v>122.79366666666668</v>
      </c>
      <c r="AK24" s="14">
        <f t="shared" si="35"/>
        <v>32.32570088253398</v>
      </c>
      <c r="AL24" s="22">
        <f t="shared" si="4"/>
        <v>270.16623181485778</v>
      </c>
      <c r="AM24" s="62">
        <f t="shared" si="5"/>
        <v>563.4995651481911</v>
      </c>
      <c r="AN24" s="62">
        <f ca="1">AVERAGE(OFFSET($AM$3,0,0,'Données projet'!$E$10+1,1))-AVERAGE(OFFSET($H$3,0,0,'Données projet'!$E$10+1,1))</f>
        <v>382.55387448074327</v>
      </c>
      <c r="AO24" s="62">
        <f t="shared" si="36"/>
        <v>476.29465646955543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9.1999999999999993</v>
      </c>
      <c r="BD24" s="13">
        <f>IF('Données projet'!$A$88&gt;35,BD23+BC24-BL23,IF(A24&lt;'Données projet'!$A$88,$BA$205^A24,IF(A24='Données projet'!$A$88,'Données projet'!$B$88,BD23+BC24-BL23)))</f>
        <v>167.2</v>
      </c>
      <c r="BE24" s="14">
        <f>BD24*VLOOKUP('Données projet'!$B$11,Paramètres!$A$1:$I$89,3,0)*VLOOKUP('Données projet'!$B$11,Paramètres!$A$1:$I$89,5,0)</f>
        <v>78.249599999999987</v>
      </c>
      <c r="BF24" s="14">
        <f t="shared" si="37"/>
        <v>21.708652740239781</v>
      </c>
      <c r="BG24" s="22">
        <f t="shared" si="7"/>
        <v>174.09395685591758</v>
      </c>
      <c r="BH24" s="62">
        <f t="shared" si="8"/>
        <v>467.42729018925093</v>
      </c>
      <c r="BI24" s="62">
        <f ca="1">AVERAGE(OFFSET($BH$3,0,0,'Données projet'!$E$11+1,1))-AVERAGE(OFFSET($H$3,0,0,'Données projet'!$E$11+1,1))</f>
        <v>310.95287409903602</v>
      </c>
      <c r="BJ24" s="62">
        <f t="shared" si="38"/>
        <v>224.10083380795163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123</v>
      </c>
      <c r="L25" s="13">
        <f>VLOOKUP(A25,'Données projet'!$A$35:$I$55,9,0)</f>
        <v>5.5909090909090908</v>
      </c>
      <c r="M25" s="13">
        <f t="array" ref="M25">INDEX(L:L,MIN(IF(ISNUMBER(L25:L221),ROW(L25:L221),"")))</f>
        <v>5.5909090909090908</v>
      </c>
      <c r="N25" s="14">
        <f>IF('Données projet'!$A$36&gt;35,N24+M25-V24,IF(A25&lt;'Données projet'!$A$36,$K$205^A25,IF(A25='Données projet'!$A$36,'Données projet'!$B$36,N24+M25-V24)))</f>
        <v>123</v>
      </c>
      <c r="O25" s="14">
        <f>N25*VLOOKUP('Données projet'!$B$9,Paramètres!$A$1:$I$89,3,0)*VLOOKUP('Données projet'!$B$9,Paramètres!$A$1:$I$89,5,0)</f>
        <v>73.554000000000016</v>
      </c>
      <c r="P25" s="14">
        <f t="shared" si="33"/>
        <v>20.553481077376691</v>
      </c>
      <c r="Q25" s="22">
        <f t="shared" si="2"/>
        <v>163.90386287643108</v>
      </c>
      <c r="R25" s="62">
        <f t="shared" si="0"/>
        <v>457.23719620976442</v>
      </c>
      <c r="S25" s="62">
        <f ca="1">AVERAGE(OFFSET($R$3,0,0,'Données projet'!$E$9+1,1))-AVERAGE(OFFSET($H$3,0,0,'Données projet'!$E$9+1,1))</f>
        <v>287.69656598881124</v>
      </c>
      <c r="T25" s="62">
        <f t="shared" si="34"/>
        <v>221.9773436301067</v>
      </c>
      <c r="U25" s="16">
        <f>IF(ISNA(VLOOKUP(A25,'Données projet'!$A$35:$I$55,3,0)),0,VLOOKUP(A25,'Données projet'!$A$35:$I$55,3,0))</f>
        <v>1</v>
      </c>
      <c r="V25" s="16">
        <f>IF(ISNA(VLOOKUP(A25,'Données projet'!$A$35:$I$55,4,0)),0,VLOOKUP(A25,'Données projet'!$A$35:$I$55,4,0))</f>
        <v>16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1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10.833198622733226</v>
      </c>
      <c r="AC25" s="24">
        <f t="shared" si="3"/>
        <v>10.833198622733226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28.833333333333332</v>
      </c>
      <c r="AI25" s="14">
        <f>IF('Données projet'!$A$62&gt;35,AI24+AH25-AQ24,IF(A25&lt;'Données projet'!$A$62,$AF$205^A25,IF(A25='Données projet'!$A$62,'Données projet'!$B$62,AI24+AH25-AQ24)))</f>
        <v>248.50000000000003</v>
      </c>
      <c r="AJ25" s="14">
        <f>AI25*VLOOKUP('Données projet'!$B$10,Paramètres!$A$1:$I$89,3,0)*VLOOKUP('Données projet'!$B$10,Paramètres!$A$1:$I$89,5,0)</f>
        <v>138.91150000000002</v>
      </c>
      <c r="AK25" s="14">
        <f t="shared" si="35"/>
        <v>36.047532265727178</v>
      </c>
      <c r="AL25" s="22">
        <f t="shared" si="4"/>
        <v>304.72031452947482</v>
      </c>
      <c r="AM25" s="62">
        <f t="shared" si="5"/>
        <v>598.05364786280813</v>
      </c>
      <c r="AN25" s="62">
        <f ca="1">AVERAGE(OFFSET($AM$3,0,0,'Données projet'!$E$10+1,1))-AVERAGE(OFFSET($H$3,0,0,'Données projet'!$E$10+1,1))</f>
        <v>382.55387448074327</v>
      </c>
      <c r="AO25" s="62">
        <f t="shared" si="36"/>
        <v>476.29465646955543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9.1999999999999993</v>
      </c>
      <c r="BD25" s="13">
        <f>IF('Données projet'!$A$88&gt;35,BD24+BC25-BL24,IF(A25&lt;'Données projet'!$A$88,$BA$205^A25,IF(A25='Données projet'!$A$88,'Données projet'!$B$88,BD24+BC25-BL24)))</f>
        <v>176.39999999999998</v>
      </c>
      <c r="BE25" s="14">
        <f>BD25*VLOOKUP('Données projet'!$B$11,Paramètres!$A$1:$I$89,3,0)*VLOOKUP('Données projet'!$B$11,Paramètres!$A$1:$I$89,5,0)</f>
        <v>82.555199999999985</v>
      </c>
      <c r="BF25" s="14">
        <f t="shared" si="37"/>
        <v>22.760796016854769</v>
      </c>
      <c r="BG25" s="22">
        <f t="shared" si="7"/>
        <v>183.42535972935536</v>
      </c>
      <c r="BH25" s="62">
        <f t="shared" si="8"/>
        <v>476.75869306268868</v>
      </c>
      <c r="BI25" s="62">
        <f ca="1">AVERAGE(OFFSET($BH$3,0,0,'Données projet'!$E$11+1,1))-AVERAGE(OFFSET($H$3,0,0,'Données projet'!$E$11+1,1))</f>
        <v>310.95287409903602</v>
      </c>
      <c r="BJ25" s="62">
        <f t="shared" si="38"/>
        <v>224.10083380795163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12.333333333333334</v>
      </c>
      <c r="N26" s="14">
        <f>IF('Données projet'!$A$36&gt;35,N25+M26-V25,IF(A26&lt;'Données projet'!$A$36,$K$205^A26,IF(A26='Données projet'!$A$36,'Données projet'!$B$36,N25+M26-V25)))</f>
        <v>119.33333333333334</v>
      </c>
      <c r="O26" s="14">
        <f>N26*VLOOKUP('Données projet'!$B$9,Paramètres!$A$1:$I$89,3,0)*VLOOKUP('Données projet'!$B$9,Paramètres!$A$1:$I$89,5,0)</f>
        <v>71.361333333333349</v>
      </c>
      <c r="P26" s="14">
        <f t="shared" si="33"/>
        <v>20.011144716858571</v>
      </c>
      <c r="Q26" s="22">
        <f t="shared" si="2"/>
        <v>159.14039927075092</v>
      </c>
      <c r="R26" s="62">
        <f t="shared" si="0"/>
        <v>452.47373260408426</v>
      </c>
      <c r="S26" s="62">
        <f ca="1">AVERAGE(OFFSET($R$3,0,0,'Données projet'!$E$9+1,1))-AVERAGE(OFFSET($H$3,0,0,'Données projet'!$E$9+1,1))</f>
        <v>287.69656598881124</v>
      </c>
      <c r="T26" s="62">
        <f t="shared" si="34"/>
        <v>221.9773436301067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7.6602282080754316</v>
      </c>
      <c r="AC26" s="24">
        <f t="shared" si="3"/>
        <v>7.6602282080754316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28.833333333333332</v>
      </c>
      <c r="AI26" s="14">
        <f>IF('Données projet'!$A$62&gt;35,AI25+AH26-AQ25,IF(A26&lt;'Données projet'!$A$62,$AF$205^A26,IF(A26='Données projet'!$A$62,'Données projet'!$B$62,AI25+AH26-AQ25)))</f>
        <v>277.33333333333337</v>
      </c>
      <c r="AJ26" s="14">
        <f>AI26*VLOOKUP('Données projet'!$B$10,Paramètres!$A$1:$I$89,3,0)*VLOOKUP('Données projet'!$B$10,Paramètres!$A$1:$I$89,5,0)</f>
        <v>155.02933333333334</v>
      </c>
      <c r="AK26" s="14">
        <f t="shared" si="35"/>
        <v>39.719316712120367</v>
      </c>
      <c r="AL26" s="22">
        <f t="shared" si="4"/>
        <v>339.1872321624985</v>
      </c>
      <c r="AM26" s="62">
        <f t="shared" si="5"/>
        <v>632.52056549583176</v>
      </c>
      <c r="AN26" s="62">
        <f ca="1">AVERAGE(OFFSET($AM$3,0,0,'Données projet'!$E$10+1,1))-AVERAGE(OFFSET($H$3,0,0,'Données projet'!$E$10+1,1))</f>
        <v>382.55387448074327</v>
      </c>
      <c r="AO26" s="62">
        <f t="shared" si="36"/>
        <v>476.29465646955543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9.1999999999999993</v>
      </c>
      <c r="BD26" s="13">
        <f>IF('Données projet'!$A$88&gt;35,BD25+BC26-BL25,IF(A26&lt;'Données projet'!$A$88,$BA$205^A26,IF(A26='Données projet'!$A$88,'Données projet'!$B$88,BD25+BC26-BL25)))</f>
        <v>185.59999999999997</v>
      </c>
      <c r="BE26" s="14">
        <f>BD26*VLOOKUP('Données projet'!$B$11,Paramètres!$A$1:$I$89,3,0)*VLOOKUP('Données projet'!$B$11,Paramètres!$A$1:$I$89,5,0)</f>
        <v>86.860799999999983</v>
      </c>
      <c r="BF26" s="14">
        <f t="shared" si="37"/>
        <v>23.806568296036275</v>
      </c>
      <c r="BG26" s="22">
        <f t="shared" si="7"/>
        <v>192.7456664489298</v>
      </c>
      <c r="BH26" s="62">
        <f t="shared" si="8"/>
        <v>486.07899978226311</v>
      </c>
      <c r="BI26" s="62">
        <f ca="1">AVERAGE(OFFSET($BH$3,0,0,'Données projet'!$E$11+1,1))-AVERAGE(OFFSET($H$3,0,0,'Données projet'!$E$11+1,1))</f>
        <v>310.95287409903602</v>
      </c>
      <c r="BJ26" s="62">
        <f t="shared" si="38"/>
        <v>224.10083380795163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12.333333333333334</v>
      </c>
      <c r="N27" s="14">
        <f>IF('Données projet'!$A$36&gt;35,N26+M27-V26,IF(A27&lt;'Données projet'!$A$36,$K$205^A27,IF(A27='Données projet'!$A$36,'Données projet'!$B$36,N26+M27-V26)))</f>
        <v>131.66666666666669</v>
      </c>
      <c r="O27" s="14">
        <f>N27*VLOOKUP('Données projet'!$B$9,Paramètres!$A$1:$I$89,3,0)*VLOOKUP('Données projet'!$B$9,Paramètres!$A$1:$I$89,5,0)</f>
        <v>78.736666666666679</v>
      </c>
      <c r="P27" s="14">
        <f t="shared" si="33"/>
        <v>21.828006984037064</v>
      </c>
      <c r="Q27" s="22">
        <f t="shared" si="2"/>
        <v>175.15013994164235</v>
      </c>
      <c r="R27" s="62">
        <f t="shared" si="0"/>
        <v>468.48347327497567</v>
      </c>
      <c r="S27" s="62">
        <f ca="1">AVERAGE(OFFSET($R$3,0,0,'Données projet'!$E$9+1,1))-AVERAGE(OFFSET($H$3,0,0,'Données projet'!$E$9+1,1))</f>
        <v>287.69656598881124</v>
      </c>
      <c r="T27" s="62">
        <f t="shared" si="34"/>
        <v>221.9773436301067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5.416599311366614</v>
      </c>
      <c r="AC27" s="24">
        <f t="shared" si="3"/>
        <v>5.416599311366614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28.833333333333332</v>
      </c>
      <c r="AI27" s="14">
        <f>IF('Données projet'!$A$62&gt;35,AI26+AH27-AQ26,IF(A27&lt;'Données projet'!$A$62,$AF$205^A27,IF(A27='Données projet'!$A$62,'Données projet'!$B$62,AI26+AH27-AQ26)))</f>
        <v>306.16666666666669</v>
      </c>
      <c r="AJ27" s="14">
        <f>AI27*VLOOKUP('Données projet'!$B$10,Paramètres!$A$1:$I$89,3,0)*VLOOKUP('Données projet'!$B$10,Paramètres!$A$1:$I$89,5,0)</f>
        <v>171.14716666666669</v>
      </c>
      <c r="AK27" s="14">
        <f t="shared" si="35"/>
        <v>43.346850105371793</v>
      </c>
      <c r="AL27" s="22">
        <f t="shared" si="4"/>
        <v>373.57707921130037</v>
      </c>
      <c r="AM27" s="62">
        <f t="shared" si="5"/>
        <v>666.91041254463369</v>
      </c>
      <c r="AN27" s="62">
        <f ca="1">AVERAGE(OFFSET($AM$3,0,0,'Données projet'!$E$10+1,1))-AVERAGE(OFFSET($H$3,0,0,'Données projet'!$E$10+1,1))</f>
        <v>382.55387448074327</v>
      </c>
      <c r="AO27" s="62">
        <f t="shared" si="36"/>
        <v>476.29465646955543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9.1999999999999993</v>
      </c>
      <c r="BD27" s="13">
        <f>IF('Données projet'!$A$88&gt;35,BD26+BC27-BL26,IF(A27&lt;'Données projet'!$A$88,$BA$205^A27,IF(A27='Données projet'!$A$88,'Données projet'!$B$88,BD26+BC27-BL26)))</f>
        <v>194.79999999999995</v>
      </c>
      <c r="BE27" s="14">
        <f>BD27*VLOOKUP('Données projet'!$B$11,Paramètres!$A$1:$I$89,3,0)*VLOOKUP('Données projet'!$B$11,Paramètres!$A$1:$I$89,5,0)</f>
        <v>91.166399999999982</v>
      </c>
      <c r="BF27" s="14">
        <f t="shared" si="37"/>
        <v>24.846321420979159</v>
      </c>
      <c r="BG27" s="22">
        <f t="shared" si="7"/>
        <v>202.05548980820535</v>
      </c>
      <c r="BH27" s="62">
        <f t="shared" si="8"/>
        <v>495.38882314153864</v>
      </c>
      <c r="BI27" s="62">
        <f ca="1">AVERAGE(OFFSET($BH$3,0,0,'Données projet'!$E$11+1,1))-AVERAGE(OFFSET($H$3,0,0,'Données projet'!$E$11+1,1))</f>
        <v>310.95287409903602</v>
      </c>
      <c r="BJ27" s="62">
        <f t="shared" si="38"/>
        <v>224.10083380795163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144</v>
      </c>
      <c r="L28" s="13">
        <f>VLOOKUP(A28,'Données projet'!$A$35:$I$55,9,0)</f>
        <v>12.333333333333334</v>
      </c>
      <c r="M28" s="13">
        <f t="array" ref="M28">INDEX(L:L,MIN(IF(ISNUMBER(L28:L224),ROW(L28:L224),"")))</f>
        <v>12.333333333333334</v>
      </c>
      <c r="N28" s="14">
        <f>IF('Données projet'!$A$36&gt;35,N27+M28-V27,IF(A28&lt;'Données projet'!$A$36,$K$205^A28,IF(A28='Données projet'!$A$36,'Données projet'!$B$36,N27+M28-V27)))</f>
        <v>144.00000000000003</v>
      </c>
      <c r="O28" s="14">
        <f>N28*VLOOKUP('Données projet'!$B$9,Paramètres!$A$1:$I$89,3,0)*VLOOKUP('Données projet'!$B$9,Paramètres!$A$1:$I$89,5,0)</f>
        <v>86.112000000000009</v>
      </c>
      <c r="P28" s="14">
        <f t="shared" si="33"/>
        <v>23.625136642852297</v>
      </c>
      <c r="Q28" s="22">
        <f t="shared" si="2"/>
        <v>191.12551298630106</v>
      </c>
      <c r="R28" s="62">
        <f t="shared" si="0"/>
        <v>484.4588463196344</v>
      </c>
      <c r="S28" s="62">
        <f ca="1">AVERAGE(OFFSET($R$3,0,0,'Données projet'!$E$9+1,1))-AVERAGE(OFFSET($H$3,0,0,'Données projet'!$E$9+1,1))</f>
        <v>287.69656598881124</v>
      </c>
      <c r="T28" s="62">
        <f t="shared" si="34"/>
        <v>221.9773436301067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17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1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15.34038764069177</v>
      </c>
      <c r="AC28" s="24">
        <f t="shared" si="3"/>
        <v>15.34038764069177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335</v>
      </c>
      <c r="AG28" s="13">
        <f>VLOOKUP(A28,'Données projet'!$A$61:$I$81,9,0)</f>
        <v>28.833333333333332</v>
      </c>
      <c r="AH28" s="13">
        <f t="array" ref="AH28">INDEX(AG:AG,MIN(IF(ISNUMBER(AG28:AG224),ROW(AG28:AG224),"")))</f>
        <v>28.833333333333332</v>
      </c>
      <c r="AI28" s="14">
        <f>IF('Données projet'!$A$62&gt;35,AI27+AH28-AQ27,IF(A28&lt;'Données projet'!$A$62,$AF$205^A28,IF(A28='Données projet'!$A$62,'Données projet'!$B$62,AI27+AH28-AQ27)))</f>
        <v>335</v>
      </c>
      <c r="AJ28" s="14">
        <f>AI28*VLOOKUP('Données projet'!$B$10,Paramètres!$A$1:$I$89,3,0)*VLOOKUP('Données projet'!$B$10,Paramètres!$A$1:$I$89,5,0)</f>
        <v>187.26500000000001</v>
      </c>
      <c r="AK28" s="14">
        <f t="shared" si="35"/>
        <v>46.934773872544483</v>
      </c>
      <c r="AL28" s="22">
        <f t="shared" si="4"/>
        <v>407.89793949468162</v>
      </c>
      <c r="AM28" s="62">
        <f t="shared" si="5"/>
        <v>701.23127282801488</v>
      </c>
      <c r="AN28" s="62">
        <f ca="1">AVERAGE(OFFSET($AM$3,0,0,'Données projet'!$E$10+1,1))-AVERAGE(OFFSET($H$3,0,0,'Données projet'!$E$10+1,1))</f>
        <v>382.55387448074327</v>
      </c>
      <c r="AO28" s="62">
        <f t="shared" si="36"/>
        <v>476.29465646955543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54</v>
      </c>
      <c r="AR28" s="17">
        <f>IF(ISNA(VLOOKUP(A28,'Données projet'!$A$61:$I$81,5,0)),0%,VLOOKUP(A28,'Données projet'!$A$61:$I$81,5,0)*VLOOKUP('Données projet'!$B$10,Paramètres!$A$1:$I$89,7,0))</f>
        <v>5.5000000000000007E-2</v>
      </c>
      <c r="AS28" s="17">
        <f>IF(ISNA(VLOOKUP(A28,'Données projet'!$A$61:$I$81,6,0)),0%,VLOOKUP(A28,'Données projet'!$A$61:$I$81,6,0)*VLOOKUP('Données projet'!$B$10,Paramètres!$A$1:$I$89,7,0))</f>
        <v>0.22000000000000003</v>
      </c>
      <c r="AT28" s="17">
        <f>IF(ISNA(VLOOKUP(A28,'Données projet'!$A$61:$I$81,7,0)),0%,VLOOKUP(A28,'Données projet'!$A$61:$I$81,7,0))</f>
        <v>0.5</v>
      </c>
      <c r="AU28" s="23">
        <f>EXP(-LN(2)/35)*AU27+(1-EXP(-LN(2)/35))/(LN(2)/35)*AQ28*AR28*VLOOKUP('Données projet'!$B$10,Paramètres!$A$1:$I$89,3,0)*0.475*44/12</f>
        <v>2.2024021058543881</v>
      </c>
      <c r="AV28" s="23">
        <f>EXP(-LN(2)/25)*AV27+(1-EXP(-LN(2)/25))/(LN(2)/25)*Calculateur!AQ28*Calculateur!AS28*VLOOKUP('Données projet'!$B$10,Paramètres!$A$1:$I$89,3,0)*0.475*44/12</f>
        <v>8.7749216383305857</v>
      </c>
      <c r="AW28" s="23">
        <f>EXP(-LN(2)/2)*AW27+(1-EXP(-LN(2)/2))/(LN(2)/2)*AQ28*AT28*VLOOKUP('Données projet'!$B$10,Paramètres!$A$1:$I$89,3,0)*0.475*44/12</f>
        <v>17.088782066566949</v>
      </c>
      <c r="AX28" s="23">
        <f t="shared" si="6"/>
        <v>28.066105810751921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9.1999999999999993</v>
      </c>
      <c r="BD28" s="13">
        <f>IF('Données projet'!$A$88&gt;35,BD27+BC28-BL27,IF(A28&lt;'Données projet'!$A$88,$BA$205^A28,IF(A28='Données projet'!$A$88,'Données projet'!$B$88,BD27+BC28-BL27)))</f>
        <v>203.99999999999994</v>
      </c>
      <c r="BE28" s="14">
        <f>BD28*VLOOKUP('Données projet'!$B$11,Paramètres!$A$1:$I$89,3,0)*VLOOKUP('Données projet'!$B$11,Paramètres!$A$1:$I$89,5,0)</f>
        <v>95.47199999999998</v>
      </c>
      <c r="BF28" s="14">
        <f t="shared" si="37"/>
        <v>25.880372123231144</v>
      </c>
      <c r="BG28" s="22">
        <f t="shared" si="7"/>
        <v>211.35538144796087</v>
      </c>
      <c r="BH28" s="62">
        <f t="shared" si="8"/>
        <v>504.68871478129415</v>
      </c>
      <c r="BI28" s="62">
        <f ca="1">AVERAGE(OFFSET($BH$3,0,0,'Données projet'!$E$11+1,1))-AVERAGE(OFFSET($H$3,0,0,'Données projet'!$E$11+1,1))</f>
        <v>310.95287409903602</v>
      </c>
      <c r="BJ28" s="62">
        <f t="shared" si="38"/>
        <v>224.10083380795163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13.4</v>
      </c>
      <c r="N29" s="14">
        <f>IF('Données projet'!$A$36&gt;35,N28+M29-V28,IF(A29&lt;'Données projet'!$A$36,$K$205^A29,IF(A29='Données projet'!$A$36,'Données projet'!$B$36,N28+M29-V28)))</f>
        <v>140.40000000000003</v>
      </c>
      <c r="O29" s="14">
        <f>N29*VLOOKUP('Données projet'!$B$9,Paramètres!$A$1:$I$89,3,0)*VLOOKUP('Données projet'!$B$9,Paramètres!$A$1:$I$89,5,0)</f>
        <v>83.959200000000024</v>
      </c>
      <c r="P29" s="14">
        <f t="shared" si="33"/>
        <v>23.102490880810642</v>
      </c>
      <c r="Q29" s="22">
        <f t="shared" si="2"/>
        <v>186.46577828407854</v>
      </c>
      <c r="R29" s="62">
        <f t="shared" si="0"/>
        <v>479.79911161741188</v>
      </c>
      <c r="S29" s="62">
        <f ca="1">AVERAGE(OFFSET($R$3,0,0,'Données projet'!$E$9+1,1))-AVERAGE(OFFSET($H$3,0,0,'Données projet'!$E$9+1,1))</f>
        <v>287.69656598881124</v>
      </c>
      <c r="T29" s="62">
        <f t="shared" si="34"/>
        <v>221.9773436301067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10.847292126763454</v>
      </c>
      <c r="AC29" s="24">
        <f t="shared" si="3"/>
        <v>10.847292126763454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28</v>
      </c>
      <c r="AI29" s="14">
        <f>IF('Données projet'!$A$62&gt;35,AI28+AH29-AQ28,IF(A29&lt;'Données projet'!$A$62,$AF$205^A29,IF(A29='Données projet'!$A$62,'Données projet'!$B$62,AI28+AH29-AQ28)))</f>
        <v>309</v>
      </c>
      <c r="AJ29" s="14">
        <f>AI29*VLOOKUP('Données projet'!$B$10,Paramètres!$A$1:$I$89,3,0)*VLOOKUP('Données projet'!$B$10,Paramètres!$A$1:$I$89,5,0)</f>
        <v>172.73100000000002</v>
      </c>
      <c r="AK29" s="14">
        <f t="shared" si="35"/>
        <v>43.701108252019125</v>
      </c>
      <c r="AL29" s="22">
        <f t="shared" si="4"/>
        <v>376.9525885389333</v>
      </c>
      <c r="AM29" s="62">
        <f t="shared" si="5"/>
        <v>670.28592187226661</v>
      </c>
      <c r="AN29" s="62">
        <f ca="1">AVERAGE(OFFSET($AM$3,0,0,'Données projet'!$E$10+1,1))-AVERAGE(OFFSET($H$3,0,0,'Données projet'!$E$10+1,1))</f>
        <v>382.55387448074327</v>
      </c>
      <c r="AO29" s="62">
        <f t="shared" si="36"/>
        <v>476.29465646955543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2.1592143438912252</v>
      </c>
      <c r="AV29" s="23">
        <f>EXP(-LN(2)/25)*AV28+(1-EXP(-LN(2)/25))/(LN(2)/25)*Calculateur!AQ29*Calculateur!AS29*VLOOKUP('Données projet'!$B$10,Paramètres!$A$1:$I$89,3,0)*0.475*44/12</f>
        <v>8.5349709446773616</v>
      </c>
      <c r="AW29" s="23">
        <f>EXP(-LN(2)/2)*AW28+(1-EXP(-LN(2)/2))/(LN(2)/2)*AQ29*AT29*VLOOKUP('Données projet'!$B$10,Paramètres!$A$1:$I$89,3,0)*0.475*44/12</f>
        <v>12.083593681488555</v>
      </c>
      <c r="AX29" s="23">
        <f t="shared" si="6"/>
        <v>22.777778970057142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213.19999999999993</v>
      </c>
      <c r="BE29" s="14">
        <f>BD29*VLOOKUP('Données projet'!$B$11,Paramètres!$A$1:$I$89,3,0)*VLOOKUP('Données projet'!$B$11,Paramètres!$A$1:$I$89,5,0)</f>
        <v>99.777599999999964</v>
      </c>
      <c r="BF29" s="14">
        <f t="shared" si="37"/>
        <v>26.909006951444532</v>
      </c>
      <c r="BG29" s="22">
        <f t="shared" si="7"/>
        <v>220.64584044043249</v>
      </c>
      <c r="BH29" s="62">
        <f t="shared" si="8"/>
        <v>513.97917377376575</v>
      </c>
      <c r="BI29" s="62">
        <f ca="1">AVERAGE(OFFSET($BH$3,0,0,'Données projet'!$E$11+1,1))-AVERAGE(OFFSET($H$3,0,0,'Données projet'!$E$11+1,1))</f>
        <v>310.95287409903602</v>
      </c>
      <c r="BJ29" s="62">
        <f t="shared" si="38"/>
        <v>224.10083380795163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13.4</v>
      </c>
      <c r="N30" s="14">
        <f>IF('Données projet'!$A$36&gt;35,N29+M30-V29,IF(A30&lt;'Données projet'!$A$36,$K$205^A30,IF(A30='Données projet'!$A$36,'Données projet'!$B$36,N29+M30-V29)))</f>
        <v>153.80000000000004</v>
      </c>
      <c r="O30" s="14">
        <f>N30*VLOOKUP('Données projet'!$B$9,Paramètres!$A$1:$I$89,3,0)*VLOOKUP('Données projet'!$B$9,Paramètres!$A$1:$I$89,5,0)</f>
        <v>91.972400000000022</v>
      </c>
      <c r="P30" s="14">
        <f t="shared" si="33"/>
        <v>25.040318527820091</v>
      </c>
      <c r="Q30" s="22">
        <f t="shared" si="2"/>
        <v>203.79715143595334</v>
      </c>
      <c r="R30" s="62">
        <f t="shared" si="0"/>
        <v>497.13048476928668</v>
      </c>
      <c r="S30" s="62">
        <f ca="1">AVERAGE(OFFSET($R$3,0,0,'Données projet'!$E$9+1,1))-AVERAGE(OFFSET($H$3,0,0,'Données projet'!$E$9+1,1))</f>
        <v>287.69656598881124</v>
      </c>
      <c r="T30" s="62">
        <f t="shared" si="34"/>
        <v>221.9773436301067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7.6701938203458866</v>
      </c>
      <c r="AC30" s="24">
        <f t="shared" si="3"/>
        <v>7.6701938203458866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28</v>
      </c>
      <c r="AI30" s="14">
        <f>IF('Données projet'!$A$62&gt;35,AI29+AH30-AQ29,IF(A30&lt;'Données projet'!$A$62,$AF$205^A30,IF(A30='Données projet'!$A$62,'Données projet'!$B$62,AI29+AH30-AQ29)))</f>
        <v>337</v>
      </c>
      <c r="AJ30" s="14">
        <f>AI30*VLOOKUP('Données projet'!$B$10,Paramètres!$A$1:$I$89,3,0)*VLOOKUP('Données projet'!$B$10,Paramètres!$A$1:$I$89,5,0)</f>
        <v>188.38300000000001</v>
      </c>
      <c r="AK30" s="14">
        <f t="shared" si="35"/>
        <v>47.182279474248382</v>
      </c>
      <c r="AL30" s="22">
        <f t="shared" si="4"/>
        <v>410.27619508431599</v>
      </c>
      <c r="AM30" s="62">
        <f t="shared" si="5"/>
        <v>703.60952841764924</v>
      </c>
      <c r="AN30" s="62">
        <f ca="1">AVERAGE(OFFSET($AM$3,0,0,'Données projet'!$E$10+1,1))-AVERAGE(OFFSET($H$3,0,0,'Données projet'!$E$10+1,1))</f>
        <v>382.55387448074327</v>
      </c>
      <c r="AO30" s="62">
        <f t="shared" si="36"/>
        <v>476.29465646955543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2.1168734675982259</v>
      </c>
      <c r="AV30" s="23">
        <f>EXP(-LN(2)/25)*AV29+(1-EXP(-LN(2)/25))/(LN(2)/25)*Calculateur!AQ30*Calculateur!AS30*VLOOKUP('Données projet'!$B$10,Paramètres!$A$1:$I$89,3,0)*0.475*44/12</f>
        <v>8.3015817153605447</v>
      </c>
      <c r="AW30" s="23">
        <f>EXP(-LN(2)/2)*AW29+(1-EXP(-LN(2)/2))/(LN(2)/2)*AQ30*AT30*VLOOKUP('Données projet'!$B$10,Paramètres!$A$1:$I$89,3,0)*0.475*44/12</f>
        <v>8.5443910332834765</v>
      </c>
      <c r="AX30" s="23">
        <f t="shared" si="6"/>
        <v>18.962846216242248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222.39999999999992</v>
      </c>
      <c r="BE30" s="14">
        <f>BD30*VLOOKUP('Données projet'!$B$11,Paramètres!$A$1:$I$89,3,0)*VLOOKUP('Données projet'!$B$11,Paramètres!$A$1:$I$89,5,0)</f>
        <v>104.08319999999996</v>
      </c>
      <c r="BF30" s="14">
        <f t="shared" si="37"/>
        <v>27.932486325387405</v>
      </c>
      <c r="BG30" s="22">
        <f t="shared" si="7"/>
        <v>229.92732035004965</v>
      </c>
      <c r="BH30" s="62">
        <f t="shared" si="8"/>
        <v>523.260653683383</v>
      </c>
      <c r="BI30" s="62">
        <f ca="1">AVERAGE(OFFSET($BH$3,0,0,'Données projet'!$E$11+1,1))-AVERAGE(OFFSET($H$3,0,0,'Données projet'!$E$11+1,1))</f>
        <v>310.95287409903602</v>
      </c>
      <c r="BJ30" s="62">
        <f t="shared" si="38"/>
        <v>224.10083380795163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13.4</v>
      </c>
      <c r="N31" s="14">
        <f>IF('Données projet'!$A$36&gt;35,N30+M31-V30,IF(A31&lt;'Données projet'!$A$36,$K$205^A31,IF(A31='Données projet'!$A$36,'Données projet'!$B$36,N30+M31-V30)))</f>
        <v>167.20000000000005</v>
      </c>
      <c r="O31" s="14">
        <f>N31*VLOOKUP('Données projet'!$B$9,Paramètres!$A$1:$I$89,3,0)*VLOOKUP('Données projet'!$B$9,Paramètres!$A$1:$I$89,5,0)</f>
        <v>99.985600000000034</v>
      </c>
      <c r="P31" s="14">
        <f t="shared" si="33"/>
        <v>26.958566918169435</v>
      </c>
      <c r="Q31" s="22">
        <f t="shared" si="2"/>
        <v>221.09442404914515</v>
      </c>
      <c r="R31" s="62">
        <f t="shared" si="0"/>
        <v>514.42775738247849</v>
      </c>
      <c r="S31" s="62">
        <f ca="1">AVERAGE(OFFSET($R$3,0,0,'Données projet'!$E$9+1,1))-AVERAGE(OFFSET($H$3,0,0,'Données projet'!$E$9+1,1))</f>
        <v>287.69656598881124</v>
      </c>
      <c r="T31" s="62">
        <f t="shared" si="34"/>
        <v>221.9773436301067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5.4236460633817281</v>
      </c>
      <c r="AC31" s="24">
        <f t="shared" si="3"/>
        <v>5.4236460633817281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28</v>
      </c>
      <c r="AI31" s="14">
        <f>IF('Données projet'!$A$62&gt;35,AI30+AH31-AQ30,IF(A31&lt;'Données projet'!$A$62,$AF$205^A31,IF(A31='Données projet'!$A$62,'Données projet'!$B$62,AI30+AH31-AQ30)))</f>
        <v>365</v>
      </c>
      <c r="AJ31" s="14">
        <f>AI31*VLOOKUP('Données projet'!$B$10,Paramètres!$A$1:$I$89,3,0)*VLOOKUP('Données projet'!$B$10,Paramètres!$A$1:$I$89,5,0)</f>
        <v>204.035</v>
      </c>
      <c r="AK31" s="14">
        <f t="shared" si="35"/>
        <v>50.629905099971396</v>
      </c>
      <c r="AL31" s="22">
        <f t="shared" si="4"/>
        <v>443.54137638245015</v>
      </c>
      <c r="AM31" s="62">
        <f t="shared" si="5"/>
        <v>736.87470971578341</v>
      </c>
      <c r="AN31" s="62">
        <f ca="1">AVERAGE(OFFSET($AM$3,0,0,'Données projet'!$E$10+1,1))-AVERAGE(OFFSET($H$3,0,0,'Données projet'!$E$10+1,1))</f>
        <v>382.55387448074327</v>
      </c>
      <c r="AO31" s="62">
        <f t="shared" si="36"/>
        <v>476.29465646955543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2.0753628700639482</v>
      </c>
      <c r="AV31" s="23">
        <f>EXP(-LN(2)/25)*AV30+(1-EXP(-LN(2)/25))/(LN(2)/25)*Calculateur!AQ31*Calculateur!AS31*VLOOKUP('Données projet'!$B$10,Paramètres!$A$1:$I$89,3,0)*0.475*44/12</f>
        <v>8.0745745267928015</v>
      </c>
      <c r="AW31" s="23">
        <f>EXP(-LN(2)/2)*AW30+(1-EXP(-LN(2)/2))/(LN(2)/2)*AQ31*AT31*VLOOKUP('Données projet'!$B$10,Paramètres!$A$1:$I$89,3,0)*0.475*44/12</f>
        <v>6.0417968407442784</v>
      </c>
      <c r="AX31" s="23">
        <f t="shared" si="6"/>
        <v>16.191734237601029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231.59999999999991</v>
      </c>
      <c r="BE31" s="14">
        <f>BD31*VLOOKUP('Données projet'!$B$11,Paramètres!$A$1:$I$89,3,0)*VLOOKUP('Données projet'!$B$11,Paramètres!$A$1:$I$89,5,0)</f>
        <v>108.38879999999996</v>
      </c>
      <c r="BF31" s="14">
        <f t="shared" si="37"/>
        <v>28.95104790024919</v>
      </c>
      <c r="BG31" s="22">
        <f t="shared" si="7"/>
        <v>239.20023509293392</v>
      </c>
      <c r="BH31" s="62">
        <f t="shared" si="8"/>
        <v>532.53356842626727</v>
      </c>
      <c r="BI31" s="62">
        <f ca="1">AVERAGE(OFFSET($BH$3,0,0,'Données projet'!$E$11+1,1))-AVERAGE(OFFSET($H$3,0,0,'Données projet'!$E$11+1,1))</f>
        <v>310.95287409903602</v>
      </c>
      <c r="BJ31" s="62">
        <f t="shared" si="38"/>
        <v>224.10083380795163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13.4</v>
      </c>
      <c r="N32" s="14">
        <f>IF('Données projet'!$A$36&gt;35,N31+M32-V31,IF(A32&lt;'Données projet'!$A$36,$K$205^A32,IF(A32='Données projet'!$A$36,'Données projet'!$B$36,N31+M32-V31)))</f>
        <v>180.60000000000005</v>
      </c>
      <c r="O32" s="14">
        <f>N32*VLOOKUP('Données projet'!$B$9,Paramètres!$A$1:$I$89,3,0)*VLOOKUP('Données projet'!$B$9,Paramètres!$A$1:$I$89,5,0)</f>
        <v>107.99880000000003</v>
      </c>
      <c r="P32" s="14">
        <f t="shared" si="33"/>
        <v>28.85898360070161</v>
      </c>
      <c r="Q32" s="22">
        <f t="shared" si="2"/>
        <v>238.36063977122203</v>
      </c>
      <c r="R32" s="62">
        <f t="shared" si="0"/>
        <v>531.69397310455531</v>
      </c>
      <c r="S32" s="62">
        <f ca="1">AVERAGE(OFFSET($R$3,0,0,'Données projet'!$E$9+1,1))-AVERAGE(OFFSET($H$3,0,0,'Données projet'!$E$9+1,1))</f>
        <v>287.69656598881124</v>
      </c>
      <c r="T32" s="62">
        <f t="shared" si="34"/>
        <v>221.9773436301067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3.8350969101729437</v>
      </c>
      <c r="AC32" s="24">
        <f t="shared" si="3"/>
        <v>3.8350969101729437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28</v>
      </c>
      <c r="AI32" s="14">
        <f>IF('Données projet'!$A$62&gt;35,AI31+AH32-AQ31,IF(A32&lt;'Données projet'!$A$62,$AF$205^A32,IF(A32='Données projet'!$A$62,'Données projet'!$B$62,AI31+AH32-AQ31)))</f>
        <v>393</v>
      </c>
      <c r="AJ32" s="14">
        <f>AI32*VLOOKUP('Données projet'!$B$10,Paramètres!$A$1:$I$89,3,0)*VLOOKUP('Données projet'!$B$10,Paramètres!$A$1:$I$89,5,0)</f>
        <v>219.68700000000001</v>
      </c>
      <c r="AK32" s="14">
        <f t="shared" si="35"/>
        <v>54.046851081096591</v>
      </c>
      <c r="AL32" s="22">
        <f t="shared" si="4"/>
        <v>476.75312396624321</v>
      </c>
      <c r="AM32" s="62">
        <f t="shared" si="5"/>
        <v>770.08645729957652</v>
      </c>
      <c r="AN32" s="62">
        <f ca="1">AVERAGE(OFFSET($AM$3,0,0,'Données projet'!$E$10+1,1))-AVERAGE(OFFSET($H$3,0,0,'Données projet'!$E$10+1,1))</f>
        <v>382.55387448074327</v>
      </c>
      <c r="AO32" s="62">
        <f t="shared" si="36"/>
        <v>476.29465646955543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2.0346662700283531</v>
      </c>
      <c r="AV32" s="23">
        <f>EXP(-LN(2)/25)*AV31+(1-EXP(-LN(2)/25))/(LN(2)/25)*Calculateur!AQ32*Calculateur!AS32*VLOOKUP('Données projet'!$B$10,Paramètres!$A$1:$I$89,3,0)*0.475*44/12</f>
        <v>7.8537748617342329</v>
      </c>
      <c r="AW32" s="23">
        <f>EXP(-LN(2)/2)*AW31+(1-EXP(-LN(2)/2))/(LN(2)/2)*AQ32*AT32*VLOOKUP('Données projet'!$B$10,Paramètres!$A$1:$I$89,3,0)*0.475*44/12</f>
        <v>4.2721955166417391</v>
      </c>
      <c r="AX32" s="23">
        <f t="shared" si="6"/>
        <v>14.160636648404326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240.7999999999999</v>
      </c>
      <c r="BE32" s="14">
        <f>BD32*VLOOKUP('Données projet'!$B$11,Paramètres!$A$1:$I$89,3,0)*VLOOKUP('Données projet'!$B$11,Paramètres!$A$1:$I$89,5,0)</f>
        <v>112.69439999999994</v>
      </c>
      <c r="BF32" s="14">
        <f t="shared" si="37"/>
        <v>29.964909381330607</v>
      </c>
      <c r="BG32" s="22">
        <f t="shared" si="7"/>
        <v>248.46496383915073</v>
      </c>
      <c r="BH32" s="62">
        <f t="shared" si="8"/>
        <v>541.79829717248401</v>
      </c>
      <c r="BI32" s="62">
        <f ca="1">AVERAGE(OFFSET($BH$3,0,0,'Données projet'!$E$11+1,1))-AVERAGE(OFFSET($H$3,0,0,'Données projet'!$E$11+1,1))</f>
        <v>310.95287409903602</v>
      </c>
      <c r="BJ32" s="62">
        <f t="shared" si="38"/>
        <v>224.10083380795163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194</v>
      </c>
      <c r="L33" s="13">
        <f>VLOOKUP(A33,'Données projet'!$A$35:$I$55,9,0)</f>
        <v>13.4</v>
      </c>
      <c r="M33" s="13">
        <f t="array" ref="M33">INDEX(L:L,MIN(IF(ISNUMBER(L33:L229),ROW(L33:L229),"")))</f>
        <v>13.4</v>
      </c>
      <c r="N33" s="14">
        <f>IF('Données projet'!$A$36&gt;35,N32+M33-V32,IF(A33&lt;'Données projet'!$A$36,$K$205^A33,IF(A33='Données projet'!$A$36,'Données projet'!$B$36,N32+M33-V32)))</f>
        <v>194.00000000000006</v>
      </c>
      <c r="O33" s="14">
        <f>N33*VLOOKUP('Données projet'!$B$9,Paramètres!$A$1:$I$89,3,0)*VLOOKUP('Données projet'!$B$9,Paramètres!$A$1:$I$89,5,0)</f>
        <v>116.01200000000003</v>
      </c>
      <c r="P33" s="14">
        <f t="shared" si="33"/>
        <v>30.743042086238173</v>
      </c>
      <c r="Q33" s="22">
        <f t="shared" si="2"/>
        <v>255.59836496686489</v>
      </c>
      <c r="R33" s="62">
        <f t="shared" si="0"/>
        <v>548.93169830019815</v>
      </c>
      <c r="S33" s="62">
        <f ca="1">AVERAGE(OFFSET($R$3,0,0,'Données projet'!$E$9+1,1))-AVERAGE(OFFSET($H$3,0,0,'Données projet'!$E$9+1,1))</f>
        <v>287.69656598881124</v>
      </c>
      <c r="T33" s="62">
        <f t="shared" si="34"/>
        <v>221.9773436301067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34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0.22500000000000001</v>
      </c>
      <c r="Y33" s="17">
        <f>IF(ISNA(VLOOKUP(A33,'Données projet'!$A$35:$I$55,7,0)),0%,VLOOKUP(A33,'Données projet'!$A$35:$I$55,7,0))</f>
        <v>0.5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6.0447398882791736</v>
      </c>
      <c r="AB33" s="23">
        <f>EXP(-LN(2)/2)*AB32+(1-EXP(-LN(2)/2))/(LN(2)/2)*V33*Y33*VLOOKUP('Données projet'!$B$9,Paramètres!$A$1:$I$89,3,0)*0.475*44/12</f>
        <v>14.222096568344917</v>
      </c>
      <c r="AC33" s="24">
        <f t="shared" si="3"/>
        <v>20.266836456624091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421</v>
      </c>
      <c r="AG33" s="13">
        <f>VLOOKUP(A33,'Données projet'!$A$61:$I$81,9,0)</f>
        <v>28</v>
      </c>
      <c r="AH33" s="13">
        <f t="array" ref="AH33">INDEX(AG:AG,MIN(IF(ISNUMBER(AG33:AG229),ROW(AG33:AG229),"")))</f>
        <v>28</v>
      </c>
      <c r="AI33" s="14">
        <f>IF('Données projet'!$A$62&gt;35,AI32+AH33-AQ32,IF(A33&lt;'Données projet'!$A$62,$AF$205^A33,IF(A33='Données projet'!$A$62,'Données projet'!$B$62,AI32+AH33-AQ32)))</f>
        <v>421</v>
      </c>
      <c r="AJ33" s="14">
        <f>AI33*VLOOKUP('Données projet'!$B$10,Paramètres!$A$1:$I$89,3,0)*VLOOKUP('Données projet'!$B$10,Paramètres!$A$1:$I$89,5,0)</f>
        <v>235.339</v>
      </c>
      <c r="AK33" s="14">
        <f t="shared" si="35"/>
        <v>57.43555185051494</v>
      </c>
      <c r="AL33" s="22">
        <f t="shared" si="4"/>
        <v>509.91567780631357</v>
      </c>
      <c r="AM33" s="62">
        <f t="shared" si="5"/>
        <v>803.24901113964688</v>
      </c>
      <c r="AN33" s="62">
        <f ca="1">AVERAGE(OFFSET($AM$3,0,0,'Données projet'!$E$10+1,1))-AVERAGE(OFFSET($H$3,0,0,'Données projet'!$E$10+1,1))</f>
        <v>382.55387448074327</v>
      </c>
      <c r="AO33" s="62">
        <f t="shared" si="36"/>
        <v>476.29465646955543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54</v>
      </c>
      <c r="AR33" s="17">
        <f>IF(ISNA(VLOOKUP(A33,'Données projet'!$A$61:$I$81,5,0)),0%,VLOOKUP(A33,'Données projet'!$A$61:$I$81,5,0)*VLOOKUP('Données projet'!$B$10,Paramètres!$A$1:$I$89,7,0))</f>
        <v>0.22000000000000003</v>
      </c>
      <c r="AS33" s="17">
        <f>IF(ISNA(VLOOKUP(A33,'Données projet'!$A$61:$I$81,6,0)),0%,VLOOKUP(A33,'Données projet'!$A$61:$I$81,6,0)*VLOOKUP('Données projet'!$B$10,Paramètres!$A$1:$I$89,7,0))</f>
        <v>0.16500000000000001</v>
      </c>
      <c r="AT33" s="17">
        <f>IF(ISNA(VLOOKUP(A33,'Données projet'!$A$61:$I$81,7,0)),0%,VLOOKUP(A33,'Données projet'!$A$61:$I$81,7,0))</f>
        <v>0.3</v>
      </c>
      <c r="AU33" s="23">
        <f>EXP(-LN(2)/35)*AU32+(1-EXP(-LN(2)/35))/(LN(2)/35)*AQ33*AR33*VLOOKUP('Données projet'!$B$10,Paramètres!$A$1:$I$89,3,0)*0.475*44/12</f>
        <v>10.804376128914534</v>
      </c>
      <c r="AV33" s="23">
        <f>EXP(-LN(2)/25)*AV32+(1-EXP(-LN(2)/25))/(LN(2)/25)*Calculateur!AQ33*Calculateur!AS33*VLOOKUP('Données projet'!$B$10,Paramètres!$A$1:$I$89,3,0)*0.475*44/12</f>
        <v>14.220204203875978</v>
      </c>
      <c r="AW33" s="23">
        <f>EXP(-LN(2)/2)*AW32+(1-EXP(-LN(2)/2))/(LN(2)/2)*AQ33*AT33*VLOOKUP('Données projet'!$B$10,Paramètres!$A$1:$I$89,3,0)*0.475*44/12</f>
        <v>13.274167660312308</v>
      </c>
      <c r="AX33" s="23">
        <f t="shared" si="6"/>
        <v>38.298747993102822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250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249.99999999999989</v>
      </c>
      <c r="BE33" s="14">
        <f>BD33*VLOOKUP('Données projet'!$B$11,Paramètres!$A$1:$I$89,3,0)*VLOOKUP('Données projet'!$B$11,Paramètres!$A$1:$I$89,5,0)</f>
        <v>116.99999999999994</v>
      </c>
      <c r="BF33" s="14">
        <f t="shared" si="37"/>
        <v>30.974270896484118</v>
      </c>
      <c r="BG33" s="22">
        <f t="shared" si="7"/>
        <v>257.72185514470976</v>
      </c>
      <c r="BH33" s="62">
        <f t="shared" si="8"/>
        <v>551.05518847804308</v>
      </c>
      <c r="BI33" s="62">
        <f ca="1">AVERAGE(OFFSET($BH$3,0,0,'Données projet'!$E$11+1,1))-AVERAGE(OFFSET($H$3,0,0,'Données projet'!$E$11+1,1))</f>
        <v>310.95287409903602</v>
      </c>
      <c r="BJ33" s="62">
        <f t="shared" si="38"/>
        <v>224.10083380795163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14.6</v>
      </c>
      <c r="N34" s="14">
        <f>IF('Données projet'!$A$36&gt;35,N33+M34-V33,IF(A34&lt;'Données projet'!$A$36,$K$205^A34,IF(A34='Données projet'!$A$36,'Données projet'!$B$36,N33+M34-V33)))</f>
        <v>174.60000000000005</v>
      </c>
      <c r="O34" s="14">
        <f>N34*VLOOKUP('Données projet'!$B$9,Paramètres!$A$1:$I$89,3,0)*VLOOKUP('Données projet'!$B$9,Paramètres!$A$1:$I$89,5,0)</f>
        <v>104.41080000000004</v>
      </c>
      <c r="P34" s="14">
        <f t="shared" si="33"/>
        <v>28.010155571424168</v>
      </c>
      <c r="Q34" s="22">
        <f t="shared" si="2"/>
        <v>230.63316428689714</v>
      </c>
      <c r="R34" s="62">
        <f t="shared" si="0"/>
        <v>523.96649762023048</v>
      </c>
      <c r="S34" s="62">
        <f ca="1">AVERAGE(OFFSET($R$3,0,0,'Données projet'!$E$9+1,1))-AVERAGE(OFFSET($H$3,0,0,'Données projet'!$E$9+1,1))</f>
        <v>287.69656598881124</v>
      </c>
      <c r="T34" s="62">
        <f t="shared" si="34"/>
        <v>221.9773436301067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5.8794461581551243</v>
      </c>
      <c r="AB34" s="23">
        <f>EXP(-LN(2)/2)*AB33+(1-EXP(-LN(2)/2))/(LN(2)/2)*V34*Y34*VLOOKUP('Données projet'!$B$9,Paramètres!$A$1:$I$89,3,0)*0.475*44/12</f>
        <v>10.056540926166617</v>
      </c>
      <c r="AC34" s="24">
        <f t="shared" si="3"/>
        <v>15.935987084321741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27.6</v>
      </c>
      <c r="AI34" s="14">
        <f>IF('Données projet'!$A$62&gt;35,AI33+AH34-AQ33,IF(A34&lt;'Données projet'!$A$62,$AF$205^A34,IF(A34='Données projet'!$A$62,'Données projet'!$B$62,AI33+AH34-AQ33)))</f>
        <v>394.6</v>
      </c>
      <c r="AJ34" s="14">
        <f>AI34*VLOOKUP('Données projet'!$B$10,Paramètres!$A$1:$I$89,3,0)*VLOOKUP('Données projet'!$B$10,Paramètres!$A$1:$I$89,5,0)</f>
        <v>220.5814</v>
      </c>
      <c r="AK34" s="14">
        <f t="shared" si="35"/>
        <v>54.241230721401301</v>
      </c>
      <c r="AL34" s="22">
        <f t="shared" si="4"/>
        <v>478.64941517310723</v>
      </c>
      <c r="AM34" s="62">
        <f t="shared" si="5"/>
        <v>771.98274850644054</v>
      </c>
      <c r="AN34" s="62">
        <f ca="1">AVERAGE(OFFSET($AM$3,0,0,'Données projet'!$E$10+1,1))-AVERAGE(OFFSET($H$3,0,0,'Données projet'!$E$10+1,1))</f>
        <v>382.55387448074327</v>
      </c>
      <c r="AO34" s="62">
        <f t="shared" si="36"/>
        <v>476.29465646955543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10.592508903045248</v>
      </c>
      <c r="AV34" s="23">
        <f>EXP(-LN(2)/25)*AV33+(1-EXP(-LN(2)/25))/(LN(2)/25)*Calculateur!AQ34*Calculateur!AS34*VLOOKUP('Données projet'!$B$10,Paramètres!$A$1:$I$89,3,0)*0.475*44/12</f>
        <v>13.831351972112952</v>
      </c>
      <c r="AW34" s="23">
        <f>EXP(-LN(2)/2)*AW33+(1-EXP(-LN(2)/2))/(LN(2)/2)*AQ34*AT34*VLOOKUP('Données projet'!$B$10,Paramètres!$A$1:$I$89,3,0)*0.475*44/12</f>
        <v>9.3862539672140013</v>
      </c>
      <c r="AX34" s="23">
        <f t="shared" si="6"/>
        <v>33.810114842372201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</v>
      </c>
      <c r="BD34" s="13">
        <f>IF('Données projet'!$A$88&gt;35,BD33+BC34-BL33,IF(A34&lt;'Données projet'!$A$88,$BA$205^A34,IF(A34='Données projet'!$A$88,'Données projet'!$B$88,BD33+BC34-BL33)))</f>
        <v>259.99999999999989</v>
      </c>
      <c r="BE34" s="14">
        <f>BD34*VLOOKUP('Données projet'!$B$11,Paramètres!$A$1:$I$89,3,0)*VLOOKUP('Données projet'!$B$11,Paramètres!$A$1:$I$89,5,0)</f>
        <v>121.67999999999994</v>
      </c>
      <c r="BF34" s="14">
        <f t="shared" si="37"/>
        <v>32.066514091456256</v>
      </c>
      <c r="BG34" s="22">
        <f t="shared" si="7"/>
        <v>267.77517870928619</v>
      </c>
      <c r="BH34" s="62">
        <f t="shared" si="8"/>
        <v>561.10851204261951</v>
      </c>
      <c r="BI34" s="62">
        <f ca="1">AVERAGE(OFFSET($BH$3,0,0,'Données projet'!$E$11+1,1))-AVERAGE(OFFSET($H$3,0,0,'Données projet'!$E$11+1,1))</f>
        <v>310.95287409903602</v>
      </c>
      <c r="BJ34" s="62">
        <f t="shared" si="38"/>
        <v>224.10083380795163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14.6</v>
      </c>
      <c r="N35" s="14">
        <f>IF('Données projet'!$A$36&gt;35,N34+M35-V34,IF(A35&lt;'Données projet'!$A$36,$K$205^A35,IF(A35='Données projet'!$A$36,'Données projet'!$B$36,N34+M35-V34)))</f>
        <v>189.20000000000005</v>
      </c>
      <c r="O35" s="14">
        <f>N35*VLOOKUP('Données projet'!$B$9,Paramètres!$A$1:$I$89,3,0)*VLOOKUP('Données projet'!$B$9,Paramètres!$A$1:$I$89,5,0)</f>
        <v>113.14160000000004</v>
      </c>
      <c r="P35" s="14">
        <f t="shared" si="33"/>
        <v>30.069952587742019</v>
      </c>
      <c r="Q35" s="22">
        <f t="shared" ref="Q35:Q66" si="53">(O35+P35)*0.475*44/12</f>
        <v>249.42678742365072</v>
      </c>
      <c r="R35" s="62">
        <f t="shared" si="0"/>
        <v>542.76012075698407</v>
      </c>
      <c r="S35" s="62">
        <f ca="1">AVERAGE(OFFSET($R$3,0,0,'Données projet'!$E$9+1,1))-AVERAGE(OFFSET($H$3,0,0,'Données projet'!$E$9+1,1))</f>
        <v>287.69656598881124</v>
      </c>
      <c r="T35" s="62">
        <f t="shared" si="34"/>
        <v>221.9773436301067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5.7186723937737369</v>
      </c>
      <c r="AB35" s="23">
        <f>EXP(-LN(2)/2)*AB34+(1-EXP(-LN(2)/2))/(LN(2)/2)*V35*Y35*VLOOKUP('Données projet'!$B$9,Paramètres!$A$1:$I$89,3,0)*0.475*44/12</f>
        <v>7.1110482841724583</v>
      </c>
      <c r="AC35" s="24">
        <f t="shared" si="3"/>
        <v>12.829720677946195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27.6</v>
      </c>
      <c r="AI35" s="14">
        <f>IF('Données projet'!$A$62&gt;35,AI34+AH35-AQ34,IF(A35&lt;'Données projet'!$A$62,$AF$205^A35,IF(A35='Données projet'!$A$62,'Données projet'!$B$62,AI34+AH35-AQ34)))</f>
        <v>422.20000000000005</v>
      </c>
      <c r="AJ35" s="14">
        <f>AI35*VLOOKUP('Données projet'!$B$10,Paramètres!$A$1:$I$89,3,0)*VLOOKUP('Données projet'!$B$10,Paramètres!$A$1:$I$89,5,0)</f>
        <v>236.00980000000004</v>
      </c>
      <c r="AK35" s="14">
        <f t="shared" si="35"/>
        <v>57.580183613654185</v>
      </c>
      <c r="AL35" s="22">
        <f t="shared" si="4"/>
        <v>511.3358881271144</v>
      </c>
      <c r="AM35" s="62">
        <f t="shared" si="5"/>
        <v>804.66922146044772</v>
      </c>
      <c r="AN35" s="62">
        <f ca="1">AVERAGE(OFFSET($AM$3,0,0,'Données projet'!$E$10+1,1))-AVERAGE(OFFSET($H$3,0,0,'Données projet'!$E$10+1,1))</f>
        <v>382.55387448074327</v>
      </c>
      <c r="AO35" s="62">
        <f t="shared" si="36"/>
        <v>476.29465646955543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10.384796264249012</v>
      </c>
      <c r="AV35" s="23">
        <f>EXP(-LN(2)/25)*AV34+(1-EXP(-LN(2)/25))/(LN(2)/25)*Calculateur!AQ35*Calculateur!AS35*VLOOKUP('Données projet'!$B$10,Paramètres!$A$1:$I$89,3,0)*0.475*44/12</f>
        <v>13.453132925076336</v>
      </c>
      <c r="AW35" s="23">
        <f>EXP(-LN(2)/2)*AW34+(1-EXP(-LN(2)/2))/(LN(2)/2)*AQ35*AT35*VLOOKUP('Données projet'!$B$10,Paramètres!$A$1:$I$89,3,0)*0.475*44/12</f>
        <v>6.637083830156155</v>
      </c>
      <c r="AX35" s="23">
        <f t="shared" si="6"/>
        <v>30.475013019481501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</v>
      </c>
      <c r="BD35" s="13">
        <f>IF('Données projet'!$A$88&gt;35,BD34+BC35-BL34,IF(A35&lt;'Données projet'!$A$88,$BA$205^A35,IF(A35='Données projet'!$A$88,'Données projet'!$B$88,BD34+BC35-BL34)))</f>
        <v>269.99999999999989</v>
      </c>
      <c r="BE35" s="14">
        <f>BD35*VLOOKUP('Données projet'!$B$11,Paramètres!$A$1:$I$89,3,0)*VLOOKUP('Données projet'!$B$11,Paramètres!$A$1:$I$89,5,0)</f>
        <v>126.35999999999996</v>
      </c>
      <c r="BF35" s="14">
        <f t="shared" si="37"/>
        <v>33.153877056327453</v>
      </c>
      <c r="BG35" s="22">
        <f t="shared" si="7"/>
        <v>277.82000253977026</v>
      </c>
      <c r="BH35" s="62">
        <f t="shared" si="8"/>
        <v>571.15333587310352</v>
      </c>
      <c r="BI35" s="62">
        <f ca="1">AVERAGE(OFFSET($BH$3,0,0,'Données projet'!$E$11+1,1))-AVERAGE(OFFSET($H$3,0,0,'Données projet'!$E$11+1,1))</f>
        <v>310.95287409903602</v>
      </c>
      <c r="BJ35" s="62">
        <f t="shared" si="38"/>
        <v>224.10083380795163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14.6</v>
      </c>
      <c r="N36" s="14">
        <f>IF('Données projet'!$A$36&gt;35,N35+M36-V35,IF(A36&lt;'Données projet'!$A$36,$K$205^A36,IF(A36='Données projet'!$A$36,'Données projet'!$B$36,N35+M36-V35)))</f>
        <v>203.80000000000004</v>
      </c>
      <c r="O36" s="14">
        <f>N36*VLOOKUP('Données projet'!$B$9,Paramètres!$A$1:$I$89,3,0)*VLOOKUP('Données projet'!$B$9,Paramètres!$A$1:$I$89,5,0)</f>
        <v>121.87240000000003</v>
      </c>
      <c r="P36" s="14">
        <f t="shared" si="33"/>
        <v>32.111311550408985</v>
      </c>
      <c r="Q36" s="22">
        <f t="shared" si="53"/>
        <v>268.1882976169623</v>
      </c>
      <c r="R36" s="62">
        <f t="shared" si="0"/>
        <v>561.52163095029562</v>
      </c>
      <c r="S36" s="62">
        <f ca="1">AVERAGE(OFFSET($R$3,0,0,'Données projet'!$E$9+1,1))-AVERAGE(OFFSET($H$3,0,0,'Données projet'!$E$9+1,1))</f>
        <v>287.69656598881124</v>
      </c>
      <c r="T36" s="62">
        <f t="shared" si="34"/>
        <v>221.9773436301067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5.5622949964340833</v>
      </c>
      <c r="AB36" s="23">
        <f>EXP(-LN(2)/2)*AB35+(1-EXP(-LN(2)/2))/(LN(2)/2)*V36*Y36*VLOOKUP('Données projet'!$B$9,Paramètres!$A$1:$I$89,3,0)*0.475*44/12</f>
        <v>5.0282704630833086</v>
      </c>
      <c r="AC36" s="24">
        <f t="shared" si="3"/>
        <v>10.590565459517393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27.6</v>
      </c>
      <c r="AI36" s="14">
        <f>IF('Données projet'!$A$62&gt;35,AI35+AH36-AQ35,IF(A36&lt;'Données projet'!$A$62,$AF$205^A36,IF(A36='Données projet'!$A$62,'Données projet'!$B$62,AI35+AH36-AQ35)))</f>
        <v>449.80000000000007</v>
      </c>
      <c r="AJ36" s="14">
        <f>AI36*VLOOKUP('Données projet'!$B$10,Paramètres!$A$1:$I$89,3,0)*VLOOKUP('Données projet'!$B$10,Paramètres!$A$1:$I$89,5,0)</f>
        <v>251.43820000000002</v>
      </c>
      <c r="AK36" s="14">
        <f t="shared" si="35"/>
        <v>60.893806844597648</v>
      </c>
      <c r="AL36" s="22">
        <f t="shared" si="4"/>
        <v>543.978245254341</v>
      </c>
      <c r="AM36" s="62">
        <f t="shared" si="5"/>
        <v>837.31157858767438</v>
      </c>
      <c r="AN36" s="62">
        <f ca="1">AVERAGE(OFFSET($AM$3,0,0,'Données projet'!$E$10+1,1))-AVERAGE(OFFSET($H$3,0,0,'Données projet'!$E$10+1,1))</f>
        <v>382.55387448074327</v>
      </c>
      <c r="AO36" s="62">
        <f t="shared" si="36"/>
        <v>476.29465646955543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10.181156743607369</v>
      </c>
      <c r="AV36" s="23">
        <f>EXP(-LN(2)/25)*AV35+(1-EXP(-LN(2)/25))/(LN(2)/25)*Calculateur!AQ36*Calculateur!AS36*VLOOKUP('Données projet'!$B$10,Paramètres!$A$1:$I$89,3,0)*0.475*44/12</f>
        <v>13.085256297770611</v>
      </c>
      <c r="AW36" s="23">
        <f>EXP(-LN(2)/2)*AW35+(1-EXP(-LN(2)/2))/(LN(2)/2)*AQ36*AT36*VLOOKUP('Données projet'!$B$10,Paramètres!$A$1:$I$89,3,0)*0.475*44/12</f>
        <v>4.6931269836070015</v>
      </c>
      <c r="AX36" s="23">
        <f t="shared" si="6"/>
        <v>27.959540024984982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</v>
      </c>
      <c r="BD36" s="13">
        <f>IF('Données projet'!$A$88&gt;35,BD35+BC36-BL35,IF(A36&lt;'Données projet'!$A$88,$BA$205^A36,IF(A36='Données projet'!$A$88,'Données projet'!$B$88,BD35+BC36-BL35)))</f>
        <v>279.99999999999989</v>
      </c>
      <c r="BE36" s="14">
        <f>BD36*VLOOKUP('Données projet'!$B$11,Paramètres!$A$1:$I$89,3,0)*VLOOKUP('Données projet'!$B$11,Paramètres!$A$1:$I$89,5,0)</f>
        <v>131.03999999999994</v>
      </c>
      <c r="BF36" s="14">
        <f t="shared" si="37"/>
        <v>34.236561238949889</v>
      </c>
      <c r="BG36" s="22">
        <f t="shared" si="7"/>
        <v>287.85667749117096</v>
      </c>
      <c r="BH36" s="62">
        <f t="shared" si="8"/>
        <v>581.19001082450427</v>
      </c>
      <c r="BI36" s="62">
        <f ca="1">AVERAGE(OFFSET($BH$3,0,0,'Données projet'!$E$11+1,1))-AVERAGE(OFFSET($H$3,0,0,'Données projet'!$E$11+1,1))</f>
        <v>310.95287409903602</v>
      </c>
      <c r="BJ36" s="62">
        <f t="shared" si="38"/>
        <v>224.10083380795163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14.6</v>
      </c>
      <c r="N37" s="14">
        <f>IF('Données projet'!$A$36&gt;35,N36+M37-V36,IF(A37&lt;'Données projet'!$A$36,$K$205^A37,IF(A37='Données projet'!$A$36,'Données projet'!$B$36,N36+M37-V36)))</f>
        <v>218.40000000000003</v>
      </c>
      <c r="O37" s="14">
        <f>N37*VLOOKUP('Données projet'!$B$9,Paramètres!$A$1:$I$89,3,0)*VLOOKUP('Données projet'!$B$9,Paramètres!$A$1:$I$89,5,0)</f>
        <v>130.60320000000004</v>
      </c>
      <c r="P37" s="14">
        <f t="shared" si="33"/>
        <v>34.135703567016428</v>
      </c>
      <c r="Q37" s="22">
        <f t="shared" si="53"/>
        <v>286.92025704588701</v>
      </c>
      <c r="R37" s="62">
        <f t="shared" si="0"/>
        <v>580.25359037922033</v>
      </c>
      <c r="S37" s="62">
        <f ca="1">AVERAGE(OFFSET($R$3,0,0,'Données projet'!$E$9+1,1))-AVERAGE(OFFSET($H$3,0,0,'Données projet'!$E$9+1,1))</f>
        <v>287.69656598881124</v>
      </c>
      <c r="T37" s="62">
        <f t="shared" si="34"/>
        <v>221.9773436301067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5.4101937472482122</v>
      </c>
      <c r="AB37" s="23">
        <f>EXP(-LN(2)/2)*AB36+(1-EXP(-LN(2)/2))/(LN(2)/2)*V37*Y37*VLOOKUP('Données projet'!$B$9,Paramètres!$A$1:$I$89,3,0)*0.475*44/12</f>
        <v>3.5555241420862291</v>
      </c>
      <c r="AC37" s="24">
        <f t="shared" si="3"/>
        <v>8.9657178893344422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27.6</v>
      </c>
      <c r="AI37" s="14">
        <f>IF('Données projet'!$A$62&gt;35,AI36+AH37-AQ36,IF(A37&lt;'Données projet'!$A$62,$AF$205^A37,IF(A37='Données projet'!$A$62,'Données projet'!$B$62,AI36+AH37-AQ36)))</f>
        <v>477.40000000000009</v>
      </c>
      <c r="AJ37" s="14">
        <f>AI37*VLOOKUP('Données projet'!$B$10,Paramètres!$A$1:$I$89,3,0)*VLOOKUP('Données projet'!$B$10,Paramètres!$A$1:$I$89,5,0)</f>
        <v>266.86660000000006</v>
      </c>
      <c r="AK37" s="14">
        <f t="shared" si="35"/>
        <v>64.183831628008477</v>
      </c>
      <c r="AL37" s="22">
        <f t="shared" si="4"/>
        <v>576.57950175211477</v>
      </c>
      <c r="AM37" s="62">
        <f t="shared" si="5"/>
        <v>869.91283508544802</v>
      </c>
      <c r="AN37" s="62">
        <f ca="1">AVERAGE(OFFSET($AM$3,0,0,'Données projet'!$E$10+1,1))-AVERAGE(OFFSET($H$3,0,0,'Données projet'!$E$10+1,1))</f>
        <v>382.55387448074327</v>
      </c>
      <c r="AO37" s="62">
        <f t="shared" si="36"/>
        <v>476.29465646955543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9.9815104697576658</v>
      </c>
      <c r="AV37" s="23">
        <f>EXP(-LN(2)/25)*AV36+(1-EXP(-LN(2)/25))/(LN(2)/25)*Calculateur!AQ37*Calculateur!AS37*VLOOKUP('Données projet'!$B$10,Paramètres!$A$1:$I$89,3,0)*0.475*44/12</f>
        <v>12.727439276184352</v>
      </c>
      <c r="AW37" s="23">
        <f>EXP(-LN(2)/2)*AW36+(1-EXP(-LN(2)/2))/(LN(2)/2)*AQ37*AT37*VLOOKUP('Données projet'!$B$10,Paramètres!$A$1:$I$89,3,0)*0.475*44/12</f>
        <v>3.3185419150780779</v>
      </c>
      <c r="AX37" s="23">
        <f t="shared" si="6"/>
        <v>26.027491661020097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</v>
      </c>
      <c r="BD37" s="13">
        <f>IF('Données projet'!$A$88&gt;35,BD36+BC37-BL36,IF(A37&lt;'Données projet'!$A$88,$BA$205^A37,IF(A37='Données projet'!$A$88,'Données projet'!$B$88,BD36+BC37-BL36)))</f>
        <v>289.99999999999989</v>
      </c>
      <c r="BE37" s="14">
        <f>BD37*VLOOKUP('Données projet'!$B$11,Paramètres!$A$1:$I$89,3,0)*VLOOKUP('Données projet'!$B$11,Paramètres!$A$1:$I$89,5,0)</f>
        <v>135.71999999999994</v>
      </c>
      <c r="BF37" s="14">
        <f t="shared" si="37"/>
        <v>35.314752882348131</v>
      </c>
      <c r="BG37" s="22">
        <f t="shared" si="7"/>
        <v>297.8855279367562</v>
      </c>
      <c r="BH37" s="62">
        <f t="shared" si="8"/>
        <v>591.21886127008952</v>
      </c>
      <c r="BI37" s="62">
        <f ca="1">AVERAGE(OFFSET($BH$3,0,0,'Données projet'!$E$11+1,1))-AVERAGE(OFFSET($H$3,0,0,'Données projet'!$E$11+1,1))</f>
        <v>310.95287409903602</v>
      </c>
      <c r="BJ37" s="62">
        <f t="shared" si="38"/>
        <v>224.10083380795163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233</v>
      </c>
      <c r="L38" s="13">
        <f>VLOOKUP(A38,'Données projet'!$A$35:$I$55,9,0)</f>
        <v>14.6</v>
      </c>
      <c r="M38" s="13">
        <f t="array" ref="M38">INDEX(L:L,MIN(IF(ISNUMBER(L38:L234),ROW(L38:L234),"")))</f>
        <v>14.6</v>
      </c>
      <c r="N38" s="14">
        <f>IF('Données projet'!$A$36&gt;35,N37+M38-V37,IF(A38&lt;'Données projet'!$A$36,$K$205^A38,IF(A38='Données projet'!$A$36,'Données projet'!$B$36,N37+M38-V37)))</f>
        <v>233.00000000000003</v>
      </c>
      <c r="O38" s="14">
        <f>N38*VLOOKUP('Données projet'!$B$9,Paramètres!$A$1:$I$89,3,0)*VLOOKUP('Données projet'!$B$9,Paramètres!$A$1:$I$89,5,0)</f>
        <v>139.33400000000003</v>
      </c>
      <c r="P38" s="14">
        <f t="shared" si="33"/>
        <v>36.144391930570897</v>
      </c>
      <c r="Q38" s="22">
        <f t="shared" si="53"/>
        <v>305.62486594574438</v>
      </c>
      <c r="R38" s="62">
        <f t="shared" si="0"/>
        <v>598.95819927907769</v>
      </c>
      <c r="S38" s="62">
        <f ca="1">AVERAGE(OFFSET($R$3,0,0,'Données projet'!$E$9+1,1))-AVERAGE(OFFSET($H$3,0,0,'Données projet'!$E$9+1,1))</f>
        <v>287.69656598881124</v>
      </c>
      <c r="T38" s="62">
        <f t="shared" si="34"/>
        <v>221.9773436301067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41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5.2622517147199854</v>
      </c>
      <c r="AB38" s="23">
        <f>EXP(-LN(2)/2)*AB37+(1-EXP(-LN(2)/2))/(LN(2)/2)*V38*Y38*VLOOKUP('Données projet'!$B$9,Paramètres!$A$1:$I$89,3,0)*0.475*44/12</f>
        <v>2.5141352315416543</v>
      </c>
      <c r="AC38" s="24">
        <f t="shared" si="3"/>
        <v>7.7763869462616402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505</v>
      </c>
      <c r="AG38" s="13">
        <f>VLOOKUP(A38,'Données projet'!$A$61:$I$81,9,0)</f>
        <v>27.6</v>
      </c>
      <c r="AH38" s="13">
        <f t="array" ref="AH38">INDEX(AG:AG,MIN(IF(ISNUMBER(AG38:AG234),ROW(AG38:AG234),"")))</f>
        <v>27.6</v>
      </c>
      <c r="AI38" s="14">
        <f>IF('Données projet'!$A$62&gt;35,AI37+AH38-AQ37,IF(A38&lt;'Données projet'!$A$62,$AF$205^A38,IF(A38='Données projet'!$A$62,'Données projet'!$B$62,AI37+AH38-AQ37)))</f>
        <v>505.00000000000011</v>
      </c>
      <c r="AJ38" s="14">
        <f>AI38*VLOOKUP('Données projet'!$B$10,Paramètres!$A$1:$I$89,3,0)*VLOOKUP('Données projet'!$B$10,Paramètres!$A$1:$I$89,5,0)</f>
        <v>282.29500000000007</v>
      </c>
      <c r="AK38" s="14">
        <f t="shared" si="35"/>
        <v>67.451777696853824</v>
      </c>
      <c r="AL38" s="22">
        <f t="shared" si="4"/>
        <v>609.14230448868716</v>
      </c>
      <c r="AM38" s="62">
        <f t="shared" si="5"/>
        <v>902.47563782202042</v>
      </c>
      <c r="AN38" s="62">
        <f ca="1">AVERAGE(OFFSET($AM$3,0,0,'Données projet'!$E$10+1,1))-AVERAGE(OFFSET($H$3,0,0,'Données projet'!$E$10+1,1))</f>
        <v>382.55387448074327</v>
      </c>
      <c r="AO38" s="62">
        <f t="shared" si="36"/>
        <v>476.29465646955543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69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9.7857791375659531</v>
      </c>
      <c r="AV38" s="23">
        <f>EXP(-LN(2)/25)*AV37+(1-EXP(-LN(2)/25))/(LN(2)/25)*Calculateur!AQ38*Calculateur!AS38*VLOOKUP('Données projet'!$B$10,Paramètres!$A$1:$I$89,3,0)*0.475*44/12</f>
        <v>12.379406779870148</v>
      </c>
      <c r="AW38" s="23">
        <f>EXP(-LN(2)/2)*AW37+(1-EXP(-LN(2)/2))/(LN(2)/2)*AQ38*AT38*VLOOKUP('Données projet'!$B$10,Paramètres!$A$1:$I$89,3,0)*0.475*44/12</f>
        <v>2.3465634918035012</v>
      </c>
      <c r="AX38" s="23">
        <f t="shared" si="6"/>
        <v>24.511749409239602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10</v>
      </c>
      <c r="BD38" s="13">
        <f>IF('Données projet'!$A$88&gt;35,BD37+BC38-BL37,IF(A38&lt;'Données projet'!$A$88,$BA$205^A38,IF(A38='Données projet'!$A$88,'Données projet'!$B$88,BD37+BC38-BL37)))</f>
        <v>299.99999999999989</v>
      </c>
      <c r="BE38" s="14">
        <f>BD38*VLOOKUP('Données projet'!$B$11,Paramètres!$A$1:$I$89,3,0)*VLOOKUP('Données projet'!$B$11,Paramètres!$A$1:$I$89,5,0)</f>
        <v>140.39999999999995</v>
      </c>
      <c r="BF38" s="14">
        <f t="shared" si="37"/>
        <v>36.388624656711166</v>
      </c>
      <c r="BG38" s="22">
        <f t="shared" si="7"/>
        <v>307.90685461043853</v>
      </c>
      <c r="BH38" s="62">
        <f t="shared" si="8"/>
        <v>601.24018794377184</v>
      </c>
      <c r="BI38" s="62">
        <f ca="1">AVERAGE(OFFSET($BH$3,0,0,'Données projet'!$E$11+1,1))-AVERAGE(OFFSET($H$3,0,0,'Données projet'!$E$11+1,1))</f>
        <v>310.95287409903602</v>
      </c>
      <c r="BJ38" s="62">
        <f t="shared" si="38"/>
        <v>224.10083380795163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14.4</v>
      </c>
      <c r="N39" s="14">
        <f>IF('Données projet'!$A$36&gt;35,N38+M39-V38,IF(A39&lt;'Données projet'!$A$36,$K$205^A39,IF(A39='Données projet'!$A$36,'Données projet'!$B$36,N38+M39-V38)))</f>
        <v>206.40000000000003</v>
      </c>
      <c r="O39" s="14">
        <f>N39*VLOOKUP('Données projet'!$B$9,Paramètres!$A$1:$I$89,3,0)*VLOOKUP('Données projet'!$B$9,Paramètres!$A$1:$I$89,5,0)</f>
        <v>123.42720000000003</v>
      </c>
      <c r="P39" s="14">
        <f t="shared" si="33"/>
        <v>32.473022671122074</v>
      </c>
      <c r="Q39" s="22">
        <f t="shared" si="53"/>
        <v>271.5262211522043</v>
      </c>
      <c r="R39" s="62">
        <f t="shared" si="0"/>
        <v>564.85955448553761</v>
      </c>
      <c r="S39" s="62">
        <f ca="1">AVERAGE(OFFSET($R$3,0,0,'Données projet'!$E$9+1,1))-AVERAGE(OFFSET($H$3,0,0,'Données projet'!$E$9+1,1))</f>
        <v>287.69656598881124</v>
      </c>
      <c r="T39" s="62">
        <f t="shared" si="34"/>
        <v>221.9773436301067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5.1183551648511765</v>
      </c>
      <c r="AB39" s="23">
        <f>EXP(-LN(2)/2)*AB38+(1-EXP(-LN(2)/2))/(LN(2)/2)*V39*Y39*VLOOKUP('Données projet'!$B$9,Paramètres!$A$1:$I$89,3,0)*0.475*44/12</f>
        <v>1.7777620710431146</v>
      </c>
      <c r="AC39" s="24">
        <f t="shared" si="3"/>
        <v>6.896117235894291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25.6</v>
      </c>
      <c r="AI39" s="14">
        <f>IF('Données projet'!$A$62&gt;35,AI38+AH39-AQ38,IF(A39&lt;'Données projet'!$A$62,$AF$205^A39,IF(A39='Données projet'!$A$62,'Données projet'!$B$62,AI38+AH39-AQ38)))</f>
        <v>461.60000000000014</v>
      </c>
      <c r="AJ39" s="14">
        <f>AI39*VLOOKUP('Données projet'!$B$10,Paramètres!$A$1:$I$89,3,0)*VLOOKUP('Données projet'!$B$10,Paramètres!$A$1:$I$89,5,0)</f>
        <v>258.03440000000006</v>
      </c>
      <c r="AK39" s="14">
        <f t="shared" si="35"/>
        <v>62.303206596431174</v>
      </c>
      <c r="AL39" s="22">
        <f t="shared" si="4"/>
        <v>557.9213314887844</v>
      </c>
      <c r="AM39" s="62">
        <f t="shared" si="5"/>
        <v>851.25466482211777</v>
      </c>
      <c r="AN39" s="62">
        <f ca="1">AVERAGE(OFFSET($AM$3,0,0,'Données projet'!$E$10+1,1))-AVERAGE(OFFSET($H$3,0,0,'Données projet'!$E$10+1,1))</f>
        <v>382.55387448074327</v>
      </c>
      <c r="AO39" s="62">
        <f t="shared" si="36"/>
        <v>476.29465646955543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9.5938859774141942</v>
      </c>
      <c r="AV39" s="23">
        <f>EXP(-LN(2)/25)*AV38+(1-EXP(-LN(2)/25))/(LN(2)/25)*Calculateur!AQ39*Calculateur!AS39*VLOOKUP('Données projet'!$B$10,Paramètres!$A$1:$I$89,3,0)*0.475*44/12</f>
        <v>12.04089125046989</v>
      </c>
      <c r="AW39" s="23">
        <f>EXP(-LN(2)/2)*AW38+(1-EXP(-LN(2)/2))/(LN(2)/2)*AQ39*AT39*VLOOKUP('Données projet'!$B$10,Paramètres!$A$1:$I$89,3,0)*0.475*44/12</f>
        <v>1.6592709575390394</v>
      </c>
      <c r="AX39" s="23">
        <f t="shared" si="6"/>
        <v>23.294048185423126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10</v>
      </c>
      <c r="BD39" s="13">
        <f>IF('Données projet'!$A$88&gt;35,BD38+BC39-BL38,IF(A39&lt;'Données projet'!$A$88,$BA$205^A39,IF(A39='Données projet'!$A$88,'Données projet'!$B$88,BD38+BC39-BL38)))</f>
        <v>309.99999999999989</v>
      </c>
      <c r="BE39" s="14">
        <f>BD39*VLOOKUP('Données projet'!$B$11,Paramètres!$A$1:$I$89,3,0)*VLOOKUP('Données projet'!$B$11,Paramètres!$A$1:$I$89,5,0)</f>
        <v>145.07999999999996</v>
      </c>
      <c r="BF39" s="14">
        <f t="shared" si="37"/>
        <v>37.458337067672986</v>
      </c>
      <c r="BG39" s="22">
        <f t="shared" si="7"/>
        <v>317.92093705953039</v>
      </c>
      <c r="BH39" s="62">
        <f t="shared" si="8"/>
        <v>611.25427039286365</v>
      </c>
      <c r="BI39" s="62">
        <f ca="1">AVERAGE(OFFSET($BH$3,0,0,'Données projet'!$E$11+1,1))-AVERAGE(OFFSET($H$3,0,0,'Données projet'!$E$11+1,1))</f>
        <v>310.95287409903602</v>
      </c>
      <c r="BJ39" s="62">
        <f t="shared" si="38"/>
        <v>224.10083380795163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14.4</v>
      </c>
      <c r="N40" s="14">
        <f>IF('Données projet'!$A$36&gt;35,N39+M40-V39,IF(A40&lt;'Données projet'!$A$36,$K$205^A40,IF(A40='Données projet'!$A$36,'Données projet'!$B$36,N39+M40-V39)))</f>
        <v>220.80000000000004</v>
      </c>
      <c r="O40" s="14">
        <f>N40*VLOOKUP('Données projet'!$B$9,Paramètres!$A$1:$I$89,3,0)*VLOOKUP('Données projet'!$B$9,Paramètres!$A$1:$I$89,5,0)</f>
        <v>132.03840000000005</v>
      </c>
      <c r="P40" s="14">
        <f t="shared" si="33"/>
        <v>34.466946374534373</v>
      </c>
      <c r="Q40" s="22">
        <f t="shared" si="53"/>
        <v>289.99681160231415</v>
      </c>
      <c r="R40" s="62">
        <f t="shared" si="0"/>
        <v>583.33014493564747</v>
      </c>
      <c r="S40" s="62">
        <f ca="1">AVERAGE(OFFSET($R$3,0,0,'Données projet'!$E$9+1,1))-AVERAGE(OFFSET($H$3,0,0,'Données projet'!$E$9+1,1))</f>
        <v>287.69656598881124</v>
      </c>
      <c r="T40" s="62">
        <f t="shared" si="34"/>
        <v>221.9773436301067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4.9783934737057214</v>
      </c>
      <c r="AB40" s="23">
        <f>EXP(-LN(2)/2)*AB39+(1-EXP(-LN(2)/2))/(LN(2)/2)*V40*Y40*VLOOKUP('Données projet'!$B$9,Paramètres!$A$1:$I$89,3,0)*0.475*44/12</f>
        <v>1.2570676157708272</v>
      </c>
      <c r="AC40" s="24">
        <f t="shared" si="3"/>
        <v>6.2354610894765488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25.6</v>
      </c>
      <c r="AI40" s="14">
        <f>IF('Données projet'!$A$62&gt;35,AI39+AH40-AQ39,IF(A40&lt;'Données projet'!$A$62,$AF$205^A40,IF(A40='Données projet'!$A$62,'Données projet'!$B$62,AI39+AH40-AQ39)))</f>
        <v>487.20000000000016</v>
      </c>
      <c r="AJ40" s="14">
        <f>AI40*VLOOKUP('Données projet'!$B$10,Paramètres!$A$1:$I$89,3,0)*VLOOKUP('Données projet'!$B$10,Paramètres!$A$1:$I$89,5,0)</f>
        <v>272.34480000000008</v>
      </c>
      <c r="AK40" s="14">
        <f t="shared" si="35"/>
        <v>65.346644318451709</v>
      </c>
      <c r="AL40" s="22">
        <f t="shared" si="4"/>
        <v>588.14593218797006</v>
      </c>
      <c r="AM40" s="62">
        <f t="shared" si="5"/>
        <v>881.47926552130343</v>
      </c>
      <c r="AN40" s="62">
        <f ca="1">AVERAGE(OFFSET($AM$3,0,0,'Données projet'!$E$10+1,1))-AVERAGE(OFFSET($H$3,0,0,'Données projet'!$E$10+1,1))</f>
        <v>382.55387448074327</v>
      </c>
      <c r="AO40" s="62">
        <f t="shared" si="36"/>
        <v>476.29465646955543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9.4057557250897421</v>
      </c>
      <c r="AV40" s="23">
        <f>EXP(-LN(2)/25)*AV39+(1-EXP(-LN(2)/25))/(LN(2)/25)*Calculateur!AQ40*Calculateur!AS40*VLOOKUP('Données projet'!$B$10,Paramètres!$A$1:$I$89,3,0)*0.475*44/12</f>
        <v>11.71163244602284</v>
      </c>
      <c r="AW40" s="23">
        <f>EXP(-LN(2)/2)*AW39+(1-EXP(-LN(2)/2))/(LN(2)/2)*AQ40*AT40*VLOOKUP('Données projet'!$B$10,Paramètres!$A$1:$I$89,3,0)*0.475*44/12</f>
        <v>1.1732817459017508</v>
      </c>
      <c r="AX40" s="23">
        <f t="shared" si="6"/>
        <v>22.290669917014331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10</v>
      </c>
      <c r="BD40" s="13">
        <f>IF('Données projet'!$A$88&gt;35,BD39+BC40-BL39,IF(A40&lt;'Données projet'!$A$88,$BA$205^A40,IF(A40='Données projet'!$A$88,'Données projet'!$B$88,BD39+BC40-BL39)))</f>
        <v>319.99999999999989</v>
      </c>
      <c r="BE40" s="14">
        <f>BD40*VLOOKUP('Données projet'!$B$11,Paramètres!$A$1:$I$89,3,0)*VLOOKUP('Données projet'!$B$11,Paramètres!$A$1:$I$89,5,0)</f>
        <v>149.75999999999996</v>
      </c>
      <c r="BF40" s="14">
        <f t="shared" si="37"/>
        <v>38.524039677774766</v>
      </c>
      <c r="BG40" s="22">
        <f t="shared" si="7"/>
        <v>327.9280357721243</v>
      </c>
      <c r="BH40" s="62">
        <f t="shared" si="8"/>
        <v>621.26136910545756</v>
      </c>
      <c r="BI40" s="62">
        <f ca="1">AVERAGE(OFFSET($BH$3,0,0,'Données projet'!$E$11+1,1))-AVERAGE(OFFSET($H$3,0,0,'Données projet'!$E$11+1,1))</f>
        <v>310.95287409903602</v>
      </c>
      <c r="BJ40" s="62">
        <f t="shared" si="38"/>
        <v>224.10083380795163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14.4</v>
      </c>
      <c r="N41" s="14">
        <f>IF('Données projet'!$A$36&gt;35,N40+M41-V40,IF(A41&lt;'Données projet'!$A$36,$K$205^A41,IF(A41='Données projet'!$A$36,'Données projet'!$B$36,N40+M41-V40)))</f>
        <v>235.20000000000005</v>
      </c>
      <c r="O41" s="14">
        <f>N41*VLOOKUP('Données projet'!$B$9,Paramètres!$A$1:$I$89,3,0)*VLOOKUP('Données projet'!$B$9,Paramètres!$A$1:$I$89,5,0)</f>
        <v>140.64960000000002</v>
      </c>
      <c r="P41" s="14">
        <f t="shared" si="33"/>
        <v>36.445779615258601</v>
      </c>
      <c r="Q41" s="22">
        <f t="shared" si="53"/>
        <v>308.44111949657542</v>
      </c>
      <c r="R41" s="62">
        <f t="shared" si="0"/>
        <v>601.7744528299088</v>
      </c>
      <c r="S41" s="62">
        <f ca="1">AVERAGE(OFFSET($R$3,0,0,'Données projet'!$E$9+1,1))-AVERAGE(OFFSET($H$3,0,0,'Données projet'!$E$9+1,1))</f>
        <v>287.69656598881124</v>
      </c>
      <c r="T41" s="62">
        <f t="shared" si="34"/>
        <v>221.9773436301067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4.8422590423649039</v>
      </c>
      <c r="AB41" s="23">
        <f>EXP(-LN(2)/2)*AB40+(1-EXP(-LN(2)/2))/(LN(2)/2)*V41*Y41*VLOOKUP('Données projet'!$B$9,Paramètres!$A$1:$I$89,3,0)*0.475*44/12</f>
        <v>0.88888103552155728</v>
      </c>
      <c r="AC41" s="24">
        <f t="shared" si="3"/>
        <v>5.7311400778864616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25.6</v>
      </c>
      <c r="AI41" s="14">
        <f>IF('Données projet'!$A$62&gt;35,AI40+AH41-AQ40,IF(A41&lt;'Données projet'!$A$62,$AF$205^A41,IF(A41='Données projet'!$A$62,'Données projet'!$B$62,AI40+AH41-AQ40)))</f>
        <v>512.80000000000018</v>
      </c>
      <c r="AJ41" s="14">
        <f>AI41*VLOOKUP('Données projet'!$B$10,Paramètres!$A$1:$I$89,3,0)*VLOOKUP('Données projet'!$B$10,Paramètres!$A$1:$I$89,5,0)</f>
        <v>286.65520000000009</v>
      </c>
      <c r="AK41" s="14">
        <f t="shared" si="35"/>
        <v>68.37151538584105</v>
      </c>
      <c r="AL41" s="22">
        <f t="shared" si="4"/>
        <v>618.33819596367323</v>
      </c>
      <c r="AM41" s="62">
        <f t="shared" si="5"/>
        <v>911.6715292970066</v>
      </c>
      <c r="AN41" s="62">
        <f ca="1">AVERAGE(OFFSET($AM$3,0,0,'Données projet'!$E$10+1,1))-AVERAGE(OFFSET($H$3,0,0,'Données projet'!$E$10+1,1))</f>
        <v>382.55387448074327</v>
      </c>
      <c r="AO41" s="62">
        <f t="shared" si="36"/>
        <v>476.29465646955543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9.221314592265248</v>
      </c>
      <c r="AV41" s="23">
        <f>EXP(-LN(2)/25)*AV40+(1-EXP(-LN(2)/25))/(LN(2)/25)*Calculateur!AQ41*Calculateur!AS41*VLOOKUP('Données projet'!$B$10,Paramètres!$A$1:$I$89,3,0)*0.475*44/12</f>
        <v>11.391377240898363</v>
      </c>
      <c r="AW41" s="23">
        <f>EXP(-LN(2)/2)*AW40+(1-EXP(-LN(2)/2))/(LN(2)/2)*AQ41*AT41*VLOOKUP('Données projet'!$B$10,Paramètres!$A$1:$I$89,3,0)*0.475*44/12</f>
        <v>0.82963547876951982</v>
      </c>
      <c r="AX41" s="23">
        <f t="shared" si="6"/>
        <v>21.442327311933131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10</v>
      </c>
      <c r="BD41" s="13">
        <f>IF('Données projet'!$A$88&gt;35,BD40+BC41-BL40,IF(A41&lt;'Données projet'!$A$88,$BA$205^A41,IF(A41='Données projet'!$A$88,'Données projet'!$B$88,BD40+BC41-BL40)))</f>
        <v>329.99999999999989</v>
      </c>
      <c r="BE41" s="14">
        <f>BD41*VLOOKUP('Données projet'!$B$11,Paramètres!$A$1:$I$89,3,0)*VLOOKUP('Données projet'!$B$11,Paramètres!$A$1:$I$89,5,0)</f>
        <v>154.43999999999994</v>
      </c>
      <c r="BF41" s="14">
        <f t="shared" si="37"/>
        <v>39.585872170955454</v>
      </c>
      <c r="BG41" s="22">
        <f t="shared" si="7"/>
        <v>337.92839403108059</v>
      </c>
      <c r="BH41" s="62">
        <f t="shared" si="8"/>
        <v>631.2617273644139</v>
      </c>
      <c r="BI41" s="62">
        <f ca="1">AVERAGE(OFFSET($BH$3,0,0,'Données projet'!$E$11+1,1))-AVERAGE(OFFSET($H$3,0,0,'Données projet'!$E$11+1,1))</f>
        <v>310.95287409903602</v>
      </c>
      <c r="BJ41" s="62">
        <f t="shared" si="38"/>
        <v>224.10083380795163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14.4</v>
      </c>
      <c r="N42" s="14">
        <f>IF('Données projet'!$A$36&gt;35,N41+M42-V41,IF(A42&lt;'Données projet'!$A$36,$K$205^A42,IF(A42='Données projet'!$A$36,'Données projet'!$B$36,N41+M42-V41)))</f>
        <v>249.60000000000005</v>
      </c>
      <c r="O42" s="14">
        <f>N42*VLOOKUP('Données projet'!$B$9,Paramètres!$A$1:$I$89,3,0)*VLOOKUP('Données projet'!$B$9,Paramètres!$A$1:$I$89,5,0)</f>
        <v>149.26080000000005</v>
      </c>
      <c r="P42" s="14">
        <f t="shared" si="33"/>
        <v>38.410551499792909</v>
      </c>
      <c r="Q42" s="22">
        <f t="shared" si="53"/>
        <v>326.86093719547273</v>
      </c>
      <c r="R42" s="62">
        <f t="shared" si="0"/>
        <v>620.1942705288061</v>
      </c>
      <c r="S42" s="62">
        <f ca="1">AVERAGE(OFFSET($R$3,0,0,'Données projet'!$E$9+1,1))-AVERAGE(OFFSET($H$3,0,0,'Données projet'!$E$9+1,1))</f>
        <v>287.69656598881124</v>
      </c>
      <c r="T42" s="62">
        <f t="shared" si="34"/>
        <v>221.9773436301067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4.7098472142081</v>
      </c>
      <c r="AB42" s="23">
        <f>EXP(-LN(2)/2)*AB41+(1-EXP(-LN(2)/2))/(LN(2)/2)*V42*Y42*VLOOKUP('Données projet'!$B$9,Paramètres!$A$1:$I$89,3,0)*0.475*44/12</f>
        <v>0.62853380788541358</v>
      </c>
      <c r="AC42" s="24">
        <f t="shared" si="3"/>
        <v>5.3383810220935137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25.6</v>
      </c>
      <c r="AI42" s="14">
        <f>IF('Données projet'!$A$62&gt;35,AI41+AH42-AQ41,IF(A42&lt;'Données projet'!$A$62,$AF$205^A42,IF(A42='Données projet'!$A$62,'Données projet'!$B$62,AI41+AH42-AQ41)))</f>
        <v>538.4000000000002</v>
      </c>
      <c r="AJ42" s="14">
        <f>AI42*VLOOKUP('Données projet'!$B$10,Paramètres!$A$1:$I$89,3,0)*VLOOKUP('Données projet'!$B$10,Paramètres!$A$1:$I$89,5,0)</f>
        <v>300.96560000000011</v>
      </c>
      <c r="AK42" s="14">
        <f t="shared" si="35"/>
        <v>71.378852450242803</v>
      </c>
      <c r="AL42" s="22">
        <f t="shared" si="4"/>
        <v>648.49992135083971</v>
      </c>
      <c r="AM42" s="62">
        <f t="shared" si="5"/>
        <v>941.83325468417297</v>
      </c>
      <c r="AN42" s="62">
        <f ca="1">AVERAGE(OFFSET($AM$3,0,0,'Données projet'!$E$10+1,1))-AVERAGE(OFFSET($H$3,0,0,'Données projet'!$E$10+1,1))</f>
        <v>382.55387448074327</v>
      </c>
      <c r="AO42" s="62">
        <f t="shared" si="36"/>
        <v>476.29465646955543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9.0404902375574601</v>
      </c>
      <c r="AV42" s="23">
        <f>EXP(-LN(2)/25)*AV41+(1-EXP(-LN(2)/25))/(LN(2)/25)*Calculateur!AQ42*Calculateur!AS42*VLOOKUP('Données projet'!$B$10,Paramètres!$A$1:$I$89,3,0)*0.475*44/12</f>
        <v>11.079879431199503</v>
      </c>
      <c r="AW42" s="23">
        <f>EXP(-LN(2)/2)*AW41+(1-EXP(-LN(2)/2))/(LN(2)/2)*AQ42*AT42*VLOOKUP('Données projet'!$B$10,Paramètres!$A$1:$I$89,3,0)*0.475*44/12</f>
        <v>0.58664087295087552</v>
      </c>
      <c r="AX42" s="23">
        <f t="shared" si="6"/>
        <v>20.707010541707842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10</v>
      </c>
      <c r="BD42" s="13">
        <f>IF('Données projet'!$A$88&gt;35,BD41+BC42-BL41,IF(A42&lt;'Données projet'!$A$88,$BA$205^A42,IF(A42='Données projet'!$A$88,'Données projet'!$B$88,BD41+BC42-BL41)))</f>
        <v>339.99999999999989</v>
      </c>
      <c r="BE42" s="14">
        <f>BD42*VLOOKUP('Données projet'!$B$11,Paramètres!$A$1:$I$89,3,0)*VLOOKUP('Données projet'!$B$11,Paramètres!$A$1:$I$89,5,0)</f>
        <v>159.11999999999995</v>
      </c>
      <c r="BF42" s="14">
        <f t="shared" si="37"/>
        <v>40.643965284387697</v>
      </c>
      <c r="BG42" s="22">
        <f t="shared" si="7"/>
        <v>347.92223953697516</v>
      </c>
      <c r="BH42" s="62">
        <f t="shared" si="8"/>
        <v>641.25557287030847</v>
      </c>
      <c r="BI42" s="62">
        <f ca="1">AVERAGE(OFFSET($BH$3,0,0,'Données projet'!$E$11+1,1))-AVERAGE(OFFSET($H$3,0,0,'Données projet'!$E$11+1,1))</f>
        <v>310.95287409903602</v>
      </c>
      <c r="BJ42" s="62">
        <f t="shared" si="38"/>
        <v>224.10083380795163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264</v>
      </c>
      <c r="L43" s="13">
        <f>VLOOKUP(A43,'Données projet'!$A$35:$I$55,9,0)</f>
        <v>14.4</v>
      </c>
      <c r="M43" s="13">
        <f t="array" ref="M43">INDEX(L:L,MIN(IF(ISNUMBER(L43:L239),ROW(L43:L239),"")))</f>
        <v>14.4</v>
      </c>
      <c r="N43" s="14">
        <f>IF('Données projet'!$A$36&gt;35,N42+M43-V42,IF(A43&lt;'Données projet'!$A$36,$K$205^A43,IF(A43='Données projet'!$A$36,'Données projet'!$B$36,N42+M43-V42)))</f>
        <v>264.00000000000006</v>
      </c>
      <c r="O43" s="14">
        <f>N43*VLOOKUP('Données projet'!$B$9,Paramètres!$A$1:$I$89,3,0)*VLOOKUP('Données projet'!$B$9,Paramètres!$A$1:$I$89,5,0)</f>
        <v>157.87200000000004</v>
      </c>
      <c r="P43" s="14">
        <f t="shared" si="33"/>
        <v>40.362165684361159</v>
      </c>
      <c r="Q43" s="22">
        <f t="shared" si="53"/>
        <v>345.25783856692902</v>
      </c>
      <c r="R43" s="62">
        <f t="shared" si="0"/>
        <v>638.59117190026234</v>
      </c>
      <c r="S43" s="62">
        <f ca="1">AVERAGE(OFFSET($R$3,0,0,'Données projet'!$E$9+1,1))-AVERAGE(OFFSET($H$3,0,0,'Données projet'!$E$9+1,1))</f>
        <v>287.69656598881124</v>
      </c>
      <c r="T43" s="62">
        <f t="shared" si="34"/>
        <v>221.9773436301067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41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4.5810561944554786</v>
      </c>
      <c r="AB43" s="23">
        <f>EXP(-LN(2)/2)*AB42+(1-EXP(-LN(2)/2))/(LN(2)/2)*V43*Y43*VLOOKUP('Données projet'!$B$9,Paramètres!$A$1:$I$89,3,0)*0.475*44/12</f>
        <v>0.44444051776077864</v>
      </c>
      <c r="AC43" s="24">
        <f t="shared" si="3"/>
        <v>5.025496712216257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564</v>
      </c>
      <c r="AG43" s="13">
        <f>VLOOKUP(A43,'Données projet'!$A$61:$I$81,9,0)</f>
        <v>25.6</v>
      </c>
      <c r="AH43" s="13">
        <f t="array" ref="AH43">INDEX(AG:AG,MIN(IF(ISNUMBER(AG43:AG239),ROW(AG43:AG239),"")))</f>
        <v>25.6</v>
      </c>
      <c r="AI43" s="14">
        <f>IF('Données projet'!$A$62&gt;35,AI42+AH43-AQ42,IF(A43&lt;'Données projet'!$A$62,$AF$205^A43,IF(A43='Données projet'!$A$62,'Données projet'!$B$62,AI42+AH43-AQ42)))</f>
        <v>564.00000000000023</v>
      </c>
      <c r="AJ43" s="14">
        <f>AI43*VLOOKUP('Données projet'!$B$10,Paramètres!$A$1:$I$89,3,0)*VLOOKUP('Données projet'!$B$10,Paramètres!$A$1:$I$89,5,0)</f>
        <v>315.27600000000012</v>
      </c>
      <c r="AK43" s="14">
        <f t="shared" si="35"/>
        <v>74.36958441265493</v>
      </c>
      <c r="AL43" s="22">
        <f t="shared" si="4"/>
        <v>678.63272618537417</v>
      </c>
      <c r="AM43" s="62">
        <f t="shared" si="5"/>
        <v>971.96605951870743</v>
      </c>
      <c r="AN43" s="62">
        <f ca="1">AVERAGE(OFFSET($AM$3,0,0,'Données projet'!$E$10+1,1))-AVERAGE(OFFSET($H$3,0,0,'Données projet'!$E$10+1,1))</f>
        <v>382.55387448074327</v>
      </c>
      <c r="AO43" s="62">
        <f t="shared" si="36"/>
        <v>476.29465646955543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72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8.8632117381535256</v>
      </c>
      <c r="AV43" s="23">
        <f>EXP(-LN(2)/25)*AV42+(1-EXP(-LN(2)/25))/(LN(2)/25)*Calculateur!AQ43*Calculateur!AS43*VLOOKUP('Données projet'!$B$10,Paramètres!$A$1:$I$89,3,0)*0.475*44/12</f>
        <v>10.776899545487817</v>
      </c>
      <c r="AW43" s="23">
        <f>EXP(-LN(2)/2)*AW42+(1-EXP(-LN(2)/2))/(LN(2)/2)*AQ43*AT43*VLOOKUP('Données projet'!$B$10,Paramètres!$A$1:$I$89,3,0)*0.475*44/12</f>
        <v>0.41481773938476002</v>
      </c>
      <c r="AX43" s="23">
        <f t="shared" si="6"/>
        <v>20.054929023026101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350</v>
      </c>
      <c r="BB43" s="13">
        <f>VLOOKUP(A43,'Données projet'!$A$87:$I$107,9,0)</f>
        <v>10</v>
      </c>
      <c r="BC43" s="13">
        <f t="array" ref="BC43">INDEX(BB:BB,MIN(IF(ISNUMBER(BB43:BB239),ROW(BB43:BB239),"")))</f>
        <v>10</v>
      </c>
      <c r="BD43" s="13">
        <f>IF('Données projet'!$A$88&gt;35,BD42+BC43-BL42,IF(A43&lt;'Données projet'!$A$88,$BA$205^A43,IF(A43='Données projet'!$A$88,'Données projet'!$B$88,BD42+BC43-BL42)))</f>
        <v>349.99999999999989</v>
      </c>
      <c r="BE43" s="14">
        <f>BD43*VLOOKUP('Données projet'!$B$11,Paramètres!$A$1:$I$89,3,0)*VLOOKUP('Données projet'!$B$11,Paramètres!$A$1:$I$89,5,0)</f>
        <v>163.79999999999995</v>
      </c>
      <c r="BF43" s="14">
        <f t="shared" si="37"/>
        <v>41.698441627605291</v>
      </c>
      <c r="BG43" s="22">
        <f t="shared" si="7"/>
        <v>357.90978583474572</v>
      </c>
      <c r="BH43" s="62">
        <f t="shared" si="8"/>
        <v>651.24311916807903</v>
      </c>
      <c r="BI43" s="62">
        <f ca="1">AVERAGE(OFFSET($BH$3,0,0,'Données projet'!$E$11+1,1))-AVERAGE(OFFSET($H$3,0,0,'Données projet'!$E$11+1,1))</f>
        <v>310.95287409903602</v>
      </c>
      <c r="BJ43" s="62">
        <f t="shared" si="38"/>
        <v>224.10083380795163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88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16.600000000000001</v>
      </c>
      <c r="N44" s="14">
        <f>IF('Données projet'!$A$36&gt;35,N43+M44-V43,IF(A44&lt;'Données projet'!$A$36,$K$205^A44,IF(A44='Données projet'!$A$36,'Données projet'!$B$36,N43+M44-V43)))</f>
        <v>239.60000000000008</v>
      </c>
      <c r="O44" s="14">
        <f>N44*VLOOKUP('Données projet'!$B$9,Paramètres!$A$1:$I$89,3,0)*VLOOKUP('Données projet'!$B$9,Paramètres!$A$1:$I$89,5,0)</f>
        <v>143.28080000000006</v>
      </c>
      <c r="P44" s="14">
        <f t="shared" si="33"/>
        <v>37.047574465948976</v>
      </c>
      <c r="Q44" s="22">
        <f t="shared" si="53"/>
        <v>314.07191886152788</v>
      </c>
      <c r="R44" s="62">
        <f t="shared" si="0"/>
        <v>607.40525219486119</v>
      </c>
      <c r="S44" s="62">
        <f ca="1">AVERAGE(OFFSET($R$3,0,0,'Données projet'!$E$9+1,1))-AVERAGE(OFFSET($H$3,0,0,'Données projet'!$E$9+1,1))</f>
        <v>287.69656598881124</v>
      </c>
      <c r="T44" s="62">
        <f t="shared" si="34"/>
        <v>221.9773436301067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4.4557869719108183</v>
      </c>
      <c r="AB44" s="23">
        <f>EXP(-LN(2)/2)*AB43+(1-EXP(-LN(2)/2))/(LN(2)/2)*V44*Y44*VLOOKUP('Données projet'!$B$9,Paramètres!$A$1:$I$89,3,0)*0.475*44/12</f>
        <v>0.31426690394270679</v>
      </c>
      <c r="AC44" s="24">
        <f t="shared" si="3"/>
        <v>4.7700538758535247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22.8</v>
      </c>
      <c r="AI44" s="14">
        <f>IF('Données projet'!$A$62&gt;35,AI43+AH44-AQ43,IF(A44&lt;'Données projet'!$A$62,$AF$205^A44,IF(A44='Données projet'!$A$62,'Données projet'!$B$62,AI43+AH44-AQ43)))</f>
        <v>514.80000000000018</v>
      </c>
      <c r="AJ44" s="14">
        <f>AI44*VLOOKUP('Données projet'!$B$10,Paramètres!$A$1:$I$89,3,0)*VLOOKUP('Données projet'!$B$10,Paramètres!$A$1:$I$89,5,0)</f>
        <v>287.77320000000009</v>
      </c>
      <c r="AK44" s="14">
        <f t="shared" si="35"/>
        <v>68.607082381743922</v>
      </c>
      <c r="AL44" s="22">
        <f t="shared" si="4"/>
        <v>620.69565848153741</v>
      </c>
      <c r="AM44" s="62">
        <f t="shared" si="5"/>
        <v>914.02899181487078</v>
      </c>
      <c r="AN44" s="62">
        <f ca="1">AVERAGE(OFFSET($AM$3,0,0,'Données projet'!$E$10+1,1))-AVERAGE(OFFSET($H$3,0,0,'Données projet'!$E$10+1,1))</f>
        <v>382.55387448074327</v>
      </c>
      <c r="AO44" s="62">
        <f t="shared" si="36"/>
        <v>476.29465646955543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8.6894095619936937</v>
      </c>
      <c r="AV44" s="23">
        <f>EXP(-LN(2)/25)*AV43+(1-EXP(-LN(2)/25))/(LN(2)/25)*Calculateur!AQ44*Calculateur!AS44*VLOOKUP('Données projet'!$B$10,Paramètres!$A$1:$I$89,3,0)*0.475*44/12</f>
        <v>10.482204660683937</v>
      </c>
      <c r="AW44" s="23">
        <f>EXP(-LN(2)/2)*AW43+(1-EXP(-LN(2)/2))/(LN(2)/2)*AQ44*AT44*VLOOKUP('Données projet'!$B$10,Paramètres!$A$1:$I$89,3,0)*0.475*44/12</f>
        <v>0.29332043647543782</v>
      </c>
      <c r="AX44" s="23">
        <f t="shared" si="6"/>
        <v>19.464934659153069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11.5</v>
      </c>
      <c r="BD44" s="13">
        <f>IF('Données projet'!$A$88&gt;35,BD43+BC44-BL43,IF(A44&lt;'Données projet'!$A$88,$BA$205^A44,IF(A44='Données projet'!$A$88,'Données projet'!$B$88,BD43+BC44-BL43)))</f>
        <v>273.49999999999989</v>
      </c>
      <c r="BE44" s="14">
        <f>BD44*VLOOKUP('Données projet'!$B$11,Paramètres!$A$1:$I$89,3,0)*VLOOKUP('Données projet'!$B$11,Paramètres!$A$1:$I$89,5,0)</f>
        <v>127.99799999999995</v>
      </c>
      <c r="BF44" s="14">
        <f t="shared" si="37"/>
        <v>33.533338894635314</v>
      </c>
      <c r="BG44" s="22">
        <f t="shared" si="7"/>
        <v>281.33374857482306</v>
      </c>
      <c r="BH44" s="62">
        <f t="shared" si="8"/>
        <v>574.66708190815643</v>
      </c>
      <c r="BI44" s="62">
        <f ca="1">AVERAGE(OFFSET($BH$3,0,0,'Données projet'!$E$11+1,1))-AVERAGE(OFFSET($H$3,0,0,'Données projet'!$E$11+1,1))</f>
        <v>310.95287409903602</v>
      </c>
      <c r="BJ44" s="62">
        <f t="shared" si="38"/>
        <v>224.10083380795163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16.600000000000001</v>
      </c>
      <c r="N45" s="14">
        <f>IF('Données projet'!$A$36&gt;35,N44+M45-V44,IF(A45&lt;'Données projet'!$A$36,$K$205^A45,IF(A45='Données projet'!$A$36,'Données projet'!$B$36,N44+M45-V44)))</f>
        <v>256.2000000000001</v>
      </c>
      <c r="O45" s="14">
        <f>N45*VLOOKUP('Données projet'!$B$9,Paramètres!$A$1:$I$89,3,0)*VLOOKUP('Données projet'!$B$9,Paramètres!$A$1:$I$89,5,0)</f>
        <v>153.20760000000007</v>
      </c>
      <c r="P45" s="14">
        <f t="shared" si="33"/>
        <v>39.306624169832133</v>
      </c>
      <c r="Q45" s="22">
        <f t="shared" si="53"/>
        <v>335.29560709579107</v>
      </c>
      <c r="R45" s="62">
        <f t="shared" si="0"/>
        <v>628.62894042912444</v>
      </c>
      <c r="S45" s="62">
        <f ca="1">AVERAGE(OFFSET($R$3,0,0,'Données projet'!$E$9+1,1))-AVERAGE(OFFSET($H$3,0,0,'Données projet'!$E$9+1,1))</f>
        <v>287.69656598881124</v>
      </c>
      <c r="T45" s="62">
        <f t="shared" si="34"/>
        <v>221.9773436301067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4.3339432428442644</v>
      </c>
      <c r="AB45" s="23">
        <f>EXP(-LN(2)/2)*AB44+(1-EXP(-LN(2)/2))/(LN(2)/2)*V45*Y45*VLOOKUP('Données projet'!$B$9,Paramètres!$A$1:$I$89,3,0)*0.475*44/12</f>
        <v>0.22222025888038932</v>
      </c>
      <c r="AC45" s="24">
        <f t="shared" si="3"/>
        <v>4.5561635017246536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22.8</v>
      </c>
      <c r="AI45" s="14">
        <f>IF('Données projet'!$A$62&gt;35,AI44+AH45-AQ44,IF(A45&lt;'Données projet'!$A$62,$AF$205^A45,IF(A45='Données projet'!$A$62,'Données projet'!$B$62,AI44+AH45-AQ44)))</f>
        <v>537.60000000000014</v>
      </c>
      <c r="AJ45" s="14">
        <f>AI45*VLOOKUP('Données projet'!$B$10,Paramètres!$A$1:$I$89,3,0)*VLOOKUP('Données projet'!$B$10,Paramètres!$A$1:$I$89,5,0)</f>
        <v>300.5184000000001</v>
      </c>
      <c r="AK45" s="14">
        <f t="shared" si="35"/>
        <v>71.285129105116411</v>
      </c>
      <c r="AL45" s="22">
        <f t="shared" si="4"/>
        <v>647.55781319141124</v>
      </c>
      <c r="AM45" s="62">
        <f t="shared" si="5"/>
        <v>940.8911465247445</v>
      </c>
      <c r="AN45" s="62">
        <f ca="1">AVERAGE(OFFSET($AM$3,0,0,'Données projet'!$E$10+1,1))-AVERAGE(OFFSET($H$3,0,0,'Données projet'!$E$10+1,1))</f>
        <v>382.55387448074327</v>
      </c>
      <c r="AO45" s="62">
        <f t="shared" si="36"/>
        <v>476.29465646955543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8.5190155404994972</v>
      </c>
      <c r="AV45" s="23">
        <f>EXP(-LN(2)/25)*AV44+(1-EXP(-LN(2)/25))/(LN(2)/25)*Calculateur!AQ45*Calculateur!AS45*VLOOKUP('Données projet'!$B$10,Paramètres!$A$1:$I$89,3,0)*0.475*44/12</f>
        <v>10.195568223002349</v>
      </c>
      <c r="AW45" s="23">
        <f>EXP(-LN(2)/2)*AW44+(1-EXP(-LN(2)/2))/(LN(2)/2)*AQ45*AT45*VLOOKUP('Données projet'!$B$10,Paramètres!$A$1:$I$89,3,0)*0.475*44/12</f>
        <v>0.20740886969238004</v>
      </c>
      <c r="AX45" s="23">
        <f t="shared" si="6"/>
        <v>18.921992633194225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11.5</v>
      </c>
      <c r="BD45" s="13">
        <f>IF('Données projet'!$A$88&gt;35,BD44+BC45-BL44,IF(A45&lt;'Données projet'!$A$88,$BA$205^A45,IF(A45='Données projet'!$A$88,'Données projet'!$B$88,BD44+BC45-BL44)))</f>
        <v>284.99999999999989</v>
      </c>
      <c r="BE45" s="14">
        <f>BD45*VLOOKUP('Données projet'!$B$11,Paramètres!$A$1:$I$89,3,0)*VLOOKUP('Données projet'!$B$11,Paramètres!$A$1:$I$89,5,0)</f>
        <v>133.37999999999994</v>
      </c>
      <c r="BF45" s="14">
        <f t="shared" si="37"/>
        <v>34.776207535548991</v>
      </c>
      <c r="BG45" s="22">
        <f t="shared" si="7"/>
        <v>292.87206145774769</v>
      </c>
      <c r="BH45" s="62">
        <f t="shared" si="8"/>
        <v>586.20539479108106</v>
      </c>
      <c r="BI45" s="62">
        <f ca="1">AVERAGE(OFFSET($BH$3,0,0,'Données projet'!$E$11+1,1))-AVERAGE(OFFSET($H$3,0,0,'Données projet'!$E$11+1,1))</f>
        <v>310.95287409903602</v>
      </c>
      <c r="BJ45" s="62">
        <f t="shared" si="38"/>
        <v>224.10083380795163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16.600000000000001</v>
      </c>
      <c r="N46" s="14">
        <f>IF('Données projet'!$A$36&gt;35,N45+M46-V45,IF(A46&lt;'Données projet'!$A$36,$K$205^A46,IF(A46='Données projet'!$A$36,'Données projet'!$B$36,N45+M46-V45)))</f>
        <v>272.80000000000013</v>
      </c>
      <c r="O46" s="14">
        <f>N46*VLOOKUP('Données projet'!$B$9,Paramètres!$A$1:$I$89,3,0)*VLOOKUP('Données projet'!$B$9,Paramètres!$A$1:$I$89,5,0)</f>
        <v>163.13440000000008</v>
      </c>
      <c r="P46" s="14">
        <f t="shared" si="33"/>
        <v>41.548687845426002</v>
      </c>
      <c r="Q46" s="22">
        <f t="shared" si="53"/>
        <v>356.48971133078379</v>
      </c>
      <c r="R46" s="62">
        <f t="shared" si="0"/>
        <v>649.82304466411711</v>
      </c>
      <c r="S46" s="62">
        <f ca="1">AVERAGE(OFFSET($R$3,0,0,'Données projet'!$E$9+1,1))-AVERAGE(OFFSET($H$3,0,0,'Données projet'!$E$9+1,1))</f>
        <v>287.69656598881124</v>
      </c>
      <c r="T46" s="62">
        <f t="shared" si="34"/>
        <v>221.9773436301067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4.2154313369565184</v>
      </c>
      <c r="AB46" s="23">
        <f>EXP(-LN(2)/2)*AB45+(1-EXP(-LN(2)/2))/(LN(2)/2)*V46*Y46*VLOOKUP('Données projet'!$B$9,Paramètres!$A$1:$I$89,3,0)*0.475*44/12</f>
        <v>0.15713345197135339</v>
      </c>
      <c r="AC46" s="24">
        <f t="shared" si="3"/>
        <v>4.372564788927872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22.8</v>
      </c>
      <c r="AI46" s="14">
        <f>IF('Données projet'!$A$62&gt;35,AI45+AH46-AQ45,IF(A46&lt;'Données projet'!$A$62,$AF$205^A46,IF(A46='Données projet'!$A$62,'Données projet'!$B$62,AI45+AH46-AQ45)))</f>
        <v>560.40000000000009</v>
      </c>
      <c r="AJ46" s="14">
        <f>AI46*VLOOKUP('Données projet'!$B$10,Paramètres!$A$1:$I$89,3,0)*VLOOKUP('Données projet'!$B$10,Paramètres!$A$1:$I$89,5,0)</f>
        <v>313.26360000000005</v>
      </c>
      <c r="AK46" s="14">
        <f t="shared" si="35"/>
        <v>73.949983766039026</v>
      </c>
      <c r="AL46" s="22">
        <f t="shared" si="4"/>
        <v>674.39699172585131</v>
      </c>
      <c r="AM46" s="62">
        <f t="shared" si="5"/>
        <v>967.73032505918468</v>
      </c>
      <c r="AN46" s="62">
        <f ca="1">AVERAGE(OFFSET($AM$3,0,0,'Données projet'!$E$10+1,1))-AVERAGE(OFFSET($H$3,0,0,'Données projet'!$E$10+1,1))</f>
        <v>382.55387448074327</v>
      </c>
      <c r="AO46" s="62">
        <f t="shared" si="36"/>
        <v>476.29465646955543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8.3519628418367109</v>
      </c>
      <c r="AV46" s="23">
        <f>EXP(-LN(2)/25)*AV45+(1-EXP(-LN(2)/25))/(LN(2)/25)*Calculateur!AQ46*Calculateur!AS46*VLOOKUP('Données projet'!$B$10,Paramètres!$A$1:$I$89,3,0)*0.475*44/12</f>
        <v>9.9167698737827195</v>
      </c>
      <c r="AW46" s="23">
        <f>EXP(-LN(2)/2)*AW45+(1-EXP(-LN(2)/2))/(LN(2)/2)*AQ46*AT46*VLOOKUP('Données projet'!$B$10,Paramètres!$A$1:$I$89,3,0)*0.475*44/12</f>
        <v>0.14666021823771894</v>
      </c>
      <c r="AX46" s="23">
        <f t="shared" si="6"/>
        <v>18.415392933857149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11.5</v>
      </c>
      <c r="BD46" s="13">
        <f>IF('Données projet'!$A$88&gt;35,BD45+BC46-BL45,IF(A46&lt;'Données projet'!$A$88,$BA$205^A46,IF(A46='Données projet'!$A$88,'Données projet'!$B$88,BD45+BC46-BL45)))</f>
        <v>296.49999999999989</v>
      </c>
      <c r="BE46" s="14">
        <f>BD46*VLOOKUP('Données projet'!$B$11,Paramètres!$A$1:$I$89,3,0)*VLOOKUP('Données projet'!$B$11,Paramètres!$A$1:$I$89,5,0)</f>
        <v>138.76199999999994</v>
      </c>
      <c r="BF46" s="14">
        <f t="shared" si="37"/>
        <v>36.01325063671441</v>
      </c>
      <c r="BG46" s="22">
        <f t="shared" si="7"/>
        <v>304.4002281922775</v>
      </c>
      <c r="BH46" s="62">
        <f t="shared" si="8"/>
        <v>597.73356152561087</v>
      </c>
      <c r="BI46" s="62">
        <f ca="1">AVERAGE(OFFSET($BH$3,0,0,'Données projet'!$E$11+1,1))-AVERAGE(OFFSET($H$3,0,0,'Données projet'!$E$11+1,1))</f>
        <v>310.95287409903602</v>
      </c>
      <c r="BJ46" s="62">
        <f t="shared" si="38"/>
        <v>224.10083380795163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16.600000000000001</v>
      </c>
      <c r="N47" s="14">
        <f>IF('Données projet'!$A$36&gt;35,N46+M47-V46,IF(A47&lt;'Données projet'!$A$36,$K$205^A47,IF(A47='Données projet'!$A$36,'Données projet'!$B$36,N46+M47-V46)))</f>
        <v>289.40000000000015</v>
      </c>
      <c r="O47" s="14">
        <f>N47*VLOOKUP('Données projet'!$B$9,Paramètres!$A$1:$I$89,3,0)*VLOOKUP('Données projet'!$B$9,Paramètres!$A$1:$I$89,5,0)</f>
        <v>173.0612000000001</v>
      </c>
      <c r="P47" s="14">
        <f t="shared" si="33"/>
        <v>43.774916798471111</v>
      </c>
      <c r="Q47" s="22">
        <f t="shared" si="53"/>
        <v>377.65623675733735</v>
      </c>
      <c r="R47" s="62">
        <f t="shared" si="0"/>
        <v>670.98957009067067</v>
      </c>
      <c r="S47" s="62">
        <f ca="1">AVERAGE(OFFSET($R$3,0,0,'Données projet'!$E$9+1,1))-AVERAGE(OFFSET($H$3,0,0,'Données projet'!$E$9+1,1))</f>
        <v>287.69656598881124</v>
      </c>
      <c r="T47" s="62">
        <f t="shared" si="34"/>
        <v>221.9773436301067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4.1001601453675427</v>
      </c>
      <c r="AB47" s="23">
        <f>EXP(-LN(2)/2)*AB46+(1-EXP(-LN(2)/2))/(LN(2)/2)*V47*Y47*VLOOKUP('Données projet'!$B$9,Paramètres!$A$1:$I$89,3,0)*0.475*44/12</f>
        <v>0.11111012944019466</v>
      </c>
      <c r="AC47" s="24">
        <f t="shared" si="3"/>
        <v>4.2112702748077373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22.8</v>
      </c>
      <c r="AI47" s="14">
        <f>IF('Données projet'!$A$62&gt;35,AI46+AH47-AQ46,IF(A47&lt;'Données projet'!$A$62,$AF$205^A47,IF(A47='Données projet'!$A$62,'Données projet'!$B$62,AI46+AH47-AQ46)))</f>
        <v>583.20000000000005</v>
      </c>
      <c r="AJ47" s="14">
        <f>AI47*VLOOKUP('Données projet'!$B$10,Paramètres!$A$1:$I$89,3,0)*VLOOKUP('Données projet'!$B$10,Paramètres!$A$1:$I$89,5,0)</f>
        <v>326.00880000000001</v>
      </c>
      <c r="AK47" s="14">
        <f t="shared" si="35"/>
        <v>76.602244480772981</v>
      </c>
      <c r="AL47" s="22">
        <f t="shared" si="4"/>
        <v>701.2142358040129</v>
      </c>
      <c r="AM47" s="62">
        <f t="shared" si="5"/>
        <v>994.54756913734627</v>
      </c>
      <c r="AN47" s="62">
        <f ca="1">AVERAGE(OFFSET($AM$3,0,0,'Données projet'!$E$10+1,1))-AVERAGE(OFFSET($H$3,0,0,'Données projet'!$E$10+1,1))</f>
        <v>382.55387448074327</v>
      </c>
      <c r="AO47" s="62">
        <f t="shared" si="36"/>
        <v>476.29465646955543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8.1881859447026173</v>
      </c>
      <c r="AV47" s="23">
        <f>EXP(-LN(2)/25)*AV46+(1-EXP(-LN(2)/25))/(LN(2)/25)*Calculateur!AQ47*Calculateur!AS47*VLOOKUP('Données projet'!$B$10,Paramètres!$A$1:$I$89,3,0)*0.475*44/12</f>
        <v>9.6455952800838691</v>
      </c>
      <c r="AW47" s="23">
        <f>EXP(-LN(2)/2)*AW46+(1-EXP(-LN(2)/2))/(LN(2)/2)*AQ47*AT47*VLOOKUP('Données projet'!$B$10,Paramètres!$A$1:$I$89,3,0)*0.475*44/12</f>
        <v>0.10370443484619003</v>
      </c>
      <c r="AX47" s="23">
        <f t="shared" si="6"/>
        <v>17.937485659632674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11.5</v>
      </c>
      <c r="BD47" s="13">
        <f>IF('Données projet'!$A$88&gt;35,BD46+BC47-BL46,IF(A47&lt;'Données projet'!$A$88,$BA$205^A47,IF(A47='Données projet'!$A$88,'Données projet'!$B$88,BD46+BC47-BL46)))</f>
        <v>307.99999999999989</v>
      </c>
      <c r="BE47" s="14">
        <f>BD47*VLOOKUP('Données projet'!$B$11,Paramètres!$A$1:$I$89,3,0)*VLOOKUP('Données projet'!$B$11,Paramètres!$A$1:$I$89,5,0)</f>
        <v>144.14399999999995</v>
      </c>
      <c r="BF47" s="14">
        <f t="shared" si="37"/>
        <v>37.244720006976216</v>
      </c>
      <c r="BG47" s="22">
        <f t="shared" si="7"/>
        <v>315.91868734548348</v>
      </c>
      <c r="BH47" s="62">
        <f t="shared" si="8"/>
        <v>609.25202067881673</v>
      </c>
      <c r="BI47" s="62">
        <f ca="1">AVERAGE(OFFSET($BH$3,0,0,'Données projet'!$E$11+1,1))-AVERAGE(OFFSET($H$3,0,0,'Données projet'!$E$11+1,1))</f>
        <v>310.95287409903602</v>
      </c>
      <c r="BJ47" s="62">
        <f t="shared" si="38"/>
        <v>224.10083380795163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306</v>
      </c>
      <c r="L48" s="13">
        <f>VLOOKUP(A48,'Données projet'!$A$35:$I$55,9,0)</f>
        <v>16.600000000000001</v>
      </c>
      <c r="M48" s="13">
        <f t="array" ref="M48">INDEX(L:L,MIN(IF(ISNUMBER(L48:L244),ROW(L48:L244),"")))</f>
        <v>16.600000000000001</v>
      </c>
      <c r="N48" s="14">
        <f>IF('Données projet'!$A$36&gt;35,N47+M48-V47,IF(A48&lt;'Données projet'!$A$36,$K$205^A48,IF(A48='Données projet'!$A$36,'Données projet'!$B$36,N47+M48-V47)))</f>
        <v>306.00000000000017</v>
      </c>
      <c r="O48" s="14">
        <f>N48*VLOOKUP('Données projet'!$B$9,Paramètres!$A$1:$I$89,3,0)*VLOOKUP('Données projet'!$B$9,Paramètres!$A$1:$I$89,5,0)</f>
        <v>182.98800000000011</v>
      </c>
      <c r="P48" s="14">
        <f t="shared" si="33"/>
        <v>45.986322796524874</v>
      </c>
      <c r="Q48" s="22">
        <f t="shared" si="53"/>
        <v>398.79694553728103</v>
      </c>
      <c r="R48" s="62">
        <f t="shared" si="0"/>
        <v>692.13027887061435</v>
      </c>
      <c r="S48" s="62">
        <f ca="1">AVERAGE(OFFSET($R$3,0,0,'Données projet'!$E$9+1,1))-AVERAGE(OFFSET($H$3,0,0,'Données projet'!$E$9+1,1))</f>
        <v>287.69656598881124</v>
      </c>
      <c r="T48" s="62">
        <f t="shared" si="34"/>
        <v>221.9773436301067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53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3.9880410505744162</v>
      </c>
      <c r="AB48" s="23">
        <f>EXP(-LN(2)/2)*AB47+(1-EXP(-LN(2)/2))/(LN(2)/2)*V48*Y48*VLOOKUP('Données projet'!$B$9,Paramètres!$A$1:$I$89,3,0)*0.475*44/12</f>
        <v>7.8566725985676697E-2</v>
      </c>
      <c r="AC48" s="24">
        <f t="shared" si="3"/>
        <v>4.066607776560093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606</v>
      </c>
      <c r="AG48" s="13">
        <f>VLOOKUP(A48,'Données projet'!$A$61:$I$81,9,0)</f>
        <v>22.8</v>
      </c>
      <c r="AH48" s="13">
        <f t="array" ref="AH48">INDEX(AG:AG,MIN(IF(ISNUMBER(AG48:AG244),ROW(AG48:AG244),"")))</f>
        <v>22.8</v>
      </c>
      <c r="AI48" s="14">
        <f>IF('Données projet'!$A$62&gt;35,AI47+AH48-AQ47,IF(A48&lt;'Données projet'!$A$62,$AF$205^A48,IF(A48='Données projet'!$A$62,'Données projet'!$B$62,AI47+AH48-AQ47)))</f>
        <v>606</v>
      </c>
      <c r="AJ48" s="14">
        <f>AI48*VLOOKUP('Données projet'!$B$10,Paramètres!$A$1:$I$89,3,0)*VLOOKUP('Données projet'!$B$10,Paramètres!$A$1:$I$89,5,0)</f>
        <v>338.75400000000002</v>
      </c>
      <c r="AK48" s="14">
        <f t="shared" si="35"/>
        <v>79.242459951408904</v>
      </c>
      <c r="AL48" s="22">
        <f t="shared" si="4"/>
        <v>728.01050108203719</v>
      </c>
      <c r="AM48" s="62">
        <f t="shared" si="5"/>
        <v>1021.3438344153706</v>
      </c>
      <c r="AN48" s="62">
        <f ca="1">AVERAGE(OFFSET($AM$3,0,0,'Données projet'!$E$10+1,1))-AVERAGE(OFFSET($H$3,0,0,'Données projet'!$E$10+1,1))</f>
        <v>382.55387448074327</v>
      </c>
      <c r="AO48" s="62">
        <f t="shared" si="36"/>
        <v>476.29465646955543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66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8.0276206126272793</v>
      </c>
      <c r="AV48" s="23">
        <f>EXP(-LN(2)/25)*AV47+(1-EXP(-LN(2)/25))/(LN(2)/25)*Calculateur!AQ48*Calculateur!AS48*VLOOKUP('Données projet'!$B$10,Paramètres!$A$1:$I$89,3,0)*0.475*44/12</f>
        <v>9.3818359699101652</v>
      </c>
      <c r="AW48" s="23">
        <f>EXP(-LN(2)/2)*AW47+(1-EXP(-LN(2)/2))/(LN(2)/2)*AQ48*AT48*VLOOKUP('Données projet'!$B$10,Paramètres!$A$1:$I$89,3,0)*0.475*44/12</f>
        <v>7.3330109118859468E-2</v>
      </c>
      <c r="AX48" s="23">
        <f t="shared" si="6"/>
        <v>17.482786691656305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11.5</v>
      </c>
      <c r="BD48" s="13">
        <f>IF('Données projet'!$A$88&gt;35,BD47+BC48-BL47,IF(A48&lt;'Données projet'!$A$88,$BA$205^A48,IF(A48='Données projet'!$A$88,'Données projet'!$B$88,BD47+BC48-BL47)))</f>
        <v>319.49999999999989</v>
      </c>
      <c r="BE48" s="14">
        <f>BD48*VLOOKUP('Données projet'!$B$11,Paramètres!$A$1:$I$89,3,0)*VLOOKUP('Données projet'!$B$11,Paramètres!$A$1:$I$89,5,0)</f>
        <v>149.52599999999995</v>
      </c>
      <c r="BF48" s="14">
        <f t="shared" si="37"/>
        <v>38.470847585964201</v>
      </c>
      <c r="BG48" s="22">
        <f t="shared" si="7"/>
        <v>327.42784287888759</v>
      </c>
      <c r="BH48" s="62">
        <f t="shared" si="8"/>
        <v>620.7611762122209</v>
      </c>
      <c r="BI48" s="62">
        <f ca="1">AVERAGE(OFFSET($BH$3,0,0,'Données projet'!$E$11+1,1))-AVERAGE(OFFSET($H$3,0,0,'Données projet'!$E$11+1,1))</f>
        <v>310.95287409903602</v>
      </c>
      <c r="BJ48" s="62">
        <f t="shared" si="38"/>
        <v>224.10083380795163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17.399999999999999</v>
      </c>
      <c r="N49" s="14">
        <f>IF('Données projet'!$A$36&gt;35,N48+M49-V48,IF(A49&lt;'Données projet'!$A$36,$K$205^A49,IF(A49='Données projet'!$A$36,'Données projet'!$B$36,N48+M49-V48)))</f>
        <v>270.40000000000015</v>
      </c>
      <c r="O49" s="14">
        <f>N49*VLOOKUP('Données projet'!$B$9,Paramètres!$A$1:$I$89,3,0)*VLOOKUP('Données projet'!$B$9,Paramètres!$A$1:$I$89,5,0)</f>
        <v>161.6992000000001</v>
      </c>
      <c r="P49" s="14">
        <f t="shared" si="33"/>
        <v>41.225538754249229</v>
      </c>
      <c r="Q49" s="22">
        <f t="shared" si="53"/>
        <v>353.42725333031763</v>
      </c>
      <c r="R49" s="62">
        <f t="shared" si="0"/>
        <v>646.76058666365088</v>
      </c>
      <c r="S49" s="62">
        <f ca="1">AVERAGE(OFFSET($R$3,0,0,'Données projet'!$E$9+1,1))-AVERAGE(OFFSET($H$3,0,0,'Données projet'!$E$9+1,1))</f>
        <v>287.69656598881124</v>
      </c>
      <c r="T49" s="62">
        <f t="shared" si="34"/>
        <v>221.9773436301067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3.8789878583244946</v>
      </c>
      <c r="AB49" s="23">
        <f>EXP(-LN(2)/2)*AB48+(1-EXP(-LN(2)/2))/(LN(2)/2)*V49*Y49*VLOOKUP('Données projet'!$B$9,Paramètres!$A$1:$I$89,3,0)*0.475*44/12</f>
        <v>5.555506472009733E-2</v>
      </c>
      <c r="AC49" s="24">
        <f t="shared" si="3"/>
        <v>3.9345429230445919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17.8</v>
      </c>
      <c r="AI49" s="14">
        <f>IF('Données projet'!$A$62&gt;35,AI48+AH49-AQ48,IF(A49&lt;'Données projet'!$A$62,$AF$205^A49,IF(A49='Données projet'!$A$62,'Données projet'!$B$62,AI48+AH49-AQ48)))</f>
        <v>557.79999999999995</v>
      </c>
      <c r="AJ49" s="14">
        <f>AI49*VLOOKUP('Données projet'!$B$10,Paramètres!$A$1:$I$89,3,0)*VLOOKUP('Données projet'!$B$10,Paramètres!$A$1:$I$89,5,0)</f>
        <v>311.81020000000001</v>
      </c>
      <c r="AK49" s="14">
        <f t="shared" si="35"/>
        <v>73.646743780370684</v>
      </c>
      <c r="AL49" s="22">
        <f t="shared" si="4"/>
        <v>671.33751041747894</v>
      </c>
      <c r="AM49" s="62">
        <f t="shared" si="5"/>
        <v>964.67084375081231</v>
      </c>
      <c r="AN49" s="62">
        <f ca="1">AVERAGE(OFFSET($AM$3,0,0,'Données projet'!$E$10+1,1))-AVERAGE(OFFSET($H$3,0,0,'Données projet'!$E$10+1,1))</f>
        <v>382.55387448074327</v>
      </c>
      <c r="AO49" s="62">
        <f t="shared" si="36"/>
        <v>476.29465646955543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7.8702038687787566</v>
      </c>
      <c r="AV49" s="23">
        <f>EXP(-LN(2)/25)*AV48+(1-EXP(-LN(2)/25))/(LN(2)/25)*Calculateur!AQ49*Calculateur!AS49*VLOOKUP('Données projet'!$B$10,Paramètres!$A$1:$I$89,3,0)*0.475*44/12</f>
        <v>9.1252891719436597</v>
      </c>
      <c r="AW49" s="23">
        <f>EXP(-LN(2)/2)*AW48+(1-EXP(-LN(2)/2))/(LN(2)/2)*AQ49*AT49*VLOOKUP('Données projet'!$B$10,Paramètres!$A$1:$I$89,3,0)*0.475*44/12</f>
        <v>5.1852217423095016E-2</v>
      </c>
      <c r="AX49" s="23">
        <f t="shared" si="6"/>
        <v>17.047345258145512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11.5</v>
      </c>
      <c r="BD49" s="13">
        <f>IF('Données projet'!$A$88&gt;35,BD48+BC49-BL48,IF(A49&lt;'Données projet'!$A$88,$BA$205^A49,IF(A49='Données projet'!$A$88,'Données projet'!$B$88,BD48+BC49-BL48)))</f>
        <v>330.99999999999989</v>
      </c>
      <c r="BE49" s="14">
        <f>BD49*VLOOKUP('Données projet'!$B$11,Paramètres!$A$1:$I$89,3,0)*VLOOKUP('Données projet'!$B$11,Paramètres!$A$1:$I$89,5,0)</f>
        <v>154.90799999999996</v>
      </c>
      <c r="BF49" s="14">
        <f t="shared" si="37"/>
        <v>39.691847670151873</v>
      </c>
      <c r="BG49" s="22">
        <f t="shared" si="7"/>
        <v>338.92806802551439</v>
      </c>
      <c r="BH49" s="62">
        <f t="shared" si="8"/>
        <v>632.26140135884771</v>
      </c>
      <c r="BI49" s="62">
        <f ca="1">AVERAGE(OFFSET($BH$3,0,0,'Données projet'!$E$11+1,1))-AVERAGE(OFFSET($H$3,0,0,'Données projet'!$E$11+1,1))</f>
        <v>310.95287409903602</v>
      </c>
      <c r="BJ49" s="62">
        <f t="shared" si="38"/>
        <v>224.10083380795163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17.399999999999999</v>
      </c>
      <c r="N50" s="14">
        <f>IF('Données projet'!$A$36&gt;35,N49+M50-V49,IF(A50&lt;'Données projet'!$A$36,$K$205^A50,IF(A50='Données projet'!$A$36,'Données projet'!$B$36,N49+M50-V49)))</f>
        <v>287.80000000000013</v>
      </c>
      <c r="O50" s="14">
        <f>N50*VLOOKUP('Données projet'!$B$9,Paramètres!$A$1:$I$89,3,0)*VLOOKUP('Données projet'!$B$9,Paramètres!$A$1:$I$89,5,0)</f>
        <v>172.10440000000008</v>
      </c>
      <c r="P50" s="14">
        <f t="shared" si="33"/>
        <v>43.561001176960559</v>
      </c>
      <c r="Q50" s="22">
        <f t="shared" si="53"/>
        <v>375.61724038320648</v>
      </c>
      <c r="R50" s="62">
        <f t="shared" si="0"/>
        <v>668.95057371653979</v>
      </c>
      <c r="S50" s="62">
        <f ca="1">AVERAGE(OFFSET($R$3,0,0,'Données projet'!$E$9+1,1))-AVERAGE(OFFSET($H$3,0,0,'Données projet'!$E$9+1,1))</f>
        <v>287.69656598881124</v>
      </c>
      <c r="T50" s="62">
        <f t="shared" si="34"/>
        <v>221.9773436301067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3.7729167313515055</v>
      </c>
      <c r="AB50" s="23">
        <f>EXP(-LN(2)/2)*AB49+(1-EXP(-LN(2)/2))/(LN(2)/2)*V50*Y50*VLOOKUP('Données projet'!$B$9,Paramètres!$A$1:$I$89,3,0)*0.475*44/12</f>
        <v>3.9283362992838348E-2</v>
      </c>
      <c r="AC50" s="24">
        <f t="shared" si="3"/>
        <v>3.8122000943443437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17.8</v>
      </c>
      <c r="AI50" s="14">
        <f>IF('Données projet'!$A$62&gt;35,AI49+AH50-AQ49,IF(A50&lt;'Données projet'!$A$62,$AF$205^A50,IF(A50='Données projet'!$A$62,'Données projet'!$B$62,AI49+AH50-AQ49)))</f>
        <v>575.59999999999991</v>
      </c>
      <c r="AJ50" s="14">
        <f>AI50*VLOOKUP('Données projet'!$B$10,Paramètres!$A$1:$I$89,3,0)*VLOOKUP('Données projet'!$B$10,Paramètres!$A$1:$I$89,5,0)</f>
        <v>321.76039999999995</v>
      </c>
      <c r="AK50" s="14">
        <f t="shared" si="35"/>
        <v>75.719522083505169</v>
      </c>
      <c r="AL50" s="22">
        <f t="shared" si="4"/>
        <v>692.27753096210472</v>
      </c>
      <c r="AM50" s="62">
        <f t="shared" si="5"/>
        <v>985.61086429543798</v>
      </c>
      <c r="AN50" s="62">
        <f ca="1">AVERAGE(OFFSET($AM$3,0,0,'Données projet'!$E$10+1,1))-AVERAGE(OFFSET($H$3,0,0,'Données projet'!$E$10+1,1))</f>
        <v>382.55387448074327</v>
      </c>
      <c r="AO50" s="62">
        <f t="shared" si="36"/>
        <v>476.29465646955543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7.7158739712623703</v>
      </c>
      <c r="AV50" s="23">
        <f>EXP(-LN(2)/25)*AV49+(1-EXP(-LN(2)/25))/(LN(2)/25)*Calculateur!AQ50*Calculateur!AS50*VLOOKUP('Données projet'!$B$10,Paramètres!$A$1:$I$89,3,0)*0.475*44/12</f>
        <v>8.8757576596587597</v>
      </c>
      <c r="AW50" s="23">
        <f>EXP(-LN(2)/2)*AW49+(1-EXP(-LN(2)/2))/(LN(2)/2)*AQ50*AT50*VLOOKUP('Données projet'!$B$10,Paramètres!$A$1:$I$89,3,0)*0.475*44/12</f>
        <v>3.6665054559429734E-2</v>
      </c>
      <c r="AX50" s="23">
        <f t="shared" si="6"/>
        <v>16.628296685480557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11.5</v>
      </c>
      <c r="BD50" s="13">
        <f>IF('Données projet'!$A$88&gt;35,BD49+BC50-BL49,IF(A50&lt;'Données projet'!$A$88,$BA$205^A50,IF(A50='Données projet'!$A$88,'Données projet'!$B$88,BD49+BC50-BL49)))</f>
        <v>342.49999999999989</v>
      </c>
      <c r="BE50" s="14">
        <f>BD50*VLOOKUP('Données projet'!$B$11,Paramètres!$A$1:$I$89,3,0)*VLOOKUP('Données projet'!$B$11,Paramètres!$A$1:$I$89,5,0)</f>
        <v>160.28999999999994</v>
      </c>
      <c r="BF50" s="14">
        <f t="shared" si="37"/>
        <v>40.907918820862015</v>
      </c>
      <c r="BG50" s="22">
        <f t="shared" si="7"/>
        <v>350.41970861300121</v>
      </c>
      <c r="BH50" s="62">
        <f t="shared" si="8"/>
        <v>643.75304194633452</v>
      </c>
      <c r="BI50" s="62">
        <f ca="1">AVERAGE(OFFSET($BH$3,0,0,'Données projet'!$E$11+1,1))-AVERAGE(OFFSET($H$3,0,0,'Données projet'!$E$11+1,1))</f>
        <v>310.95287409903602</v>
      </c>
      <c r="BJ50" s="62">
        <f t="shared" si="38"/>
        <v>224.10083380795163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17.399999999999999</v>
      </c>
      <c r="N51" s="14">
        <f>IF('Données projet'!$A$36&gt;35,N50+M51-V50,IF(A51&lt;'Données projet'!$A$36,$K$205^A51,IF(A51='Données projet'!$A$36,'Données projet'!$B$36,N50+M51-V50)))</f>
        <v>305.2000000000001</v>
      </c>
      <c r="O51" s="14">
        <f>N51*VLOOKUP('Données projet'!$B$9,Paramètres!$A$1:$I$89,3,0)*VLOOKUP('Données projet'!$B$9,Paramètres!$A$1:$I$89,5,0)</f>
        <v>182.50960000000006</v>
      </c>
      <c r="P51" s="14">
        <f t="shared" si="33"/>
        <v>45.880075205637056</v>
      </c>
      <c r="Q51" s="22">
        <f t="shared" si="53"/>
        <v>397.77868431648454</v>
      </c>
      <c r="R51" s="62">
        <f t="shared" si="0"/>
        <v>691.11201764981786</v>
      </c>
      <c r="S51" s="62">
        <f ca="1">AVERAGE(OFFSET($R$3,0,0,'Données projet'!$E$9+1,1))-AVERAGE(OFFSET($H$3,0,0,'Données projet'!$E$9+1,1))</f>
        <v>287.69656598881124</v>
      </c>
      <c r="T51" s="62">
        <f t="shared" si="34"/>
        <v>221.9773436301067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3.6697461249236309</v>
      </c>
      <c r="AB51" s="23">
        <f>EXP(-LN(2)/2)*AB50+(1-EXP(-LN(2)/2))/(LN(2)/2)*V51*Y51*VLOOKUP('Données projet'!$B$9,Paramètres!$A$1:$I$89,3,0)*0.475*44/12</f>
        <v>2.7777532360048665E-2</v>
      </c>
      <c r="AC51" s="24">
        <f t="shared" si="3"/>
        <v>3.6975236572836798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17.8</v>
      </c>
      <c r="AI51" s="14">
        <f>IF('Données projet'!$A$62&gt;35,AI50+AH51-AQ50,IF(A51&lt;'Données projet'!$A$62,$AF$205^A51,IF(A51='Données projet'!$A$62,'Données projet'!$B$62,AI50+AH51-AQ50)))</f>
        <v>593.39999999999986</v>
      </c>
      <c r="AJ51" s="14">
        <f>AI51*VLOOKUP('Données projet'!$B$10,Paramètres!$A$1:$I$89,3,0)*VLOOKUP('Données projet'!$B$10,Paramètres!$A$1:$I$89,5,0)</f>
        <v>331.71059999999994</v>
      </c>
      <c r="AK51" s="14">
        <f t="shared" si="35"/>
        <v>77.784851407016433</v>
      </c>
      <c r="AL51" s="22">
        <f t="shared" si="4"/>
        <v>713.20457786722011</v>
      </c>
      <c r="AM51" s="62">
        <f t="shared" si="5"/>
        <v>1006.5379112005535</v>
      </c>
      <c r="AN51" s="62">
        <f ca="1">AVERAGE(OFFSET($AM$3,0,0,'Données projet'!$E$10+1,1))-AVERAGE(OFFSET($H$3,0,0,'Données projet'!$E$10+1,1))</f>
        <v>382.55387448074327</v>
      </c>
      <c r="AO51" s="62">
        <f t="shared" si="36"/>
        <v>476.29465646955543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7.564570388904337</v>
      </c>
      <c r="AV51" s="23">
        <f>EXP(-LN(2)/25)*AV50+(1-EXP(-LN(2)/25))/(LN(2)/25)*Calculateur!AQ51*Calculateur!AS51*VLOOKUP('Données projet'!$B$10,Paramètres!$A$1:$I$89,3,0)*0.475*44/12</f>
        <v>8.6330495996995822</v>
      </c>
      <c r="AW51" s="23">
        <f>EXP(-LN(2)/2)*AW50+(1-EXP(-LN(2)/2))/(LN(2)/2)*AQ51*AT51*VLOOKUP('Données projet'!$B$10,Paramètres!$A$1:$I$89,3,0)*0.475*44/12</f>
        <v>2.5926108711547508E-2</v>
      </c>
      <c r="AX51" s="23">
        <f t="shared" si="6"/>
        <v>16.223546097315467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11.5</v>
      </c>
      <c r="BD51" s="13">
        <f>IF('Données projet'!$A$88&gt;35,BD50+BC51-BL50,IF(A51&lt;'Données projet'!$A$88,$BA$205^A51,IF(A51='Données projet'!$A$88,'Données projet'!$B$88,BD50+BC51-BL50)))</f>
        <v>353.99999999999989</v>
      </c>
      <c r="BE51" s="14">
        <f>BD51*VLOOKUP('Données projet'!$B$11,Paramètres!$A$1:$I$89,3,0)*VLOOKUP('Données projet'!$B$11,Paramètres!$A$1:$I$89,5,0)</f>
        <v>165.67199999999994</v>
      </c>
      <c r="BF51" s="14">
        <f t="shared" si="37"/>
        <v>42.119245508815517</v>
      </c>
      <c r="BG51" s="22">
        <f t="shared" si="7"/>
        <v>361.90308592785351</v>
      </c>
      <c r="BH51" s="62">
        <f t="shared" si="8"/>
        <v>655.23641926118682</v>
      </c>
      <c r="BI51" s="62">
        <f ca="1">AVERAGE(OFFSET($BH$3,0,0,'Données projet'!$E$11+1,1))-AVERAGE(OFFSET($H$3,0,0,'Données projet'!$E$11+1,1))</f>
        <v>310.95287409903602</v>
      </c>
      <c r="BJ51" s="62">
        <f t="shared" si="38"/>
        <v>224.10083380795163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17.399999999999999</v>
      </c>
      <c r="N52" s="14">
        <f>IF('Données projet'!$A$36&gt;35,N51+M52-V51,IF(A52&lt;'Données projet'!$A$36,$K$205^A52,IF(A52='Données projet'!$A$36,'Données projet'!$B$36,N51+M52-V51)))</f>
        <v>322.60000000000008</v>
      </c>
      <c r="O52" s="14">
        <f>N52*VLOOKUP('Données projet'!$B$9,Paramètres!$A$1:$I$89,3,0)*VLOOKUP('Données projet'!$B$9,Paramètres!$A$1:$I$89,5,0)</f>
        <v>192.91480000000007</v>
      </c>
      <c r="P52" s="14">
        <f t="shared" si="33"/>
        <v>48.18380163388656</v>
      </c>
      <c r="Q52" s="22">
        <f t="shared" si="53"/>
        <v>419.91339784568589</v>
      </c>
      <c r="R52" s="62">
        <f t="shared" si="0"/>
        <v>713.24673117901921</v>
      </c>
      <c r="S52" s="62">
        <f ca="1">AVERAGE(OFFSET($R$3,0,0,'Données projet'!$E$9+1,1))-AVERAGE(OFFSET($H$3,0,0,'Données projet'!$E$9+1,1))</f>
        <v>287.69656598881124</v>
      </c>
      <c r="T52" s="62">
        <f t="shared" si="34"/>
        <v>221.9773436301067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3.569396724154033</v>
      </c>
      <c r="AB52" s="23">
        <f>EXP(-LN(2)/2)*AB51+(1-EXP(-LN(2)/2))/(LN(2)/2)*V52*Y52*VLOOKUP('Données projet'!$B$9,Paramètres!$A$1:$I$89,3,0)*0.475*44/12</f>
        <v>1.9641681496419174E-2</v>
      </c>
      <c r="AC52" s="24">
        <f t="shared" si="3"/>
        <v>3.5890384056504523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17.8</v>
      </c>
      <c r="AI52" s="14">
        <f>IF('Données projet'!$A$62&gt;35,AI51+AH52-AQ51,IF(A52&lt;'Données projet'!$A$62,$AF$205^A52,IF(A52='Données projet'!$A$62,'Données projet'!$B$62,AI51+AH52-AQ51)))</f>
        <v>611.19999999999982</v>
      </c>
      <c r="AJ52" s="14">
        <f>AI52*VLOOKUP('Données projet'!$B$10,Paramètres!$A$1:$I$89,3,0)*VLOOKUP('Données projet'!$B$10,Paramètres!$A$1:$I$89,5,0)</f>
        <v>341.66079999999988</v>
      </c>
      <c r="AK52" s="14">
        <f t="shared" si="35"/>
        <v>79.842980844864144</v>
      </c>
      <c r="AL52" s="22">
        <f t="shared" si="4"/>
        <v>734.11908497147158</v>
      </c>
      <c r="AM52" s="62">
        <f t="shared" si="5"/>
        <v>1027.452418304805</v>
      </c>
      <c r="AN52" s="62">
        <f ca="1">AVERAGE(OFFSET($AM$3,0,0,'Données projet'!$E$10+1,1))-AVERAGE(OFFSET($H$3,0,0,'Données projet'!$E$10+1,1))</f>
        <v>382.55387448074327</v>
      </c>
      <c r="AO52" s="62">
        <f t="shared" si="36"/>
        <v>476.29465646955543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7.4162337775102722</v>
      </c>
      <c r="AV52" s="23">
        <f>EXP(-LN(2)/25)*AV51+(1-EXP(-LN(2)/25))/(LN(2)/25)*Calculateur!AQ52*Calculateur!AS52*VLOOKUP('Données projet'!$B$10,Paramètres!$A$1:$I$89,3,0)*0.475*44/12</f>
        <v>8.3969784044034501</v>
      </c>
      <c r="AW52" s="23">
        <f>EXP(-LN(2)/2)*AW51+(1-EXP(-LN(2)/2))/(LN(2)/2)*AQ52*AT52*VLOOKUP('Données projet'!$B$10,Paramètres!$A$1:$I$89,3,0)*0.475*44/12</f>
        <v>1.8332527279714867E-2</v>
      </c>
      <c r="AX52" s="23">
        <f t="shared" si="6"/>
        <v>15.831544709193437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11.5</v>
      </c>
      <c r="BD52" s="13">
        <f>IF('Données projet'!$A$88&gt;35,BD51+BC52-BL51,IF(A52&lt;'Données projet'!$A$88,$BA$205^A52,IF(A52='Données projet'!$A$88,'Données projet'!$B$88,BD51+BC52-BL51)))</f>
        <v>365.49999999999989</v>
      </c>
      <c r="BE52" s="14">
        <f>BD52*VLOOKUP('Données projet'!$B$11,Paramètres!$A$1:$I$89,3,0)*VLOOKUP('Données projet'!$B$11,Paramètres!$A$1:$I$89,5,0)</f>
        <v>171.05399999999995</v>
      </c>
      <c r="BF52" s="14">
        <f t="shared" si="37"/>
        <v>43.32599953897904</v>
      </c>
      <c r="BG52" s="22">
        <f t="shared" si="7"/>
        <v>373.37849919705508</v>
      </c>
      <c r="BH52" s="62">
        <f t="shared" si="8"/>
        <v>666.71183253038839</v>
      </c>
      <c r="BI52" s="62">
        <f ca="1">AVERAGE(OFFSET($BH$3,0,0,'Données projet'!$E$11+1,1))-AVERAGE(OFFSET($H$3,0,0,'Données projet'!$E$11+1,1))</f>
        <v>310.95287409903602</v>
      </c>
      <c r="BJ52" s="62">
        <f t="shared" si="38"/>
        <v>224.10083380795163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340</v>
      </c>
      <c r="L53" s="13">
        <f>VLOOKUP(A53,'Données projet'!$A$35:$I$55,9,0)</f>
        <v>17.399999999999999</v>
      </c>
      <c r="M53" s="13">
        <f t="array" ref="M53">INDEX(L:L,MIN(IF(ISNUMBER(L53:L249),ROW(L53:L249),"")))</f>
        <v>17.399999999999999</v>
      </c>
      <c r="N53" s="14">
        <f>IF('Données projet'!$A$36&gt;35,N52+M53-V52,IF(A53&lt;'Données projet'!$A$36,$K$205^A53,IF(A53='Données projet'!$A$36,'Données projet'!$B$36,N52+M53-V52)))</f>
        <v>340.00000000000006</v>
      </c>
      <c r="O53" s="14">
        <f>N53*VLOOKUP('Données projet'!$B$9,Paramètres!$A$1:$I$89,3,0)*VLOOKUP('Données projet'!$B$9,Paramètres!$A$1:$I$89,5,0)</f>
        <v>203.32000000000005</v>
      </c>
      <c r="P53" s="14">
        <f t="shared" si="33"/>
        <v>50.473102640215579</v>
      </c>
      <c r="Q53" s="22">
        <f t="shared" si="53"/>
        <v>442.02298709837555</v>
      </c>
      <c r="R53" s="62">
        <f t="shared" si="0"/>
        <v>735.35632043170881</v>
      </c>
      <c r="S53" s="62">
        <f ca="1">AVERAGE(OFFSET($R$3,0,0,'Données projet'!$E$9+1,1))-AVERAGE(OFFSET($H$3,0,0,'Données projet'!$E$9+1,1))</f>
        <v>287.69656598881124</v>
      </c>
      <c r="T53" s="62">
        <f t="shared" si="34"/>
        <v>221.9773436301067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53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3.4717913830256251</v>
      </c>
      <c r="AB53" s="23">
        <f>EXP(-LN(2)/2)*AB52+(1-EXP(-LN(2)/2))/(LN(2)/2)*V53*Y53*VLOOKUP('Données projet'!$B$9,Paramètres!$A$1:$I$89,3,0)*0.475*44/12</f>
        <v>1.3888766180024333E-2</v>
      </c>
      <c r="AC53" s="24">
        <f t="shared" si="3"/>
        <v>3.4856801492056495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629</v>
      </c>
      <c r="AG53" s="13">
        <f>VLOOKUP(A53,'Données projet'!$A$61:$I$81,9,0)</f>
        <v>17.8</v>
      </c>
      <c r="AH53" s="13">
        <f t="array" ref="AH53">INDEX(AG:AG,MIN(IF(ISNUMBER(AG53:AG249),ROW(AG53:AG249),"")))</f>
        <v>17.8</v>
      </c>
      <c r="AI53" s="14">
        <f>IF('Données projet'!$A$62&gt;35,AI52+AH53-AQ52,IF(A53&lt;'Données projet'!$A$62,$AF$205^A53,IF(A53='Données projet'!$A$62,'Données projet'!$B$62,AI52+AH53-AQ52)))</f>
        <v>628.99999999999977</v>
      </c>
      <c r="AJ53" s="14">
        <f>AI53*VLOOKUP('Données projet'!$B$10,Paramètres!$A$1:$I$89,3,0)*VLOOKUP('Données projet'!$B$10,Paramètres!$A$1:$I$89,5,0)</f>
        <v>351.61099999999988</v>
      </c>
      <c r="AK53" s="14">
        <f t="shared" si="35"/>
        <v>81.89414415728541</v>
      </c>
      <c r="AL53" s="22">
        <f t="shared" si="4"/>
        <v>755.02145940727178</v>
      </c>
      <c r="AM53" s="62">
        <f t="shared" si="5"/>
        <v>1048.354792740605</v>
      </c>
      <c r="AN53" s="62">
        <f ca="1">AVERAGE(OFFSET($AM$3,0,0,'Données projet'!$E$10+1,1))-AVERAGE(OFFSET($H$3,0,0,'Données projet'!$E$10+1,1))</f>
        <v>382.55387448074327</v>
      </c>
      <c r="AO53" s="62">
        <f t="shared" si="36"/>
        <v>476.29465646955543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48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7.2708059565892462</v>
      </c>
      <c r="AV53" s="23">
        <f>EXP(-LN(2)/25)*AV52+(1-EXP(-LN(2)/25))/(LN(2)/25)*Calculateur!AQ53*Calculateur!AS53*VLOOKUP('Données projet'!$B$10,Paramètres!$A$1:$I$89,3,0)*0.475*44/12</f>
        <v>8.1673625883571344</v>
      </c>
      <c r="AW53" s="23">
        <f>EXP(-LN(2)/2)*AW52+(1-EXP(-LN(2)/2))/(LN(2)/2)*AQ53*AT53*VLOOKUP('Données projet'!$B$10,Paramètres!$A$1:$I$89,3,0)*0.475*44/12</f>
        <v>1.2963054355773754E-2</v>
      </c>
      <c r="AX53" s="23">
        <f t="shared" si="6"/>
        <v>15.451131599302155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377</v>
      </c>
      <c r="BB53" s="13">
        <f>VLOOKUP(A53,'Données projet'!$A$87:$I$107,9,0)</f>
        <v>11.5</v>
      </c>
      <c r="BC53" s="13">
        <f t="array" ref="BC53">INDEX(BB:BB,MIN(IF(ISNUMBER(BB53:BB249),ROW(BB53:BB249),"")))</f>
        <v>11.5</v>
      </c>
      <c r="BD53" s="13">
        <f>IF('Données projet'!$A$88&gt;35,BD52+BC53-BL52,IF(A53&lt;'Données projet'!$A$88,$BA$205^A53,IF(A53='Données projet'!$A$88,'Données projet'!$B$88,BD52+BC53-BL52)))</f>
        <v>376.99999999999989</v>
      </c>
      <c r="BE53" s="14">
        <f>BD53*VLOOKUP('Données projet'!$B$11,Paramètres!$A$1:$I$89,3,0)*VLOOKUP('Données projet'!$B$11,Paramètres!$A$1:$I$89,5,0)</f>
        <v>176.43599999999992</v>
      </c>
      <c r="BF53" s="14">
        <f t="shared" si="37"/>
        <v>44.52834129105058</v>
      </c>
      <c r="BG53" s="22">
        <f t="shared" si="7"/>
        <v>384.84622774857962</v>
      </c>
      <c r="BH53" s="62">
        <f t="shared" si="8"/>
        <v>678.17956108191288</v>
      </c>
      <c r="BI53" s="62">
        <f ca="1">AVERAGE(OFFSET($BH$3,0,0,'Données projet'!$E$11+1,1))-AVERAGE(OFFSET($H$3,0,0,'Données projet'!$E$11+1,1))</f>
        <v>310.95287409903602</v>
      </c>
      <c r="BJ53" s="62">
        <f t="shared" si="38"/>
        <v>224.10083380795163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17.625</v>
      </c>
      <c r="N54" s="14">
        <f>IF('Données projet'!$A$36&gt;35,N53+M54-V53,IF(A54&lt;'Données projet'!$A$36,$K$205^A54,IF(A54='Données projet'!$A$36,'Données projet'!$B$36,N53+M54-V53)))</f>
        <v>304.62500000000006</v>
      </c>
      <c r="O54" s="14">
        <f>N54*VLOOKUP('Données projet'!$B$9,Paramètres!$A$1:$I$89,3,0)*VLOOKUP('Données projet'!$B$9,Paramètres!$A$1:$I$89,5,0)</f>
        <v>182.16575000000003</v>
      </c>
      <c r="P54" s="14">
        <f t="shared" si="33"/>
        <v>45.803689728693968</v>
      </c>
      <c r="Q54" s="22">
        <f t="shared" si="53"/>
        <v>397.04677419414202</v>
      </c>
      <c r="R54" s="62">
        <f t="shared" si="0"/>
        <v>690.38010752747527</v>
      </c>
      <c r="S54" s="62">
        <f ca="1">AVERAGE(OFFSET($R$3,0,0,'Données projet'!$E$9+1,1))-AVERAGE(OFFSET($H$3,0,0,'Données projet'!$E$9+1,1))</f>
        <v>287.69656598881124</v>
      </c>
      <c r="T54" s="62">
        <f t="shared" si="34"/>
        <v>221.9773436301067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3.3768550650832152</v>
      </c>
      <c r="AB54" s="23">
        <f>EXP(-LN(2)/2)*AB53+(1-EXP(-LN(2)/2))/(LN(2)/2)*V54*Y54*VLOOKUP('Données projet'!$B$9,Paramètres!$A$1:$I$89,3,0)*0.475*44/12</f>
        <v>9.8208407482095871E-3</v>
      </c>
      <c r="AC54" s="24">
        <f t="shared" si="3"/>
        <v>3.3866759058314249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13.8</v>
      </c>
      <c r="AI54" s="14">
        <f>IF('Données projet'!$A$62&gt;35,AI53+AH54-AQ53,IF(A54&lt;'Données projet'!$A$62,$AF$205^A54,IF(A54='Données projet'!$A$62,'Données projet'!$B$62,AI53+AH54-AQ53)))</f>
        <v>594.79999999999973</v>
      </c>
      <c r="AJ54" s="14">
        <f>AI54*VLOOKUP('Données projet'!$B$10,Paramètres!$A$1:$I$89,3,0)*VLOOKUP('Données projet'!$B$10,Paramètres!$A$1:$I$89,5,0)</f>
        <v>332.49319999999983</v>
      </c>
      <c r="AK54" s="14">
        <f t="shared" si="35"/>
        <v>77.946984490524827</v>
      </c>
      <c r="AL54" s="22">
        <f t="shared" si="4"/>
        <v>714.84998798766367</v>
      </c>
      <c r="AM54" s="62">
        <f t="shared" si="5"/>
        <v>1008.183321320997</v>
      </c>
      <c r="AN54" s="62">
        <f ca="1">AVERAGE(OFFSET($AM$3,0,0,'Données projet'!$E$10+1,1))-AVERAGE(OFFSET($H$3,0,0,'Données projet'!$E$10+1,1))</f>
        <v>382.55387448074327</v>
      </c>
      <c r="AO54" s="62">
        <f t="shared" si="36"/>
        <v>476.29465646955543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7.1282298865342693</v>
      </c>
      <c r="AV54" s="23">
        <f>EXP(-LN(2)/25)*AV53+(1-EXP(-LN(2)/25))/(LN(2)/25)*Calculateur!AQ54*Calculateur!AS54*VLOOKUP('Données projet'!$B$10,Paramètres!$A$1:$I$89,3,0)*0.475*44/12</f>
        <v>7.9440256288755764</v>
      </c>
      <c r="AW54" s="23">
        <f>EXP(-LN(2)/2)*AW53+(1-EXP(-LN(2)/2))/(LN(2)/2)*AQ54*AT54*VLOOKUP('Données projet'!$B$10,Paramètres!$A$1:$I$89,3,0)*0.475*44/12</f>
        <v>9.1662636398574335E-3</v>
      </c>
      <c r="AX54" s="23">
        <f t="shared" si="6"/>
        <v>15.081421779049704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13.5</v>
      </c>
      <c r="BD54" s="13">
        <f>IF('Données projet'!$A$88&gt;35,BD53+BC54-BL53,IF(A54&lt;'Données projet'!$A$88,$BA$205^A54,IF(A54='Données projet'!$A$88,'Données projet'!$B$88,BD53+BC54-BL53)))</f>
        <v>390.49999999999989</v>
      </c>
      <c r="BE54" s="14">
        <f>BD54*VLOOKUP('Données projet'!$B$11,Paramètres!$A$1:$I$89,3,0)*VLOOKUP('Données projet'!$B$11,Paramètres!$A$1:$I$89,5,0)</f>
        <v>182.75399999999996</v>
      </c>
      <c r="BF54" s="14">
        <f t="shared" si="37"/>
        <v>45.934357911110212</v>
      </c>
      <c r="BG54" s="22">
        <f t="shared" si="7"/>
        <v>398.29889002851684</v>
      </c>
      <c r="BH54" s="62">
        <f t="shared" si="8"/>
        <v>691.63222336185015</v>
      </c>
      <c r="BI54" s="62">
        <f ca="1">AVERAGE(OFFSET($BH$3,0,0,'Données projet'!$E$11+1,1))-AVERAGE(OFFSET($H$3,0,0,'Données projet'!$E$11+1,1))</f>
        <v>310.95287409903602</v>
      </c>
      <c r="BJ54" s="62">
        <f t="shared" si="38"/>
        <v>224.10083380795163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17.625</v>
      </c>
      <c r="N55" s="14">
        <f>IF('Données projet'!$A$36&gt;35,N54+M55-V54,IF(A55&lt;'Données projet'!$A$36,$K$205^A55,IF(A55='Données projet'!$A$36,'Données projet'!$B$36,N54+M55-V54)))</f>
        <v>322.25000000000006</v>
      </c>
      <c r="O55" s="14">
        <f>N55*VLOOKUP('Données projet'!$B$9,Paramètres!$A$1:$I$89,3,0)*VLOOKUP('Données projet'!$B$9,Paramètres!$A$1:$I$89,5,0)</f>
        <v>192.70550000000006</v>
      </c>
      <c r="P55" s="14">
        <f t="shared" si="33"/>
        <v>48.137607387789963</v>
      </c>
      <c r="Q55" s="22">
        <f t="shared" si="53"/>
        <v>419.46841203373424</v>
      </c>
      <c r="R55" s="62">
        <f t="shared" si="0"/>
        <v>712.8017453670675</v>
      </c>
      <c r="S55" s="62">
        <f ca="1">AVERAGE(OFFSET($R$3,0,0,'Données projet'!$E$9+1,1))-AVERAGE(OFFSET($H$3,0,0,'Données projet'!$E$9+1,1))</f>
        <v>287.69656598881124</v>
      </c>
      <c r="T55" s="62">
        <f t="shared" si="34"/>
        <v>221.9773436301067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3.2845147857474246</v>
      </c>
      <c r="AB55" s="23">
        <f>EXP(-LN(2)/2)*AB54+(1-EXP(-LN(2)/2))/(LN(2)/2)*V55*Y55*VLOOKUP('Données projet'!$B$9,Paramètres!$A$1:$I$89,3,0)*0.475*44/12</f>
        <v>6.9443830900121663E-3</v>
      </c>
      <c r="AC55" s="24">
        <f t="shared" si="3"/>
        <v>3.2914591688374366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13.8</v>
      </c>
      <c r="AI55" s="14">
        <f>IF('Données projet'!$A$62&gt;35,AI54+AH55-AQ54,IF(A55&lt;'Données projet'!$A$62,$AF$205^A55,IF(A55='Données projet'!$A$62,'Données projet'!$B$62,AI54+AH55-AQ54)))</f>
        <v>608.59999999999968</v>
      </c>
      <c r="AJ55" s="14">
        <f>AI55*VLOOKUP('Données projet'!$B$10,Paramètres!$A$1:$I$89,3,0)*VLOOKUP('Données projet'!$B$10,Paramètres!$A$1:$I$89,5,0)</f>
        <v>340.20739999999984</v>
      </c>
      <c r="AK55" s="14">
        <f t="shared" si="35"/>
        <v>79.542795053996059</v>
      </c>
      <c r="AL55" s="22">
        <f t="shared" si="4"/>
        <v>731.06492305237623</v>
      </c>
      <c r="AM55" s="62">
        <f t="shared" si="5"/>
        <v>1024.3982563857096</v>
      </c>
      <c r="AN55" s="62">
        <f ca="1">AVERAGE(OFFSET($AM$3,0,0,'Données projet'!$E$10+1,1))-AVERAGE(OFFSET($H$3,0,0,'Données projet'!$E$10+1,1))</f>
        <v>382.55387448074327</v>
      </c>
      <c r="AO55" s="62">
        <f t="shared" si="36"/>
        <v>476.29465646955543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6.9884496462502543</v>
      </c>
      <c r="AV55" s="23">
        <f>EXP(-LN(2)/25)*AV54+(1-EXP(-LN(2)/25))/(LN(2)/25)*Calculateur!AQ55*Calculateur!AS55*VLOOKUP('Données projet'!$B$10,Paramètres!$A$1:$I$89,3,0)*0.475*44/12</f>
        <v>7.7267958302958224</v>
      </c>
      <c r="AW55" s="23">
        <f>EXP(-LN(2)/2)*AW54+(1-EXP(-LN(2)/2))/(LN(2)/2)*AQ55*AT55*VLOOKUP('Données projet'!$B$10,Paramètres!$A$1:$I$89,3,0)*0.475*44/12</f>
        <v>6.4815271778868771E-3</v>
      </c>
      <c r="AX55" s="23">
        <f t="shared" si="6"/>
        <v>14.721727003723963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13.5</v>
      </c>
      <c r="BD55" s="13">
        <f>IF('Données projet'!$A$88&gt;35,BD54+BC55-BL54,IF(A55&lt;'Données projet'!$A$88,$BA$205^A55,IF(A55='Données projet'!$A$88,'Données projet'!$B$88,BD54+BC55-BL54)))</f>
        <v>403.99999999999989</v>
      </c>
      <c r="BE55" s="14">
        <f>BD55*VLOOKUP('Données projet'!$B$11,Paramètres!$A$1:$I$89,3,0)*VLOOKUP('Données projet'!$B$11,Paramètres!$A$1:$I$89,5,0)</f>
        <v>189.07199999999992</v>
      </c>
      <c r="BF55" s="14">
        <f t="shared" si="37"/>
        <v>47.33472679972779</v>
      </c>
      <c r="BG55" s="22">
        <f t="shared" si="7"/>
        <v>411.74171584285909</v>
      </c>
      <c r="BH55" s="62">
        <f t="shared" si="8"/>
        <v>705.07504917619235</v>
      </c>
      <c r="BI55" s="62">
        <f ca="1">AVERAGE(OFFSET($BH$3,0,0,'Données projet'!$E$11+1,1))-AVERAGE(OFFSET($H$3,0,0,'Données projet'!$E$11+1,1))</f>
        <v>310.95287409903602</v>
      </c>
      <c r="BJ55" s="62">
        <f t="shared" si="38"/>
        <v>224.10083380795163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17.625</v>
      </c>
      <c r="N56" s="14">
        <f>IF('Données projet'!$A$36&gt;35,N55+M56-V55,IF(A56&lt;'Données projet'!$A$36,$K$205^A56,IF(A56='Données projet'!$A$36,'Données projet'!$B$36,N55+M56-V55)))</f>
        <v>339.87500000000006</v>
      </c>
      <c r="O56" s="14">
        <f>N56*VLOOKUP('Données projet'!$B$9,Paramètres!$A$1:$I$89,3,0)*VLOOKUP('Données projet'!$B$9,Paramètres!$A$1:$I$89,5,0)</f>
        <v>203.24525000000006</v>
      </c>
      <c r="P56" s="14">
        <f t="shared" si="33"/>
        <v>50.45670595349123</v>
      </c>
      <c r="Q56" s="22">
        <f t="shared" si="53"/>
        <v>441.86423995233059</v>
      </c>
      <c r="R56" s="62">
        <f t="shared" si="0"/>
        <v>735.19757328566391</v>
      </c>
      <c r="S56" s="62">
        <f ca="1">AVERAGE(OFFSET($R$3,0,0,'Données projet'!$E$9+1,1))-AVERAGE(OFFSET($H$3,0,0,'Données projet'!$E$9+1,1))</f>
        <v>287.69656598881124</v>
      </c>
      <c r="T56" s="62">
        <f t="shared" si="34"/>
        <v>221.9773436301067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3.1946995562060354</v>
      </c>
      <c r="AB56" s="23">
        <f>EXP(-LN(2)/2)*AB55+(1-EXP(-LN(2)/2))/(LN(2)/2)*V56*Y56*VLOOKUP('Données projet'!$B$9,Paramètres!$A$1:$I$89,3,0)*0.475*44/12</f>
        <v>4.9104203741047936E-3</v>
      </c>
      <c r="AC56" s="24">
        <f t="shared" si="3"/>
        <v>3.19960997658014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13.8</v>
      </c>
      <c r="AI56" s="14">
        <f>IF('Données projet'!$A$62&gt;35,AI55+AH56-AQ55,IF(A56&lt;'Données projet'!$A$62,$AF$205^A56,IF(A56='Données projet'!$A$62,'Données projet'!$B$62,AI55+AH56-AQ55)))</f>
        <v>622.39999999999964</v>
      </c>
      <c r="AJ56" s="14">
        <f>AI56*VLOOKUP('Données projet'!$B$10,Paramètres!$A$1:$I$89,3,0)*VLOOKUP('Données projet'!$B$10,Paramètres!$A$1:$I$89,5,0)</f>
        <v>347.92159999999978</v>
      </c>
      <c r="AK56" s="14">
        <f t="shared" si="35"/>
        <v>81.134398856989449</v>
      </c>
      <c r="AL56" s="22">
        <f t="shared" si="4"/>
        <v>747.27253134258956</v>
      </c>
      <c r="AM56" s="62">
        <f t="shared" si="5"/>
        <v>1040.6058646759229</v>
      </c>
      <c r="AN56" s="62">
        <f ca="1">AVERAGE(OFFSET($AM$3,0,0,'Données projet'!$E$10+1,1))-AVERAGE(OFFSET($H$3,0,0,'Données projet'!$E$10+1,1))</f>
        <v>382.55387448074327</v>
      </c>
      <c r="AO56" s="62">
        <f t="shared" si="36"/>
        <v>476.29465646955543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6.8514104112206811</v>
      </c>
      <c r="AV56" s="23">
        <f>EXP(-LN(2)/25)*AV55+(1-EXP(-LN(2)/25))/(LN(2)/25)*Calculateur!AQ56*Calculateur!AS56*VLOOKUP('Données projet'!$B$10,Paramètres!$A$1:$I$89,3,0)*0.475*44/12</f>
        <v>7.5155061919818502</v>
      </c>
      <c r="AW56" s="23">
        <f>EXP(-LN(2)/2)*AW55+(1-EXP(-LN(2)/2))/(LN(2)/2)*AQ56*AT56*VLOOKUP('Données projet'!$B$10,Paramètres!$A$1:$I$89,3,0)*0.475*44/12</f>
        <v>4.5831318199287168E-3</v>
      </c>
      <c r="AX56" s="23">
        <f t="shared" si="6"/>
        <v>14.371499735022461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13.5</v>
      </c>
      <c r="BD56" s="13">
        <f>IF('Données projet'!$A$88&gt;35,BD55+BC56-BL55,IF(A56&lt;'Données projet'!$A$88,$BA$205^A56,IF(A56='Données projet'!$A$88,'Données projet'!$B$88,BD55+BC56-BL55)))</f>
        <v>417.49999999999989</v>
      </c>
      <c r="BE56" s="14">
        <f>BD56*VLOOKUP('Données projet'!$B$11,Paramètres!$A$1:$I$89,3,0)*VLOOKUP('Données projet'!$B$11,Paramètres!$A$1:$I$89,5,0)</f>
        <v>195.38999999999996</v>
      </c>
      <c r="BF56" s="14">
        <f t="shared" si="37"/>
        <v>48.729658318340213</v>
      </c>
      <c r="BG56" s="22">
        <f t="shared" si="7"/>
        <v>425.17507157110907</v>
      </c>
      <c r="BH56" s="62">
        <f t="shared" si="8"/>
        <v>718.50840490444239</v>
      </c>
      <c r="BI56" s="62">
        <f ca="1">AVERAGE(OFFSET($BH$3,0,0,'Données projet'!$E$11+1,1))-AVERAGE(OFFSET($H$3,0,0,'Données projet'!$E$11+1,1))</f>
        <v>310.95287409903602</v>
      </c>
      <c r="BJ56" s="62">
        <f t="shared" si="38"/>
        <v>224.10083380795163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17.625</v>
      </c>
      <c r="N57" s="14">
        <f>IF('Données projet'!$A$36&gt;35,N56+M57-V56,IF(A57&lt;'Données projet'!$A$36,$K$205^A57,IF(A57='Données projet'!$A$36,'Données projet'!$B$36,N56+M57-V56)))</f>
        <v>357.50000000000006</v>
      </c>
      <c r="O57" s="14">
        <f>N57*VLOOKUP('Données projet'!$B$9,Paramètres!$A$1:$I$89,3,0)*VLOOKUP('Données projet'!$B$9,Paramètres!$A$1:$I$89,5,0)</f>
        <v>213.78500000000005</v>
      </c>
      <c r="P57" s="14">
        <f t="shared" si="33"/>
        <v>52.761841557402377</v>
      </c>
      <c r="Q57" s="22">
        <f t="shared" si="53"/>
        <v>464.2357490458092</v>
      </c>
      <c r="R57" s="62">
        <f t="shared" si="0"/>
        <v>757.56908237914251</v>
      </c>
      <c r="S57" s="62">
        <f ca="1">AVERAGE(OFFSET($R$3,0,0,'Données projet'!$E$9+1,1))-AVERAGE(OFFSET($H$3,0,0,'Données projet'!$E$9+1,1))</f>
        <v>287.69656598881124</v>
      </c>
      <c r="T57" s="62">
        <f t="shared" si="34"/>
        <v>221.9773436301067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3.1073403288396335</v>
      </c>
      <c r="AB57" s="23">
        <f>EXP(-LN(2)/2)*AB56+(1-EXP(-LN(2)/2))/(LN(2)/2)*V57*Y57*VLOOKUP('Données projet'!$B$9,Paramètres!$A$1:$I$89,3,0)*0.475*44/12</f>
        <v>3.4721915450060831E-3</v>
      </c>
      <c r="AC57" s="24">
        <f t="shared" si="3"/>
        <v>3.1108125203846395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13.8</v>
      </c>
      <c r="AI57" s="14">
        <f>IF('Données projet'!$A$62&gt;35,AI56+AH57-AQ56,IF(A57&lt;'Données projet'!$A$62,$AF$205^A57,IF(A57='Données projet'!$A$62,'Données projet'!$B$62,AI56+AH57-AQ56)))</f>
        <v>636.19999999999959</v>
      </c>
      <c r="AJ57" s="14">
        <f>AI57*VLOOKUP('Données projet'!$B$10,Paramètres!$A$1:$I$89,3,0)*VLOOKUP('Données projet'!$B$10,Paramètres!$A$1:$I$89,5,0)</f>
        <v>355.63579999999973</v>
      </c>
      <c r="AK57" s="14">
        <f t="shared" si="35"/>
        <v>82.721899912765039</v>
      </c>
      <c r="AL57" s="22">
        <f t="shared" si="4"/>
        <v>763.47299401473185</v>
      </c>
      <c r="AM57" s="62">
        <f t="shared" si="5"/>
        <v>1056.8063273480652</v>
      </c>
      <c r="AN57" s="62">
        <f ca="1">AVERAGE(OFFSET($AM$3,0,0,'Données projet'!$E$10+1,1))-AVERAGE(OFFSET($H$3,0,0,'Données projet'!$E$10+1,1))</f>
        <v>382.55387448074327</v>
      </c>
      <c r="AO57" s="62">
        <f t="shared" si="36"/>
        <v>476.29465646955543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6.7170584320043574</v>
      </c>
      <c r="AV57" s="23">
        <f>EXP(-LN(2)/25)*AV56+(1-EXP(-LN(2)/25))/(LN(2)/25)*Calculateur!AQ57*Calculateur!AS57*VLOOKUP('Données projet'!$B$10,Paramètres!$A$1:$I$89,3,0)*0.475*44/12</f>
        <v>7.3099942799388131</v>
      </c>
      <c r="AW57" s="23">
        <f>EXP(-LN(2)/2)*AW56+(1-EXP(-LN(2)/2))/(LN(2)/2)*AQ57*AT57*VLOOKUP('Données projet'!$B$10,Paramètres!$A$1:$I$89,3,0)*0.475*44/12</f>
        <v>3.2407635889434385E-3</v>
      </c>
      <c r="AX57" s="23">
        <f t="shared" si="6"/>
        <v>14.030293475532114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13.5</v>
      </c>
      <c r="BD57" s="13">
        <f>IF('Données projet'!$A$88&gt;35,BD56+BC57-BL56,IF(A57&lt;'Données projet'!$A$88,$BA$205^A57,IF(A57='Données projet'!$A$88,'Données projet'!$B$88,BD56+BC57-BL56)))</f>
        <v>430.99999999999989</v>
      </c>
      <c r="BE57" s="14">
        <f>BD57*VLOOKUP('Données projet'!$B$11,Paramètres!$A$1:$I$89,3,0)*VLOOKUP('Données projet'!$B$11,Paramètres!$A$1:$I$89,5,0)</f>
        <v>201.70799999999994</v>
      </c>
      <c r="BF57" s="14">
        <f t="shared" si="37"/>
        <v>50.119348451854243</v>
      </c>
      <c r="BG57" s="22">
        <f t="shared" si="7"/>
        <v>438.59929855364607</v>
      </c>
      <c r="BH57" s="62">
        <f t="shared" si="8"/>
        <v>731.93263188697938</v>
      </c>
      <c r="BI57" s="62">
        <f ca="1">AVERAGE(OFFSET($BH$3,0,0,'Données projet'!$E$11+1,1))-AVERAGE(OFFSET($H$3,0,0,'Données projet'!$E$11+1,1))</f>
        <v>310.95287409903602</v>
      </c>
      <c r="BJ57" s="62">
        <f t="shared" si="38"/>
        <v>224.10083380795163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17.625</v>
      </c>
      <c r="N58" s="14">
        <f>IF('Données projet'!$A$36&gt;35,N57+M58-V57,IF(A58&lt;'Données projet'!$A$36,$K$205^A58,IF(A58='Données projet'!$A$36,'Données projet'!$B$36,N57+M58-V57)))</f>
        <v>375.12500000000006</v>
      </c>
      <c r="O58" s="14">
        <f>N58*VLOOKUP('Données projet'!$B$9,Paramètres!$A$1:$I$89,3,0)*VLOOKUP('Données projet'!$B$9,Paramètres!$A$1:$I$89,5,0)</f>
        <v>224.32475000000005</v>
      </c>
      <c r="P58" s="14">
        <f t="shared" si="33"/>
        <v>55.053781146410472</v>
      </c>
      <c r="Q58" s="22">
        <f t="shared" si="53"/>
        <v>486.58427507999835</v>
      </c>
      <c r="R58" s="62">
        <f t="shared" si="0"/>
        <v>779.91760841333166</v>
      </c>
      <c r="S58" s="62">
        <f ca="1">AVERAGE(OFFSET($R$3,0,0,'Données projet'!$E$9+1,1))-AVERAGE(OFFSET($H$3,0,0,'Données projet'!$E$9+1,1))</f>
        <v>287.69656598881124</v>
      </c>
      <c r="T58" s="62">
        <f t="shared" si="34"/>
        <v>221.9773436301067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3.0223699441395877</v>
      </c>
      <c r="AB58" s="23">
        <f>EXP(-LN(2)/2)*AB57+(1-EXP(-LN(2)/2))/(LN(2)/2)*V58*Y58*VLOOKUP('Données projet'!$B$9,Paramètres!$A$1:$I$89,3,0)*0.475*44/12</f>
        <v>2.4552101870523968E-3</v>
      </c>
      <c r="AC58" s="24">
        <f t="shared" si="3"/>
        <v>3.0248251543266402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650</v>
      </c>
      <c r="AG58" s="13">
        <f>VLOOKUP(A58,'Données projet'!$A$61:$I$81,9,0)</f>
        <v>13.8</v>
      </c>
      <c r="AH58" s="13">
        <f t="array" ref="AH58">INDEX(AG:AG,MIN(IF(ISNUMBER(AG58:AG254),ROW(AG58:AG254),"")))</f>
        <v>13.8</v>
      </c>
      <c r="AI58" s="14">
        <f>IF('Données projet'!$A$62&gt;35,AI57+AH58-AQ57,IF(A58&lt;'Données projet'!$A$62,$AF$205^A58,IF(A58='Données projet'!$A$62,'Données projet'!$B$62,AI57+AH58-AQ57)))</f>
        <v>649.99999999999955</v>
      </c>
      <c r="AJ58" s="14">
        <f>AI58*VLOOKUP('Données projet'!$B$10,Paramètres!$A$1:$I$89,3,0)*VLOOKUP('Données projet'!$B$10,Paramètres!$A$1:$I$89,5,0)</f>
        <v>363.34999999999974</v>
      </c>
      <c r="AK58" s="14">
        <f t="shared" si="35"/>
        <v>84.305397464498199</v>
      </c>
      <c r="AL58" s="22">
        <f t="shared" si="4"/>
        <v>779.66648391733395</v>
      </c>
      <c r="AM58" s="62">
        <f t="shared" si="5"/>
        <v>1072.9998172506673</v>
      </c>
      <c r="AN58" s="62">
        <f ca="1">AVERAGE(OFFSET($AM$3,0,0,'Données projet'!$E$10+1,1))-AVERAGE(OFFSET($H$3,0,0,'Données projet'!$E$10+1,1))</f>
        <v>382.55387448074327</v>
      </c>
      <c r="AO58" s="62">
        <f t="shared" si="36"/>
        <v>476.29465646955543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35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6.5853410131538501</v>
      </c>
      <c r="AV58" s="23">
        <f>EXP(-LN(2)/25)*AV57+(1-EXP(-LN(2)/25))/(LN(2)/25)*Calculateur!AQ58*Calculateur!AS58*VLOOKUP('Données projet'!$B$10,Paramètres!$A$1:$I$89,3,0)*0.475*44/12</f>
        <v>7.1101021019379944</v>
      </c>
      <c r="AW58" s="23">
        <f>EXP(-LN(2)/2)*AW57+(1-EXP(-LN(2)/2))/(LN(2)/2)*AQ58*AT58*VLOOKUP('Données projet'!$B$10,Paramètres!$A$1:$I$89,3,0)*0.475*44/12</f>
        <v>2.2915659099643584E-3</v>
      </c>
      <c r="AX58" s="23">
        <f t="shared" si="6"/>
        <v>13.697734681001808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13.5</v>
      </c>
      <c r="BD58" s="13">
        <f>IF('Données projet'!$A$88&gt;35,BD57+BC58-BL57,IF(A58&lt;'Données projet'!$A$88,$BA$205^A58,IF(A58='Données projet'!$A$88,'Données projet'!$B$88,BD57+BC58-BL57)))</f>
        <v>444.49999999999989</v>
      </c>
      <c r="BE58" s="14">
        <f>BD58*VLOOKUP('Données projet'!$B$11,Paramètres!$A$1:$I$89,3,0)*VLOOKUP('Données projet'!$B$11,Paramètres!$A$1:$I$89,5,0)</f>
        <v>208.02599999999995</v>
      </c>
      <c r="BF58" s="14">
        <f t="shared" si="37"/>
        <v>51.503980210368603</v>
      </c>
      <c r="BG58" s="22">
        <f t="shared" si="7"/>
        <v>452.01471553305851</v>
      </c>
      <c r="BH58" s="62">
        <f t="shared" si="8"/>
        <v>745.34804886639176</v>
      </c>
      <c r="BI58" s="62">
        <f ca="1">AVERAGE(OFFSET($BH$3,0,0,'Données projet'!$E$11+1,1))-AVERAGE(OFFSET($H$3,0,0,'Données projet'!$E$11+1,1))</f>
        <v>310.95287409903602</v>
      </c>
      <c r="BJ58" s="62">
        <f t="shared" si="38"/>
        <v>224.10083380795163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17.625</v>
      </c>
      <c r="N59" s="14">
        <f>IF('Données projet'!$A$36&gt;35,N58+M59-V58,IF(A59&lt;'Données projet'!$A$36,$K$205^A59,IF(A59='Données projet'!$A$36,'Données projet'!$B$36,N58+M59-V58)))</f>
        <v>392.75000000000006</v>
      </c>
      <c r="O59" s="14">
        <f>N59*VLOOKUP('Données projet'!$B$9,Paramètres!$A$1:$I$89,3,0)*VLOOKUP('Données projet'!$B$9,Paramètres!$A$1:$I$89,5,0)</f>
        <v>234.86450000000002</v>
      </c>
      <c r="P59" s="14">
        <f t="shared" si="33"/>
        <v>57.33321552572081</v>
      </c>
      <c r="Q59" s="22">
        <f t="shared" si="53"/>
        <v>508.9110212072971</v>
      </c>
      <c r="R59" s="62">
        <f t="shared" si="0"/>
        <v>802.24435454063041</v>
      </c>
      <c r="S59" s="62">
        <f ca="1">AVERAGE(OFFSET($R$3,0,0,'Données projet'!$E$9+1,1))-AVERAGE(OFFSET($H$3,0,0,'Données projet'!$E$9+1,1))</f>
        <v>287.69656598881124</v>
      </c>
      <c r="T59" s="62">
        <f t="shared" si="34"/>
        <v>221.9773436301067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2.939723079077563</v>
      </c>
      <c r="AB59" s="23">
        <f>EXP(-LN(2)/2)*AB58+(1-EXP(-LN(2)/2))/(LN(2)/2)*V59*Y59*VLOOKUP('Données projet'!$B$9,Paramètres!$A$1:$I$89,3,0)*0.475*44/12</f>
        <v>1.7360957725030416E-3</v>
      </c>
      <c r="AC59" s="24">
        <f t="shared" si="3"/>
        <v>2.941459174850066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10.199999999999999</v>
      </c>
      <c r="AI59" s="14">
        <f>IF('Données projet'!$A$62&gt;35,AI58+AH59-AQ58,IF(A59&lt;'Données projet'!$A$62,$AF$205^A59,IF(A59='Données projet'!$A$62,'Données projet'!$B$62,AI58+AH59-AQ58)))</f>
        <v>625.19999999999959</v>
      </c>
      <c r="AJ59" s="14">
        <f>AI59*VLOOKUP('Données projet'!$B$10,Paramètres!$A$1:$I$89,3,0)*VLOOKUP('Données projet'!$B$10,Paramètres!$A$1:$I$89,5,0)</f>
        <v>349.48679999999979</v>
      </c>
      <c r="AK59" s="14">
        <f t="shared" si="35"/>
        <v>81.45682900536228</v>
      </c>
      <c r="AL59" s="22">
        <f t="shared" si="4"/>
        <v>750.56015385100557</v>
      </c>
      <c r="AM59" s="62">
        <f t="shared" si="5"/>
        <v>1043.8934871843389</v>
      </c>
      <c r="AN59" s="62">
        <f ca="1">AVERAGE(OFFSET($AM$3,0,0,'Données projet'!$E$10+1,1))-AVERAGE(OFFSET($H$3,0,0,'Données projet'!$E$10+1,1))</f>
        <v>382.55387448074327</v>
      </c>
      <c r="AO59" s="62">
        <f t="shared" si="36"/>
        <v>476.29465646955543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6.4562064925473086</v>
      </c>
      <c r="AV59" s="23">
        <f>EXP(-LN(2)/25)*AV58+(1-EXP(-LN(2)/25))/(LN(2)/25)*Calculateur!AQ59*Calculateur!AS59*VLOOKUP('Données projet'!$B$10,Paramètres!$A$1:$I$89,3,0)*0.475*44/12</f>
        <v>6.9156759860564812</v>
      </c>
      <c r="AW59" s="23">
        <f>EXP(-LN(2)/2)*AW58+(1-EXP(-LN(2)/2))/(LN(2)/2)*AQ59*AT59*VLOOKUP('Données projet'!$B$10,Paramètres!$A$1:$I$89,3,0)*0.475*44/12</f>
        <v>1.6203817944717193E-3</v>
      </c>
      <c r="AX59" s="23">
        <f t="shared" si="6"/>
        <v>13.373502860398263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13.5</v>
      </c>
      <c r="BD59" s="13">
        <f>IF('Données projet'!$A$88&gt;35,BD58+BC59-BL58,IF(A59&lt;'Données projet'!$A$88,$BA$205^A59,IF(A59='Données projet'!$A$88,'Données projet'!$B$88,BD58+BC59-BL58)))</f>
        <v>457.99999999999989</v>
      </c>
      <c r="BE59" s="14">
        <f>BD59*VLOOKUP('Données projet'!$B$11,Paramètres!$A$1:$I$89,3,0)*VLOOKUP('Données projet'!$B$11,Paramètres!$A$1:$I$89,5,0)</f>
        <v>214.34399999999997</v>
      </c>
      <c r="BF59" s="14">
        <f t="shared" si="37"/>
        <v>52.883724855822585</v>
      </c>
      <c r="BG59" s="22">
        <f t="shared" si="7"/>
        <v>465.4216207905576</v>
      </c>
      <c r="BH59" s="62">
        <f t="shared" si="8"/>
        <v>758.75495412389091</v>
      </c>
      <c r="BI59" s="62">
        <f ca="1">AVERAGE(OFFSET($BH$3,0,0,'Données projet'!$E$11+1,1))-AVERAGE(OFFSET($H$3,0,0,'Données projet'!$E$11+1,1))</f>
        <v>310.95287409903602</v>
      </c>
      <c r="BJ59" s="62">
        <f t="shared" si="38"/>
        <v>224.10083380795163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17.625</v>
      </c>
      <c r="N60" s="14">
        <f>IF('Données projet'!$A$36&gt;35,N59+M60-V59,IF(A60&lt;'Données projet'!$A$36,$K$205^A60,IF(A60='Données projet'!$A$36,'Données projet'!$B$36,N59+M60-V59)))</f>
        <v>410.37500000000006</v>
      </c>
      <c r="O60" s="14">
        <f>N60*VLOOKUP('Données projet'!$B$9,Paramètres!$A$1:$I$89,3,0)*VLOOKUP('Données projet'!$B$9,Paramètres!$A$1:$I$89,5,0)</f>
        <v>245.40425000000005</v>
      </c>
      <c r="P60" s="14">
        <f t="shared" si="33"/>
        <v>59.60076999447687</v>
      </c>
      <c r="Q60" s="22">
        <f t="shared" si="53"/>
        <v>531.21707649038069</v>
      </c>
      <c r="R60" s="62">
        <f t="shared" si="0"/>
        <v>824.55040982371406</v>
      </c>
      <c r="S60" s="62">
        <f ca="1">AVERAGE(OFFSET($R$3,0,0,'Données projet'!$E$9+1,1))-AVERAGE(OFFSET($H$3,0,0,'Données projet'!$E$9+1,1))</f>
        <v>287.69656598881124</v>
      </c>
      <c r="T60" s="62">
        <f t="shared" si="34"/>
        <v>221.9773436301067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2.8593361968868694</v>
      </c>
      <c r="AB60" s="23">
        <f>EXP(-LN(2)/2)*AB59+(1-EXP(-LN(2)/2))/(LN(2)/2)*V60*Y60*VLOOKUP('Données projet'!$B$9,Paramètres!$A$1:$I$89,3,0)*0.475*44/12</f>
        <v>1.2276050935261984E-3</v>
      </c>
      <c r="AC60" s="24">
        <f t="shared" si="3"/>
        <v>2.8605638019803954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10.199999999999999</v>
      </c>
      <c r="AI60" s="14">
        <f>IF('Données projet'!$A$62&gt;35,AI59+AH60-AQ59,IF(A60&lt;'Données projet'!$A$62,$AF$205^A60,IF(A60='Données projet'!$A$62,'Données projet'!$B$62,AI59+AH60-AQ59)))</f>
        <v>635.39999999999964</v>
      </c>
      <c r="AJ60" s="14">
        <f>AI60*VLOOKUP('Données projet'!$B$10,Paramètres!$A$1:$I$89,3,0)*VLOOKUP('Données projet'!$B$10,Paramètres!$A$1:$I$89,5,0)</f>
        <v>355.18859999999984</v>
      </c>
      <c r="AK60" s="14">
        <f t="shared" si="35"/>
        <v>82.629981116726043</v>
      </c>
      <c r="AL60" s="22">
        <f t="shared" si="4"/>
        <v>762.53402877829774</v>
      </c>
      <c r="AM60" s="62">
        <f t="shared" si="5"/>
        <v>1055.8673621116311</v>
      </c>
      <c r="AN60" s="62">
        <f ca="1">AVERAGE(OFFSET($AM$3,0,0,'Données projet'!$E$10+1,1))-AVERAGE(OFFSET($H$3,0,0,'Données projet'!$E$10+1,1))</f>
        <v>382.55387448074327</v>
      </c>
      <c r="AO60" s="62">
        <f t="shared" si="36"/>
        <v>476.29465646955543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6.3296042211255816</v>
      </c>
      <c r="AV60" s="23">
        <f>EXP(-LN(2)/25)*AV59+(1-EXP(-LN(2)/25))/(LN(2)/25)*Calculateur!AQ60*Calculateur!AS60*VLOOKUP('Données projet'!$B$10,Paramètres!$A$1:$I$89,3,0)*0.475*44/12</f>
        <v>6.7265664625381723</v>
      </c>
      <c r="AW60" s="23">
        <f>EXP(-LN(2)/2)*AW59+(1-EXP(-LN(2)/2))/(LN(2)/2)*AQ60*AT60*VLOOKUP('Données projet'!$B$10,Paramètres!$A$1:$I$89,3,0)*0.475*44/12</f>
        <v>1.1457829549821792E-3</v>
      </c>
      <c r="AX60" s="23">
        <f t="shared" si="6"/>
        <v>13.057316466618737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13.5</v>
      </c>
      <c r="BD60" s="13">
        <f>IF('Données projet'!$A$88&gt;35,BD59+BC60-BL59,IF(A60&lt;'Données projet'!$A$88,$BA$205^A60,IF(A60='Données projet'!$A$88,'Données projet'!$B$88,BD59+BC60-BL59)))</f>
        <v>471.49999999999989</v>
      </c>
      <c r="BE60" s="14">
        <f>BD60*VLOOKUP('Données projet'!$B$11,Paramètres!$A$1:$I$89,3,0)*VLOOKUP('Données projet'!$B$11,Paramètres!$A$1:$I$89,5,0)</f>
        <v>220.66199999999995</v>
      </c>
      <c r="BF60" s="14">
        <f t="shared" si="37"/>
        <v>54.258742979954953</v>
      </c>
      <c r="BG60" s="22">
        <f t="shared" si="7"/>
        <v>478.82029402342147</v>
      </c>
      <c r="BH60" s="62">
        <f t="shared" si="8"/>
        <v>772.15362735675478</v>
      </c>
      <c r="BI60" s="62">
        <f ca="1">AVERAGE(OFFSET($BH$3,0,0,'Données projet'!$E$11+1,1))-AVERAGE(OFFSET($H$3,0,0,'Données projet'!$E$11+1,1))</f>
        <v>310.95287409903602</v>
      </c>
      <c r="BJ60" s="62">
        <f t="shared" si="38"/>
        <v>224.10083380795163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>
        <f>VLOOKUP(A61,'Données projet'!$A$35:$I$55,2,0)</f>
        <v>428</v>
      </c>
      <c r="L61" s="13">
        <f>VLOOKUP(A61,'Données projet'!$A$35:$I$55,9,0)</f>
        <v>17.625</v>
      </c>
      <c r="M61" s="13">
        <f t="array" ref="M61">INDEX(L:L,MIN(IF(ISNUMBER(L61:L257),ROW(L61:L257),"")))</f>
        <v>17.625</v>
      </c>
      <c r="N61" s="14">
        <f>IF('Données projet'!$A$36&gt;35,N60+M61-V60,IF(A61&lt;'Données projet'!$A$36,$K$205^A61,IF(A61='Données projet'!$A$36,'Données projet'!$B$36,N60+M61-V60)))</f>
        <v>428.00000000000006</v>
      </c>
      <c r="O61" s="14">
        <f>N61*VLOOKUP('Données projet'!$B$9,Paramètres!$A$1:$I$89,3,0)*VLOOKUP('Données projet'!$B$9,Paramètres!$A$1:$I$89,5,0)</f>
        <v>255.94400000000005</v>
      </c>
      <c r="P61" s="14">
        <f t="shared" si="33"/>
        <v>61.857013102708898</v>
      </c>
      <c r="Q61" s="22">
        <f t="shared" si="53"/>
        <v>553.50343115388478</v>
      </c>
      <c r="R61" s="62">
        <f t="shared" si="0"/>
        <v>846.83676448721803</v>
      </c>
      <c r="S61" s="62">
        <f ca="1">AVERAGE(OFFSET($R$3,0,0,'Données projet'!$E$9+1,1))-AVERAGE(OFFSET($H$3,0,0,'Données projet'!$E$9+1,1))</f>
        <v>287.69656598881124</v>
      </c>
      <c r="T61" s="62">
        <f t="shared" si="34"/>
        <v>221.9773436301067</v>
      </c>
      <c r="U61" s="16">
        <f>IF(ISNA(VLOOKUP(A61,'Données projet'!$A$35:$I$55,3,0)),0,VLOOKUP(A61,'Données projet'!$A$35:$I$55,3,0))</f>
        <v>8</v>
      </c>
      <c r="V61" s="16">
        <f>IF(ISNA(VLOOKUP(A61,'Données projet'!$A$35:$I$55,4,0)),0,VLOOKUP(A61,'Données projet'!$A$35:$I$55,4,0))</f>
        <v>78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2.7811474982170425</v>
      </c>
      <c r="AB61" s="23">
        <f>EXP(-LN(2)/2)*AB60+(1-EXP(-LN(2)/2))/(LN(2)/2)*V61*Y61*VLOOKUP('Données projet'!$B$9,Paramètres!$A$1:$I$89,3,0)*0.475*44/12</f>
        <v>8.6804788625152078E-4</v>
      </c>
      <c r="AC61" s="24">
        <f t="shared" si="3"/>
        <v>2.782015546103294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10.199999999999999</v>
      </c>
      <c r="AI61" s="14">
        <f>IF('Données projet'!$A$62&gt;35,AI60+AH61-AQ60,IF(A61&lt;'Données projet'!$A$62,$AF$205^A61,IF(A61='Données projet'!$A$62,'Données projet'!$B$62,AI60+AH61-AQ60)))</f>
        <v>645.59999999999968</v>
      </c>
      <c r="AJ61" s="14">
        <f>AI61*VLOOKUP('Données projet'!$B$10,Paramètres!$A$1:$I$89,3,0)*VLOOKUP('Données projet'!$B$10,Paramètres!$A$1:$I$89,5,0)</f>
        <v>360.89039999999977</v>
      </c>
      <c r="AK61" s="14">
        <f t="shared" si="35"/>
        <v>83.800943075865291</v>
      </c>
      <c r="AL61" s="22">
        <f t="shared" si="4"/>
        <v>774.50408919046504</v>
      </c>
      <c r="AM61" s="62">
        <f t="shared" si="5"/>
        <v>1067.8374225237983</v>
      </c>
      <c r="AN61" s="62">
        <f ca="1">AVERAGE(OFFSET($AM$3,0,0,'Données projet'!$E$10+1,1))-AVERAGE(OFFSET($H$3,0,0,'Données projet'!$E$10+1,1))</f>
        <v>382.55387448074327</v>
      </c>
      <c r="AO61" s="62">
        <f t="shared" si="36"/>
        <v>476.29465646955543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6.2054845430266736</v>
      </c>
      <c r="AV61" s="23">
        <f>EXP(-LN(2)/25)*AV60+(1-EXP(-LN(2)/25))/(LN(2)/25)*Calculateur!AQ61*Calculateur!AS61*VLOOKUP('Données projet'!$B$10,Paramètres!$A$1:$I$89,3,0)*0.475*44/12</f>
        <v>6.5426281488853091</v>
      </c>
      <c r="AW61" s="23">
        <f>EXP(-LN(2)/2)*AW60+(1-EXP(-LN(2)/2))/(LN(2)/2)*AQ61*AT61*VLOOKUP('Données projet'!$B$10,Paramètres!$A$1:$I$89,3,0)*0.475*44/12</f>
        <v>8.1019089723585963E-4</v>
      </c>
      <c r="AX61" s="23">
        <f t="shared" si="6"/>
        <v>12.748922882809218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13.5</v>
      </c>
      <c r="BD61" s="13">
        <f>IF('Données projet'!$A$88&gt;35,BD60+BC61-BL60,IF(A61&lt;'Données projet'!$A$88,$BA$205^A61,IF(A61='Données projet'!$A$88,'Données projet'!$B$88,BD60+BC61-BL60)))</f>
        <v>484.99999999999989</v>
      </c>
      <c r="BE61" s="14">
        <f>BD61*VLOOKUP('Données projet'!$B$11,Paramètres!$A$1:$I$89,3,0)*VLOOKUP('Données projet'!$B$11,Paramètres!$A$1:$I$89,5,0)</f>
        <v>226.97999999999996</v>
      </c>
      <c r="BF61" s="14">
        <f t="shared" si="37"/>
        <v>55.629185455335929</v>
      </c>
      <c r="BG61" s="22">
        <f t="shared" si="7"/>
        <v>492.21099800137659</v>
      </c>
      <c r="BH61" s="62">
        <f t="shared" si="8"/>
        <v>785.54433133470991</v>
      </c>
      <c r="BI61" s="62">
        <f ca="1">AVERAGE(OFFSET($BH$3,0,0,'Données projet'!$E$11+1,1))-AVERAGE(OFFSET($H$3,0,0,'Données projet'!$E$11+1,1))</f>
        <v>310.95287409903602</v>
      </c>
      <c r="BJ61" s="62">
        <f t="shared" si="38"/>
        <v>224.10083380795163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16.625</v>
      </c>
      <c r="N62" s="14">
        <f>IF('Données projet'!$A$36&gt;35,N61+M62-V61,IF(A62&lt;'Données projet'!$A$36,$K$205^A62,IF(A62='Données projet'!$A$36,'Données projet'!$B$36,N61+M62-V61)))</f>
        <v>366.62500000000006</v>
      </c>
      <c r="O62" s="14">
        <f>N62*VLOOKUP('Données projet'!$B$9,Paramètres!$A$1:$I$89,3,0)*VLOOKUP('Données projet'!$B$9,Paramètres!$A$1:$I$89,5,0)</f>
        <v>219.24175000000005</v>
      </c>
      <c r="P62" s="14">
        <f t="shared" si="33"/>
        <v>53.950050729111297</v>
      </c>
      <c r="Q62" s="22">
        <f t="shared" si="53"/>
        <v>475.80905293653558</v>
      </c>
      <c r="R62" s="62">
        <f t="shared" si="0"/>
        <v>769.14238626986889</v>
      </c>
      <c r="S62" s="62">
        <f ca="1">AVERAGE(OFFSET($R$3,0,0,'Données projet'!$E$9+1,1))-AVERAGE(OFFSET($H$3,0,0,'Données projet'!$E$9+1,1))</f>
        <v>287.69656598881124</v>
      </c>
      <c r="T62" s="62">
        <f t="shared" si="34"/>
        <v>221.9773436301067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2.705096873624107</v>
      </c>
      <c r="AB62" s="23">
        <f>EXP(-LN(2)/2)*AB61+(1-EXP(-LN(2)/2))/(LN(2)/2)*V62*Y62*VLOOKUP('Données projet'!$B$9,Paramètres!$A$1:$I$89,3,0)*0.475*44/12</f>
        <v>6.138025467630992E-4</v>
      </c>
      <c r="AC62" s="24">
        <f t="shared" si="3"/>
        <v>2.7057106761708702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10.199999999999999</v>
      </c>
      <c r="AI62" s="14">
        <f>IF('Données projet'!$A$62&gt;35,AI61+AH62-AQ61,IF(A62&lt;'Données projet'!$A$62,$AF$205^A62,IF(A62='Données projet'!$A$62,'Données projet'!$B$62,AI61+AH62-AQ61)))</f>
        <v>655.79999999999973</v>
      </c>
      <c r="AJ62" s="14">
        <f>AI62*VLOOKUP('Données projet'!$B$10,Paramètres!$A$1:$I$89,3,0)*VLOOKUP('Données projet'!$B$10,Paramètres!$A$1:$I$89,5,0)</f>
        <v>366.59219999999982</v>
      </c>
      <c r="AK62" s="14">
        <f t="shared" si="35"/>
        <v>84.969753481055022</v>
      </c>
      <c r="AL62" s="22">
        <f t="shared" si="4"/>
        <v>786.47040231283711</v>
      </c>
      <c r="AM62" s="62">
        <f t="shared" si="5"/>
        <v>1079.8037356461705</v>
      </c>
      <c r="AN62" s="62">
        <f ca="1">AVERAGE(OFFSET($AM$3,0,0,'Données projet'!$E$10+1,1))-AVERAGE(OFFSET($H$3,0,0,'Données projet'!$E$10+1,1))</f>
        <v>382.55387448074327</v>
      </c>
      <c r="AO62" s="62">
        <f t="shared" si="36"/>
        <v>476.29465646955543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6.0837987761097567</v>
      </c>
      <c r="AV62" s="23">
        <f>EXP(-LN(2)/25)*AV61+(1-EXP(-LN(2)/25))/(LN(2)/25)*Calculateur!AQ62*Calculateur!AS62*VLOOKUP('Données projet'!$B$10,Paramètres!$A$1:$I$89,3,0)*0.475*44/12</f>
        <v>6.3637196380921797</v>
      </c>
      <c r="AW62" s="23">
        <f>EXP(-LN(2)/2)*AW61+(1-EXP(-LN(2)/2))/(LN(2)/2)*AQ62*AT62*VLOOKUP('Données projet'!$B$10,Paramètres!$A$1:$I$89,3,0)*0.475*44/12</f>
        <v>5.728914774910896E-4</v>
      </c>
      <c r="AX62" s="23">
        <f t="shared" si="6"/>
        <v>12.448091305679428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13.5</v>
      </c>
      <c r="BD62" s="13">
        <f>IF('Données projet'!$A$88&gt;35,BD61+BC62-BL61,IF(A62&lt;'Données projet'!$A$88,$BA$205^A62,IF(A62='Données projet'!$A$88,'Données projet'!$B$88,BD61+BC62-BL61)))</f>
        <v>498.49999999999989</v>
      </c>
      <c r="BE62" s="14">
        <f>BD62*VLOOKUP('Données projet'!$B$11,Paramètres!$A$1:$I$89,3,0)*VLOOKUP('Données projet'!$B$11,Paramètres!$A$1:$I$89,5,0)</f>
        <v>233.29799999999994</v>
      </c>
      <c r="BF62" s="14">
        <f t="shared" si="37"/>
        <v>56.995194277534011</v>
      </c>
      <c r="BG62" s="22">
        <f t="shared" si="7"/>
        <v>505.59398003337168</v>
      </c>
      <c r="BH62" s="62">
        <f t="shared" si="8"/>
        <v>798.92731336670499</v>
      </c>
      <c r="BI62" s="62">
        <f ca="1">AVERAGE(OFFSET($BH$3,0,0,'Données projet'!$E$11+1,1))-AVERAGE(OFFSET($H$3,0,0,'Données projet'!$E$11+1,1))</f>
        <v>310.95287409903602</v>
      </c>
      <c r="BJ62" s="62">
        <f t="shared" si="38"/>
        <v>224.10083380795163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16.625</v>
      </c>
      <c r="N63" s="14">
        <f>IF('Données projet'!$A$36&gt;35,N62+M63-V62,IF(A63&lt;'Données projet'!$A$36,$K$205^A63,IF(A63='Données projet'!$A$36,'Données projet'!$B$36,N62+M63-V62)))</f>
        <v>383.25000000000006</v>
      </c>
      <c r="O63" s="14">
        <f>N63*VLOOKUP('Données projet'!$B$9,Paramètres!$A$1:$I$89,3,0)*VLOOKUP('Données projet'!$B$9,Paramètres!$A$1:$I$89,5,0)</f>
        <v>229.18350000000007</v>
      </c>
      <c r="P63" s="14">
        <f t="shared" si="33"/>
        <v>56.106098616839645</v>
      </c>
      <c r="Q63" s="22">
        <f t="shared" si="53"/>
        <v>496.87938425766248</v>
      </c>
      <c r="R63" s="62">
        <f t="shared" si="0"/>
        <v>790.21271759099579</v>
      </c>
      <c r="S63" s="62">
        <f ca="1">AVERAGE(OFFSET($R$3,0,0,'Données projet'!$E$9+1,1))-AVERAGE(OFFSET($H$3,0,0,'Données projet'!$E$9+1,1))</f>
        <v>287.69656598881124</v>
      </c>
      <c r="T63" s="62">
        <f t="shared" si="34"/>
        <v>221.9773436301067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2.6311258573599936</v>
      </c>
      <c r="AB63" s="23">
        <f>EXP(-LN(2)/2)*AB62+(1-EXP(-LN(2)/2))/(LN(2)/2)*V63*Y63*VLOOKUP('Données projet'!$B$9,Paramètres!$A$1:$I$89,3,0)*0.475*44/12</f>
        <v>4.3402394312576039E-4</v>
      </c>
      <c r="AC63" s="24">
        <f t="shared" si="3"/>
        <v>2.6315598813031196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666</v>
      </c>
      <c r="AG63" s="13">
        <f>VLOOKUP(A63,'Données projet'!$A$61:$I$81,9,0)</f>
        <v>10.199999999999999</v>
      </c>
      <c r="AH63" s="13">
        <f t="array" ref="AH63">INDEX(AG:AG,MIN(IF(ISNUMBER(AG63:AG259),ROW(AG63:AG259),"")))</f>
        <v>10.199999999999999</v>
      </c>
      <c r="AI63" s="14">
        <f>IF('Données projet'!$A$62&gt;35,AI62+AH63-AQ62,IF(A63&lt;'Données projet'!$A$62,$AF$205^A63,IF(A63='Données projet'!$A$62,'Données projet'!$B$62,AI62+AH63-AQ62)))</f>
        <v>665.99999999999977</v>
      </c>
      <c r="AJ63" s="14">
        <f>AI63*VLOOKUP('Données projet'!$B$10,Paramètres!$A$1:$I$89,3,0)*VLOOKUP('Données projet'!$B$10,Paramètres!$A$1:$I$89,5,0)</f>
        <v>372.29399999999987</v>
      </c>
      <c r="AK63" s="14">
        <f t="shared" si="35"/>
        <v>86.136449661008839</v>
      </c>
      <c r="AL63" s="22">
        <f t="shared" si="4"/>
        <v>798.43303315959008</v>
      </c>
      <c r="AM63" s="62">
        <f t="shared" si="5"/>
        <v>1091.7663664929235</v>
      </c>
      <c r="AN63" s="62">
        <f ca="1">AVERAGE(OFFSET($AM$3,0,0,'Données projet'!$E$10+1,1))-AVERAGE(OFFSET($H$3,0,0,'Données projet'!$E$10+1,1))</f>
        <v>382.55387448074327</v>
      </c>
      <c r="AO63" s="62">
        <f t="shared" si="36"/>
        <v>476.29465646955543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666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5.9644991928610915</v>
      </c>
      <c r="AV63" s="23">
        <f>EXP(-LN(2)/25)*AV62+(1-EXP(-LN(2)/25))/(LN(2)/25)*Calculateur!AQ63*Calculateur!AS63*VLOOKUP('Données projet'!$B$10,Paramètres!$A$1:$I$89,3,0)*0.475*44/12</f>
        <v>6.1897033899350777</v>
      </c>
      <c r="AW63" s="23">
        <f>EXP(-LN(2)/2)*AW62+(1-EXP(-LN(2)/2))/(LN(2)/2)*AQ63*AT63*VLOOKUP('Données projet'!$B$10,Paramètres!$A$1:$I$89,3,0)*0.475*44/12</f>
        <v>4.0509544861792982E-4</v>
      </c>
      <c r="AX63" s="23">
        <f t="shared" si="6"/>
        <v>12.154607678244789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512</v>
      </c>
      <c r="BB63" s="13">
        <f>VLOOKUP(A63,'Données projet'!$A$87:$I$107,9,0)</f>
        <v>13.5</v>
      </c>
      <c r="BC63" s="13">
        <f t="array" ref="BC63">INDEX(BB:BB,MIN(IF(ISNUMBER(BB63:BB259),ROW(BB63:BB259),"")))</f>
        <v>13.5</v>
      </c>
      <c r="BD63" s="13">
        <f>IF('Données projet'!$A$88&gt;35,BD62+BC63-BL62,IF(A63&lt;'Données projet'!$A$88,$BA$205^A63,IF(A63='Données projet'!$A$88,'Données projet'!$B$88,BD62+BC63-BL62)))</f>
        <v>511.99999999999989</v>
      </c>
      <c r="BE63" s="14">
        <f>BD63*VLOOKUP('Données projet'!$B$11,Paramètres!$A$1:$I$89,3,0)*VLOOKUP('Données projet'!$B$11,Paramètres!$A$1:$I$89,5,0)</f>
        <v>239.61599999999996</v>
      </c>
      <c r="BF63" s="14">
        <f t="shared" si="37"/>
        <v>58.356903313490157</v>
      </c>
      <c r="BG63" s="22">
        <f t="shared" si="7"/>
        <v>518.96947327099531</v>
      </c>
      <c r="BH63" s="62">
        <f t="shared" si="8"/>
        <v>812.30280660432868</v>
      </c>
      <c r="BI63" s="62">
        <f ca="1">AVERAGE(OFFSET($BH$3,0,0,'Données projet'!$E$11+1,1))-AVERAGE(OFFSET($H$3,0,0,'Données projet'!$E$11+1,1))</f>
        <v>310.95287409903602</v>
      </c>
      <c r="BJ63" s="62">
        <f t="shared" si="38"/>
        <v>224.10083380795163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102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16.625</v>
      </c>
      <c r="N64" s="14">
        <f>IF('Données projet'!$A$36&gt;35,N63+M64-V63,IF(A64&lt;'Données projet'!$A$36,$K$205^A64,IF(A64='Données projet'!$A$36,'Données projet'!$B$36,N63+M64-V63)))</f>
        <v>399.87500000000006</v>
      </c>
      <c r="O64" s="14">
        <f>N64*VLOOKUP('Données projet'!$B$9,Paramètres!$A$1:$I$89,3,0)*VLOOKUP('Données projet'!$B$9,Paramètres!$A$1:$I$89,5,0)</f>
        <v>239.12525000000005</v>
      </c>
      <c r="P64" s="14">
        <f t="shared" si="33"/>
        <v>58.251283780505084</v>
      </c>
      <c r="Q64" s="22">
        <f t="shared" si="53"/>
        <v>517.93079633437981</v>
      </c>
      <c r="R64" s="62">
        <f t="shared" si="0"/>
        <v>811.26412966771318</v>
      </c>
      <c r="S64" s="62">
        <f ca="1">AVERAGE(OFFSET($R$3,0,0,'Données projet'!$E$9+1,1))-AVERAGE(OFFSET($H$3,0,0,'Données projet'!$E$9+1,1))</f>
        <v>287.69656598881124</v>
      </c>
      <c r="T64" s="62">
        <f t="shared" si="34"/>
        <v>221.9773436301067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2.5591775824255891</v>
      </c>
      <c r="AB64" s="23">
        <f>EXP(-LN(2)/2)*AB63+(1-EXP(-LN(2)/2))/(LN(2)/2)*V64*Y64*VLOOKUP('Données projet'!$B$9,Paramètres!$A$1:$I$89,3,0)*0.475*44/12</f>
        <v>3.069012733815496E-4</v>
      </c>
      <c r="AC64" s="24">
        <f t="shared" si="3"/>
        <v>2.5594844836989705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-2.2737367544323206E-13</v>
      </c>
      <c r="AJ64" s="14">
        <f>AI64*VLOOKUP('Données projet'!$B$10,Paramètres!$A$1:$I$89,3,0)*VLOOKUP('Données projet'!$B$10,Paramètres!$A$1:$I$89,5,0)</f>
        <v>-1.2710188457276673E-13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382.55387448074327</v>
      </c>
      <c r="AO64" s="62">
        <f t="shared" si="36"/>
        <v>476.29465646955543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5.847539001674372</v>
      </c>
      <c r="AV64" s="23">
        <f>EXP(-LN(2)/25)*AV63+(1-EXP(-LN(2)/25))/(LN(2)/25)*Calculateur!AQ64*Calculateur!AS64*VLOOKUP('Données projet'!$B$10,Paramètres!$A$1:$I$89,3,0)*0.475*44/12</f>
        <v>6.0204456252349487</v>
      </c>
      <c r="AW64" s="23">
        <f>EXP(-LN(2)/2)*AW63+(1-EXP(-LN(2)/2))/(LN(2)/2)*AQ64*AT64*VLOOKUP('Données projet'!$B$10,Paramètres!$A$1:$I$89,3,0)*0.475*44/12</f>
        <v>2.864457387455448E-4</v>
      </c>
      <c r="AX64" s="23">
        <f t="shared" si="6"/>
        <v>11.868271072648067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15.5</v>
      </c>
      <c r="BD64" s="13">
        <f>IF('Données projet'!$A$88&gt;35,BD63+BC64-BL63,IF(A64&lt;'Données projet'!$A$88,$BA$205^A64,IF(A64='Données projet'!$A$88,'Données projet'!$B$88,BD63+BC64-BL63)))</f>
        <v>425.49999999999989</v>
      </c>
      <c r="BE64" s="14">
        <f>BD64*VLOOKUP('Données projet'!$B$11,Paramètres!$A$1:$I$89,3,0)*VLOOKUP('Données projet'!$B$11,Paramètres!$A$1:$I$89,5,0)</f>
        <v>199.13399999999993</v>
      </c>
      <c r="BF64" s="14">
        <f t="shared" si="37"/>
        <v>49.553799097205186</v>
      </c>
      <c r="BG64" s="22">
        <f t="shared" si="7"/>
        <v>433.13125009429888</v>
      </c>
      <c r="BH64" s="62">
        <f t="shared" si="8"/>
        <v>726.46458342763219</v>
      </c>
      <c r="BI64" s="62">
        <f ca="1">AVERAGE(OFFSET($BH$3,0,0,'Données projet'!$E$11+1,1))-AVERAGE(OFFSET($H$3,0,0,'Données projet'!$E$11+1,1))</f>
        <v>310.95287409903602</v>
      </c>
      <c r="BJ64" s="62">
        <f t="shared" si="38"/>
        <v>224.10083380795163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16.625</v>
      </c>
      <c r="N65" s="14">
        <f>IF('Données projet'!$A$36&gt;35,N64+M65-V64,IF(A65&lt;'Données projet'!$A$36,$K$205^A65,IF(A65='Données projet'!$A$36,'Données projet'!$B$36,N64+M65-V64)))</f>
        <v>416.50000000000006</v>
      </c>
      <c r="O65" s="14">
        <f>N65*VLOOKUP('Données projet'!$B$9,Paramètres!$A$1:$I$89,3,0)*VLOOKUP('Données projet'!$B$9,Paramètres!$A$1:$I$89,5,0)</f>
        <v>249.06700000000004</v>
      </c>
      <c r="P65" s="14">
        <f t="shared" si="33"/>
        <v>60.386109489804014</v>
      </c>
      <c r="Q65" s="22">
        <f t="shared" si="53"/>
        <v>538.96416569474195</v>
      </c>
      <c r="R65" s="62">
        <f t="shared" si="0"/>
        <v>832.29749902807521</v>
      </c>
      <c r="S65" s="62">
        <f ca="1">AVERAGE(OFFSET($R$3,0,0,'Données projet'!$E$9+1,1))-AVERAGE(OFFSET($H$3,0,0,'Données projet'!$E$9+1,1))</f>
        <v>287.69656598881124</v>
      </c>
      <c r="T65" s="62">
        <f t="shared" si="34"/>
        <v>221.9773436301067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2.4891967368528616</v>
      </c>
      <c r="AB65" s="23">
        <f>EXP(-LN(2)/2)*AB64+(1-EXP(-LN(2)/2))/(LN(2)/2)*V65*Y65*VLOOKUP('Données projet'!$B$9,Paramètres!$A$1:$I$89,3,0)*0.475*44/12</f>
        <v>2.170119715628802E-4</v>
      </c>
      <c r="AC65" s="24">
        <f t="shared" si="3"/>
        <v>2.4894137488244246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-2.2737367544323206E-13</v>
      </c>
      <c r="AJ65" s="14">
        <f>AI65*VLOOKUP('Données projet'!$B$10,Paramètres!$A$1:$I$89,3,0)*VLOOKUP('Données projet'!$B$10,Paramètres!$A$1:$I$89,5,0)</f>
        <v>-1.2710188457276673E-13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382.55387448074327</v>
      </c>
      <c r="AO65" s="62">
        <f t="shared" si="36"/>
        <v>476.29465646955543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5.7328723284981518</v>
      </c>
      <c r="AV65" s="23">
        <f>EXP(-LN(2)/25)*AV64+(1-EXP(-LN(2)/25))/(LN(2)/25)*Calculateur!AQ65*Calculateur!AS65*VLOOKUP('Données projet'!$B$10,Paramètres!$A$1:$I$89,3,0)*0.475*44/12</f>
        <v>5.8558162230114235</v>
      </c>
      <c r="AW65" s="23">
        <f>EXP(-LN(2)/2)*AW64+(1-EXP(-LN(2)/2))/(LN(2)/2)*AQ65*AT65*VLOOKUP('Données projet'!$B$10,Paramètres!$A$1:$I$89,3,0)*0.475*44/12</f>
        <v>2.0254772430896491E-4</v>
      </c>
      <c r="AX65" s="23">
        <f t="shared" si="6"/>
        <v>11.588891099233884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15.5</v>
      </c>
      <c r="BD65" s="13">
        <f>IF('Données projet'!$A$88&gt;35,BD64+BC65-BL64,IF(A65&lt;'Données projet'!$A$88,$BA$205^A65,IF(A65='Données projet'!$A$88,'Données projet'!$B$88,BD64+BC65-BL64)))</f>
        <v>440.99999999999989</v>
      </c>
      <c r="BE65" s="14">
        <f>BD65*VLOOKUP('Données projet'!$B$11,Paramètres!$A$1:$I$89,3,0)*VLOOKUP('Données projet'!$B$11,Paramètres!$A$1:$I$89,5,0)</f>
        <v>206.38799999999995</v>
      </c>
      <c r="BF65" s="14">
        <f t="shared" si="37"/>
        <v>51.145477584014834</v>
      </c>
      <c r="BG65" s="22">
        <f t="shared" si="7"/>
        <v>448.53747345882579</v>
      </c>
      <c r="BH65" s="62">
        <f t="shared" si="8"/>
        <v>741.8708067921591</v>
      </c>
      <c r="BI65" s="62">
        <f ca="1">AVERAGE(OFFSET($BH$3,0,0,'Données projet'!$E$11+1,1))-AVERAGE(OFFSET($H$3,0,0,'Données projet'!$E$11+1,1))</f>
        <v>310.95287409903602</v>
      </c>
      <c r="BJ65" s="62">
        <f t="shared" si="38"/>
        <v>224.10083380795163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16.625</v>
      </c>
      <c r="N66" s="14">
        <f>IF('Données projet'!$A$36&gt;35,N65+M66-V65,IF(A66&lt;'Données projet'!$A$36,$K$205^A66,IF(A66='Données projet'!$A$36,'Données projet'!$B$36,N65+M66-V65)))</f>
        <v>433.12500000000006</v>
      </c>
      <c r="O66" s="14">
        <f>N66*VLOOKUP('Données projet'!$B$9,Paramètres!$A$1:$I$89,3,0)*VLOOKUP('Données projet'!$B$9,Paramètres!$A$1:$I$89,5,0)</f>
        <v>259.00875000000008</v>
      </c>
      <c r="P66" s="14">
        <f t="shared" si="33"/>
        <v>62.511036563235727</v>
      </c>
      <c r="Q66" s="22">
        <f t="shared" si="53"/>
        <v>559.98029493096897</v>
      </c>
      <c r="R66" s="62">
        <f t="shared" si="0"/>
        <v>853.31362826430222</v>
      </c>
      <c r="S66" s="62">
        <f ca="1">AVERAGE(OFFSET($R$3,0,0,'Données projet'!$E$9+1,1))-AVERAGE(OFFSET($H$3,0,0,'Données projet'!$E$9+1,1))</f>
        <v>287.69656598881124</v>
      </c>
      <c r="T66" s="62">
        <f t="shared" si="34"/>
        <v>221.9773436301067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2.4211295211824528</v>
      </c>
      <c r="AB66" s="23">
        <f>EXP(-LN(2)/2)*AB65+(1-EXP(-LN(2)/2))/(LN(2)/2)*V66*Y66*VLOOKUP('Données projet'!$B$9,Paramètres!$A$1:$I$89,3,0)*0.475*44/12</f>
        <v>1.534506366907748E-4</v>
      </c>
      <c r="AC66" s="24">
        <f t="shared" si="3"/>
        <v>2.4212829718191435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-2.2737367544323206E-13</v>
      </c>
      <c r="AJ66" s="14">
        <f>AI66*VLOOKUP('Données projet'!$B$10,Paramètres!$A$1:$I$89,3,0)*VLOOKUP('Données projet'!$B$10,Paramètres!$A$1:$I$89,5,0)</f>
        <v>-1.2710188457276673E-13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382.55387448074327</v>
      </c>
      <c r="AO66" s="62">
        <f t="shared" si="36"/>
        <v>476.29465646955543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5.6204541988431522</v>
      </c>
      <c r="AV66" s="23">
        <f>EXP(-LN(2)/25)*AV65+(1-EXP(-LN(2)/25))/(LN(2)/25)*Calculateur!AQ66*Calculateur!AS66*VLOOKUP('Données projet'!$B$10,Paramètres!$A$1:$I$89,3,0)*0.475*44/12</f>
        <v>5.695688620449185</v>
      </c>
      <c r="AW66" s="23">
        <f>EXP(-LN(2)/2)*AW65+(1-EXP(-LN(2)/2))/(LN(2)/2)*AQ66*AT66*VLOOKUP('Données projet'!$B$10,Paramètres!$A$1:$I$89,3,0)*0.475*44/12</f>
        <v>1.432228693727724E-4</v>
      </c>
      <c r="AX66" s="23">
        <f t="shared" si="6"/>
        <v>11.31628604216171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15.5</v>
      </c>
      <c r="BD66" s="13">
        <f>IF('Données projet'!$A$88&gt;35,BD65+BC66-BL65,IF(A66&lt;'Données projet'!$A$88,$BA$205^A66,IF(A66='Données projet'!$A$88,'Données projet'!$B$88,BD65+BC66-BL65)))</f>
        <v>456.49999999999989</v>
      </c>
      <c r="BE66" s="14">
        <f>BD66*VLOOKUP('Données projet'!$B$11,Paramètres!$A$1:$I$89,3,0)*VLOOKUP('Données projet'!$B$11,Paramètres!$A$1:$I$89,5,0)</f>
        <v>213.64199999999994</v>
      </c>
      <c r="BF66" s="14">
        <f t="shared" si="37"/>
        <v>52.730656153675348</v>
      </c>
      <c r="BG66" s="22">
        <f t="shared" si="7"/>
        <v>463.93237613431779</v>
      </c>
      <c r="BH66" s="62">
        <f t="shared" si="8"/>
        <v>757.26570946765105</v>
      </c>
      <c r="BI66" s="62">
        <f ca="1">AVERAGE(OFFSET($BH$3,0,0,'Données projet'!$E$11+1,1))-AVERAGE(OFFSET($H$3,0,0,'Données projet'!$E$11+1,1))</f>
        <v>310.95287409903602</v>
      </c>
      <c r="BJ66" s="62">
        <f t="shared" si="38"/>
        <v>224.10083380795163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16.625</v>
      </c>
      <c r="N67" s="14">
        <f>IF('Données projet'!$A$36&gt;35,N66+M67-V66,IF(A67&lt;'Données projet'!$A$36,$K$205^A67,IF(A67='Données projet'!$A$36,'Données projet'!$B$36,N66+M67-V66)))</f>
        <v>449.75000000000006</v>
      </c>
      <c r="O67" s="14">
        <f>N67*VLOOKUP('Données projet'!$B$9,Paramètres!$A$1:$I$89,3,0)*VLOOKUP('Données projet'!$B$9,Paramètres!$A$1:$I$89,5,0)</f>
        <v>268.95050000000009</v>
      </c>
      <c r="P67" s="14">
        <f t="shared" si="33"/>
        <v>64.626488439895155</v>
      </c>
      <c r="Q67" s="22">
        <f t="shared" ref="Q67:Q98" si="54">(O67+P67)*0.475*44/12</f>
        <v>580.97992153281746</v>
      </c>
      <c r="R67" s="62">
        <f t="shared" ref="R67:R130" si="55">Q67+(I67+J67)*44/12</f>
        <v>874.31325486615083</v>
      </c>
      <c r="S67" s="62">
        <f ca="1">AVERAGE(OFFSET($R$3,0,0,'Données projet'!$E$9+1,1))-AVERAGE(OFFSET($H$3,0,0,'Données projet'!$E$9+1,1))</f>
        <v>287.69656598881124</v>
      </c>
      <c r="T67" s="62">
        <f t="shared" si="34"/>
        <v>221.9773436301067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2.3549236071040509</v>
      </c>
      <c r="AB67" s="23">
        <f>EXP(-LN(2)/2)*AB66+(1-EXP(-LN(2)/2))/(LN(2)/2)*V67*Y67*VLOOKUP('Données projet'!$B$9,Paramètres!$A$1:$I$89,3,0)*0.475*44/12</f>
        <v>1.085059857814401E-4</v>
      </c>
      <c r="AC67" s="24">
        <f t="shared" si="3"/>
        <v>2.3550321130898322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-2.2737367544323206E-13</v>
      </c>
      <c r="AJ67" s="14">
        <f>AI67*VLOOKUP('Données projet'!$B$10,Paramètres!$A$1:$I$89,3,0)*VLOOKUP('Données projet'!$B$10,Paramètres!$A$1:$I$89,5,0)</f>
        <v>-1.2710188457276673E-13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382.55387448074327</v>
      </c>
      <c r="AO67" s="62">
        <f t="shared" si="36"/>
        <v>476.29465646955543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5.510240520142399</v>
      </c>
      <c r="AV67" s="23">
        <f>EXP(-LN(2)/25)*AV66+(1-EXP(-LN(2)/25))/(LN(2)/25)*Calculateur!AQ67*Calculateur!AS67*VLOOKUP('Données projet'!$B$10,Paramètres!$A$1:$I$89,3,0)*0.475*44/12</f>
        <v>5.539939715599755</v>
      </c>
      <c r="AW67" s="23">
        <f>EXP(-LN(2)/2)*AW66+(1-EXP(-LN(2)/2))/(LN(2)/2)*AQ67*AT67*VLOOKUP('Données projet'!$B$10,Paramètres!$A$1:$I$89,3,0)*0.475*44/12</f>
        <v>1.0127386215448245E-4</v>
      </c>
      <c r="AX67" s="23">
        <f t="shared" si="6"/>
        <v>11.050281509604309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15.5</v>
      </c>
      <c r="BD67" s="13">
        <f>IF('Données projet'!$A$88&gt;35,BD66+BC67-BL66,IF(A67&lt;'Données projet'!$A$88,$BA$205^A67,IF(A67='Données projet'!$A$88,'Données projet'!$B$88,BD66+BC67-BL66)))</f>
        <v>471.99999999999989</v>
      </c>
      <c r="BE67" s="14">
        <f>BD67*VLOOKUP('Données projet'!$B$11,Paramètres!$A$1:$I$89,3,0)*VLOOKUP('Données projet'!$B$11,Paramètres!$A$1:$I$89,5,0)</f>
        <v>220.89599999999996</v>
      </c>
      <c r="BF67" s="14">
        <f t="shared" si="37"/>
        <v>54.309580803412281</v>
      </c>
      <c r="BG67" s="22">
        <f t="shared" si="7"/>
        <v>479.31638656594299</v>
      </c>
      <c r="BH67" s="62">
        <f t="shared" si="8"/>
        <v>772.64971989927631</v>
      </c>
      <c r="BI67" s="62">
        <f ca="1">AVERAGE(OFFSET($BH$3,0,0,'Données projet'!$E$11+1,1))-AVERAGE(OFFSET($H$3,0,0,'Données projet'!$E$11+1,1))</f>
        <v>310.95287409903602</v>
      </c>
      <c r="BJ67" s="62">
        <f t="shared" si="38"/>
        <v>224.10083380795163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16.625</v>
      </c>
      <c r="N68" s="14">
        <f>IF('Données projet'!$A$36&gt;35,N67+M68-V67,IF(A68&lt;'Données projet'!$A$36,$K$205^A68,IF(A68='Données projet'!$A$36,'Données projet'!$B$36,N67+M68-V67)))</f>
        <v>466.37500000000006</v>
      </c>
      <c r="O68" s="14">
        <f>N68*VLOOKUP('Données projet'!$B$9,Paramètres!$A$1:$I$89,3,0)*VLOOKUP('Données projet'!$B$9,Paramètres!$A$1:$I$89,5,0)</f>
        <v>278.89225000000005</v>
      </c>
      <c r="P68" s="14">
        <f t="shared" si="33"/>
        <v>66.732855480271084</v>
      </c>
      <c r="Q68" s="22">
        <f t="shared" si="54"/>
        <v>601.96372537813886</v>
      </c>
      <c r="R68" s="62">
        <f t="shared" si="55"/>
        <v>895.29705871147212</v>
      </c>
      <c r="S68" s="62">
        <f ca="1">AVERAGE(OFFSET($R$3,0,0,'Données projet'!$E$9+1,1))-AVERAGE(OFFSET($H$3,0,0,'Données projet'!$E$9+1,1))</f>
        <v>287.69656598881124</v>
      </c>
      <c r="T68" s="62">
        <f t="shared" si="34"/>
        <v>221.9773436301067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2.2905280972277402</v>
      </c>
      <c r="AB68" s="23">
        <f>EXP(-LN(2)/2)*AB67+(1-EXP(-LN(2)/2))/(LN(2)/2)*V68*Y68*VLOOKUP('Données projet'!$B$9,Paramètres!$A$1:$I$89,3,0)*0.475*44/12</f>
        <v>7.6725318345387399E-5</v>
      </c>
      <c r="AC68" s="24">
        <f t="shared" ref="AC68:AC131" si="57">SUM(Z68:AB68)</f>
        <v>2.2906048225460856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-2.2737367544323206E-13</v>
      </c>
      <c r="AJ68" s="14">
        <f>AI68*VLOOKUP('Données projet'!$B$10,Paramètres!$A$1:$I$89,3,0)*VLOOKUP('Données projet'!$B$10,Paramètres!$A$1:$I$89,5,0)</f>
        <v>-1.2710188457276673E-13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382.55387448074327</v>
      </c>
      <c r="AO68" s="62">
        <f t="shared" si="36"/>
        <v>476.29465646955543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5.4021880644572606</v>
      </c>
      <c r="AV68" s="23">
        <f>EXP(-LN(2)/25)*AV67+(1-EXP(-LN(2)/25))/(LN(2)/25)*Calculateur!AQ68*Calculateur!AS68*VLOOKUP('Données projet'!$B$10,Paramètres!$A$1:$I$89,3,0)*0.475*44/12</f>
        <v>5.388449772743912</v>
      </c>
      <c r="AW68" s="23">
        <f>EXP(-LN(2)/2)*AW67+(1-EXP(-LN(2)/2))/(LN(2)/2)*AQ68*AT68*VLOOKUP('Données projet'!$B$10,Paramètres!$A$1:$I$89,3,0)*0.475*44/12</f>
        <v>7.16114346863862E-5</v>
      </c>
      <c r="AX68" s="23">
        <f t="shared" ref="AX68:AX131" si="60">SUM(AU68:AW68)</f>
        <v>10.790709448635859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15.5</v>
      </c>
      <c r="BD68" s="13">
        <f>IF('Données projet'!$A$88&gt;35,BD67+BC68-BL67,IF(A68&lt;'Données projet'!$A$88,$BA$205^A68,IF(A68='Données projet'!$A$88,'Données projet'!$B$88,BD67+BC68-BL67)))</f>
        <v>487.49999999999989</v>
      </c>
      <c r="BE68" s="14">
        <f>BD68*VLOOKUP('Données projet'!$B$11,Paramètres!$A$1:$I$89,3,0)*VLOOKUP('Données projet'!$B$11,Paramètres!$A$1:$I$89,5,0)</f>
        <v>228.14999999999992</v>
      </c>
      <c r="BF68" s="14">
        <f t="shared" si="37"/>
        <v>55.882480456847652</v>
      </c>
      <c r="BG68" s="22">
        <f t="shared" ref="BG68:BG131" si="61">(BE68+BF68)*0.475*44/12</f>
        <v>494.68990346234278</v>
      </c>
      <c r="BH68" s="62">
        <f t="shared" ref="BH68:BH131" si="62">BG68+(AY68+AZ68)*44/12</f>
        <v>788.0232367956761</v>
      </c>
      <c r="BI68" s="62">
        <f ca="1">AVERAGE(OFFSET($BH$3,0,0,'Données projet'!$E$11+1,1))-AVERAGE(OFFSET($H$3,0,0,'Données projet'!$E$11+1,1))</f>
        <v>310.95287409903602</v>
      </c>
      <c r="BJ68" s="62">
        <f t="shared" si="38"/>
        <v>224.10083380795163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>
        <f>VLOOKUP(A69,'Données projet'!$A$35:$I$55,2,0)</f>
        <v>483</v>
      </c>
      <c r="L69" s="13">
        <f>VLOOKUP(A69,'Données projet'!$A$35:$I$55,9,0)</f>
        <v>16.625</v>
      </c>
      <c r="M69" s="13">
        <f t="array" ref="M69">INDEX(L:L,MIN(IF(ISNUMBER(L69:L265),ROW(L69:L265),"")))</f>
        <v>16.625</v>
      </c>
      <c r="N69" s="14">
        <f>IF('Données projet'!$A$36&gt;35,N68+M69-V68,IF(A69&lt;'Données projet'!$A$36,$K$205^A69,IF(A69='Données projet'!$A$36,'Données projet'!$B$36,N68+M69-V68)))</f>
        <v>483.00000000000006</v>
      </c>
      <c r="O69" s="14">
        <f>N69*VLOOKUP('Données projet'!$B$9,Paramètres!$A$1:$I$89,3,0)*VLOOKUP('Données projet'!$B$9,Paramètres!$A$1:$I$89,5,0)</f>
        <v>288.83400000000006</v>
      </c>
      <c r="P69" s="14">
        <f t="shared" ref="P69:P132" si="87">EXP(-1.0587+0.8836*LN(O69)+0.284)</f>
        <v>68.830498636563377</v>
      </c>
      <c r="Q69" s="22">
        <f t="shared" si="54"/>
        <v>622.932335125348</v>
      </c>
      <c r="R69" s="62">
        <f t="shared" si="55"/>
        <v>916.26566845868138</v>
      </c>
      <c r="S69" s="62">
        <f ca="1">AVERAGE(OFFSET($R$3,0,0,'Données projet'!$E$9+1,1))-AVERAGE(OFFSET($H$3,0,0,'Données projet'!$E$9+1,1))</f>
        <v>287.69656598881124</v>
      </c>
      <c r="T69" s="62">
        <f t="shared" ref="T69:T132" si="88">$T$3</f>
        <v>221.9773436301067</v>
      </c>
      <c r="U69" s="16">
        <f>IF(ISNA(VLOOKUP(A69,'Données projet'!$A$35:$I$55,3,0)),0,VLOOKUP(A69,'Données projet'!$A$35:$I$55,3,0))</f>
        <v>9</v>
      </c>
      <c r="V69" s="16">
        <f>IF(ISNA(VLOOKUP(A69,'Données projet'!$A$35:$I$55,4,0)),0,VLOOKUP(A69,'Données projet'!$A$35:$I$55,4,0))</f>
        <v>65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2.22789348595541</v>
      </c>
      <c r="AB69" s="23">
        <f>EXP(-LN(2)/2)*AB68+(1-EXP(-LN(2)/2))/(LN(2)/2)*V69*Y69*VLOOKUP('Données projet'!$B$9,Paramètres!$A$1:$I$89,3,0)*0.475*44/12</f>
        <v>5.4252992890720049E-5</v>
      </c>
      <c r="AC69" s="24">
        <f t="shared" si="57"/>
        <v>2.2279477389483007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-2.2737367544323206E-13</v>
      </c>
      <c r="AJ69" s="14">
        <f>AI69*VLOOKUP('Données projet'!$B$10,Paramètres!$A$1:$I$89,3,0)*VLOOKUP('Données projet'!$B$10,Paramètres!$A$1:$I$89,5,0)</f>
        <v>-1.2710188457276673E-13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382.55387448074327</v>
      </c>
      <c r="AO69" s="62">
        <f t="shared" ref="AO69:AO132" si="90">$AO$3</f>
        <v>476.29465646955543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5.2962544515226178</v>
      </c>
      <c r="AV69" s="23">
        <f>EXP(-LN(2)/25)*AV68+(1-EXP(-LN(2)/25))/(LN(2)/25)*Calculateur!AQ69*Calculateur!AS69*VLOOKUP('Données projet'!$B$10,Paramètres!$A$1:$I$89,3,0)*0.475*44/12</f>
        <v>5.2411023303419713</v>
      </c>
      <c r="AW69" s="23">
        <f>EXP(-LN(2)/2)*AW68+(1-EXP(-LN(2)/2))/(LN(2)/2)*AQ69*AT69*VLOOKUP('Données projet'!$B$10,Paramètres!$A$1:$I$89,3,0)*0.475*44/12</f>
        <v>5.0636931077241227E-5</v>
      </c>
      <c r="AX69" s="23">
        <f t="shared" si="60"/>
        <v>10.537407418795665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15.5</v>
      </c>
      <c r="BD69" s="13">
        <f>IF('Données projet'!$A$88&gt;35,BD68+BC69-BL68,IF(A69&lt;'Données projet'!$A$88,$BA$205^A69,IF(A69='Données projet'!$A$88,'Données projet'!$B$88,BD68+BC69-BL68)))</f>
        <v>502.99999999999989</v>
      </c>
      <c r="BE69" s="14">
        <f>BD69*VLOOKUP('Données projet'!$B$11,Paramètres!$A$1:$I$89,3,0)*VLOOKUP('Données projet'!$B$11,Paramètres!$A$1:$I$89,5,0)</f>
        <v>235.40399999999994</v>
      </c>
      <c r="BF69" s="14">
        <f t="shared" ref="BF69:BF132" si="91">EXP(-1.0587+0.8836*LN(BE69)+0.284)</f>
        <v>57.449568653781753</v>
      </c>
      <c r="BG69" s="22">
        <f t="shared" si="61"/>
        <v>510.05329873866975</v>
      </c>
      <c r="BH69" s="62">
        <f t="shared" si="62"/>
        <v>803.38663207200307</v>
      </c>
      <c r="BI69" s="62">
        <f ca="1">AVERAGE(OFFSET($BH$3,0,0,'Données projet'!$E$11+1,1))-AVERAGE(OFFSET($H$3,0,0,'Données projet'!$E$11+1,1))</f>
        <v>310.95287409903602</v>
      </c>
      <c r="BJ69" s="62">
        <f t="shared" ref="BJ69:BJ132" si="92">$BJ$3</f>
        <v>224.10083380795163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12.875</v>
      </c>
      <c r="N70" s="14">
        <f>IF('Données projet'!$A$36&gt;35,N69+M70-V69,IF(A70&lt;'Données projet'!$A$36,$K$205^A70,IF(A70='Données projet'!$A$36,'Données projet'!$B$36,N69+M70-V69)))</f>
        <v>430.87500000000006</v>
      </c>
      <c r="O70" s="14">
        <f>N70*VLOOKUP('Données projet'!$B$9,Paramètres!$A$1:$I$89,3,0)*VLOOKUP('Données projet'!$B$9,Paramètres!$A$1:$I$89,5,0)</f>
        <v>257.66325000000006</v>
      </c>
      <c r="P70" s="14">
        <f t="shared" si="87"/>
        <v>62.224015868041043</v>
      </c>
      <c r="Q70" s="22">
        <f t="shared" si="54"/>
        <v>557.13698805350487</v>
      </c>
      <c r="R70" s="62">
        <f t="shared" si="55"/>
        <v>850.47032138683812</v>
      </c>
      <c r="S70" s="62">
        <f ca="1">AVERAGE(OFFSET($R$3,0,0,'Données projet'!$E$9+1,1))-AVERAGE(OFFSET($H$3,0,0,'Données projet'!$E$9+1,1))</f>
        <v>287.69656598881124</v>
      </c>
      <c r="T70" s="62">
        <f t="shared" si="88"/>
        <v>221.9773436301067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2.1669716214221326</v>
      </c>
      <c r="AB70" s="23">
        <f>EXP(-LN(2)/2)*AB69+(1-EXP(-LN(2)/2))/(LN(2)/2)*V70*Y70*VLOOKUP('Données projet'!$B$9,Paramètres!$A$1:$I$89,3,0)*0.475*44/12</f>
        <v>3.83626591726937E-5</v>
      </c>
      <c r="AC70" s="24">
        <f t="shared" si="57"/>
        <v>2.1670099840813055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-2.2737367544323206E-13</v>
      </c>
      <c r="AJ70" s="14">
        <f>AI70*VLOOKUP('Données projet'!$B$10,Paramètres!$A$1:$I$89,3,0)*VLOOKUP('Données projet'!$B$10,Paramètres!$A$1:$I$89,5,0)</f>
        <v>-1.2710188457276673E-13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382.55387448074327</v>
      </c>
      <c r="AO70" s="62">
        <f t="shared" si="90"/>
        <v>476.29465646955543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5.1923981321244996</v>
      </c>
      <c r="AV70" s="23">
        <f>EXP(-LN(2)/25)*AV69+(1-EXP(-LN(2)/25))/(LN(2)/25)*Calculateur!AQ70*Calculateur!AS70*VLOOKUP('Données projet'!$B$10,Paramètres!$A$1:$I$89,3,0)*0.475*44/12</f>
        <v>5.0977841115011771</v>
      </c>
      <c r="AW70" s="23">
        <f>EXP(-LN(2)/2)*AW69+(1-EXP(-LN(2)/2))/(LN(2)/2)*AQ70*AT70*VLOOKUP('Données projet'!$B$10,Paramètres!$A$1:$I$89,3,0)*0.475*44/12</f>
        <v>3.58057173431931E-5</v>
      </c>
      <c r="AX70" s="23">
        <f t="shared" si="60"/>
        <v>10.29021804934302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15.5</v>
      </c>
      <c r="BD70" s="13">
        <f>IF('Données projet'!$A$88&gt;35,BD69+BC70-BL69,IF(A70&lt;'Données projet'!$A$88,$BA$205^A70,IF(A70='Données projet'!$A$88,'Données projet'!$B$88,BD69+BC70-BL69)))</f>
        <v>518.49999999999989</v>
      </c>
      <c r="BE70" s="14">
        <f>BD70*VLOOKUP('Données projet'!$B$11,Paramètres!$A$1:$I$89,3,0)*VLOOKUP('Données projet'!$B$11,Paramètres!$A$1:$I$89,5,0)</f>
        <v>242.65799999999993</v>
      </c>
      <c r="BF70" s="14">
        <f t="shared" si="91"/>
        <v>59.011045025839607</v>
      </c>
      <c r="BG70" s="22">
        <f t="shared" si="61"/>
        <v>525.40692008667054</v>
      </c>
      <c r="BH70" s="62">
        <f t="shared" si="62"/>
        <v>818.74025342000391</v>
      </c>
      <c r="BI70" s="62">
        <f ca="1">AVERAGE(OFFSET($BH$3,0,0,'Données projet'!$E$11+1,1))-AVERAGE(OFFSET($H$3,0,0,'Données projet'!$E$11+1,1))</f>
        <v>310.95287409903602</v>
      </c>
      <c r="BJ70" s="62">
        <f t="shared" si="92"/>
        <v>224.10083380795163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12.875</v>
      </c>
      <c r="N71" s="14">
        <f>IF('Données projet'!$A$36&gt;35,N70+M71-V70,IF(A71&lt;'Données projet'!$A$36,$K$205^A71,IF(A71='Données projet'!$A$36,'Données projet'!$B$36,N70+M71-V70)))</f>
        <v>443.75000000000006</v>
      </c>
      <c r="O71" s="14">
        <f>N71*VLOOKUP('Données projet'!$B$9,Paramètres!$A$1:$I$89,3,0)*VLOOKUP('Données projet'!$B$9,Paramètres!$A$1:$I$89,5,0)</f>
        <v>265.36250000000007</v>
      </c>
      <c r="P71" s="14">
        <f t="shared" si="87"/>
        <v>63.864084559847946</v>
      </c>
      <c r="Q71" s="22">
        <f t="shared" si="54"/>
        <v>573.40296810840198</v>
      </c>
      <c r="R71" s="62">
        <f t="shared" si="55"/>
        <v>866.73630144173535</v>
      </c>
      <c r="S71" s="62">
        <f ca="1">AVERAGE(OFFSET($R$3,0,0,'Données projet'!$E$9+1,1))-AVERAGE(OFFSET($H$3,0,0,'Données projet'!$E$9+1,1))</f>
        <v>287.69656598881124</v>
      </c>
      <c r="T71" s="62">
        <f t="shared" si="88"/>
        <v>221.9773436301067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2.1077156684782596</v>
      </c>
      <c r="AB71" s="23">
        <f>EXP(-LN(2)/2)*AB70+(1-EXP(-LN(2)/2))/(LN(2)/2)*V71*Y71*VLOOKUP('Données projet'!$B$9,Paramètres!$A$1:$I$89,3,0)*0.475*44/12</f>
        <v>2.7126496445360025E-5</v>
      </c>
      <c r="AC71" s="24">
        <f t="shared" si="57"/>
        <v>2.1077427949747052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-2.2737367544323206E-13</v>
      </c>
      <c r="AJ71" s="14">
        <f>AI71*VLOOKUP('Données projet'!$B$10,Paramètres!$A$1:$I$89,3,0)*VLOOKUP('Données projet'!$B$10,Paramètres!$A$1:$I$89,5,0)</f>
        <v>-1.2710188457276673E-13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382.55387448074327</v>
      </c>
      <c r="AO71" s="62">
        <f t="shared" si="90"/>
        <v>476.29465646955543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5.0905783718036783</v>
      </c>
      <c r="AV71" s="23">
        <f>EXP(-LN(2)/25)*AV70+(1-EXP(-LN(2)/25))/(LN(2)/25)*Calculateur!AQ71*Calculateur!AS71*VLOOKUP('Données projet'!$B$10,Paramètres!$A$1:$I$89,3,0)*0.475*44/12</f>
        <v>4.9583849368913624</v>
      </c>
      <c r="AW71" s="23">
        <f>EXP(-LN(2)/2)*AW70+(1-EXP(-LN(2)/2))/(LN(2)/2)*AQ71*AT71*VLOOKUP('Données projet'!$B$10,Paramètres!$A$1:$I$89,3,0)*0.475*44/12</f>
        <v>2.5318465538620613E-5</v>
      </c>
      <c r="AX71" s="23">
        <f t="shared" si="60"/>
        <v>10.048988627160579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15.5</v>
      </c>
      <c r="BD71" s="13">
        <f>IF('Données projet'!$A$88&gt;35,BD70+BC71-BL70,IF(A71&lt;'Données projet'!$A$88,$BA$205^A71,IF(A71='Données projet'!$A$88,'Données projet'!$B$88,BD70+BC71-BL70)))</f>
        <v>533.99999999999989</v>
      </c>
      <c r="BE71" s="14">
        <f>BD71*VLOOKUP('Données projet'!$B$11,Paramètres!$A$1:$I$89,3,0)*VLOOKUP('Données projet'!$B$11,Paramètres!$A$1:$I$89,5,0)</f>
        <v>249.91199999999995</v>
      </c>
      <c r="BF71" s="14">
        <f t="shared" si="91"/>
        <v>60.56709659070836</v>
      </c>
      <c r="BG71" s="22">
        <f t="shared" si="61"/>
        <v>540.7510932288169</v>
      </c>
      <c r="BH71" s="62">
        <f t="shared" si="62"/>
        <v>834.08442656215016</v>
      </c>
      <c r="BI71" s="62">
        <f ca="1">AVERAGE(OFFSET($BH$3,0,0,'Données projet'!$E$11+1,1))-AVERAGE(OFFSET($H$3,0,0,'Données projet'!$E$11+1,1))</f>
        <v>310.95287409903602</v>
      </c>
      <c r="BJ71" s="62">
        <f t="shared" si="92"/>
        <v>224.10083380795163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12.875</v>
      </c>
      <c r="N72" s="14">
        <f>IF('Données projet'!$A$36&gt;35,N71+M72-V71,IF(A72&lt;'Données projet'!$A$36,$K$205^A72,IF(A72='Données projet'!$A$36,'Données projet'!$B$36,N71+M72-V71)))</f>
        <v>456.62500000000006</v>
      </c>
      <c r="O72" s="14">
        <f>N72*VLOOKUP('Données projet'!$B$9,Paramètres!$A$1:$I$89,3,0)*VLOOKUP('Données projet'!$B$9,Paramètres!$A$1:$I$89,5,0)</f>
        <v>273.06175000000007</v>
      </c>
      <c r="P72" s="14">
        <f t="shared" si="87"/>
        <v>65.49862286970442</v>
      </c>
      <c r="Q72" s="22">
        <f t="shared" si="54"/>
        <v>589.65931608140193</v>
      </c>
      <c r="R72" s="62">
        <f t="shared" si="55"/>
        <v>882.9926494147353</v>
      </c>
      <c r="S72" s="62">
        <f ca="1">AVERAGE(OFFSET($R$3,0,0,'Données projet'!$E$9+1,1))-AVERAGE(OFFSET($H$3,0,0,'Données projet'!$E$9+1,1))</f>
        <v>287.69656598881124</v>
      </c>
      <c r="T72" s="62">
        <f t="shared" si="88"/>
        <v>221.9773436301067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2.0500800726837718</v>
      </c>
      <c r="AB72" s="23">
        <f>EXP(-LN(2)/2)*AB71+(1-EXP(-LN(2)/2))/(LN(2)/2)*V72*Y72*VLOOKUP('Données projet'!$B$9,Paramètres!$A$1:$I$89,3,0)*0.475*44/12</f>
        <v>1.918132958634685E-5</v>
      </c>
      <c r="AC72" s="24">
        <f t="shared" si="57"/>
        <v>2.0500992540133582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-2.2737367544323206E-13</v>
      </c>
      <c r="AJ72" s="14">
        <f>AI72*VLOOKUP('Données projet'!$B$10,Paramètres!$A$1:$I$89,3,0)*VLOOKUP('Données projet'!$B$10,Paramètres!$A$1:$I$89,5,0)</f>
        <v>-1.2710188457276673E-13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382.55387448074327</v>
      </c>
      <c r="AO72" s="62">
        <f t="shared" si="90"/>
        <v>476.29465646955543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4.9907552348788267</v>
      </c>
      <c r="AV72" s="23">
        <f>EXP(-LN(2)/25)*AV71+(1-EXP(-LN(2)/25))/(LN(2)/25)*Calculateur!AQ72*Calculateur!AS72*VLOOKUP('Données projet'!$B$10,Paramètres!$A$1:$I$89,3,0)*0.475*44/12</f>
        <v>4.8227976400419372</v>
      </c>
      <c r="AW72" s="23">
        <f>EXP(-LN(2)/2)*AW71+(1-EXP(-LN(2)/2))/(LN(2)/2)*AQ72*AT72*VLOOKUP('Données projet'!$B$10,Paramètres!$A$1:$I$89,3,0)*0.475*44/12</f>
        <v>1.790285867159655E-5</v>
      </c>
      <c r="AX72" s="23">
        <f t="shared" si="60"/>
        <v>9.8135707777794341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15.5</v>
      </c>
      <c r="BD72" s="13">
        <f>IF('Données projet'!$A$88&gt;35,BD71+BC72-BL71,IF(A72&lt;'Données projet'!$A$88,$BA$205^A72,IF(A72='Données projet'!$A$88,'Données projet'!$B$88,BD71+BC72-BL71)))</f>
        <v>549.49999999999989</v>
      </c>
      <c r="BE72" s="14">
        <f>BD72*VLOOKUP('Données projet'!$B$11,Paramètres!$A$1:$I$89,3,0)*VLOOKUP('Données projet'!$B$11,Paramètres!$A$1:$I$89,5,0)</f>
        <v>257.16599999999994</v>
      </c>
      <c r="BF72" s="14">
        <f t="shared" si="91"/>
        <v>62.117898891884423</v>
      </c>
      <c r="BG72" s="22">
        <f t="shared" si="61"/>
        <v>556.08612390336521</v>
      </c>
      <c r="BH72" s="62">
        <f t="shared" si="62"/>
        <v>849.41945723669846</v>
      </c>
      <c r="BI72" s="62">
        <f ca="1">AVERAGE(OFFSET($BH$3,0,0,'Données projet'!$E$11+1,1))-AVERAGE(OFFSET($H$3,0,0,'Données projet'!$E$11+1,1))</f>
        <v>310.95287409903602</v>
      </c>
      <c r="BJ72" s="62">
        <f t="shared" si="92"/>
        <v>224.10083380795163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12.875</v>
      </c>
      <c r="N73" s="14">
        <f>IF('Données projet'!$A$36&gt;35,N72+M73-V72,IF(A73&lt;'Données projet'!$A$36,$K$205^A73,IF(A73='Données projet'!$A$36,'Données projet'!$B$36,N72+M73-V72)))</f>
        <v>469.50000000000006</v>
      </c>
      <c r="O73" s="14">
        <f>N73*VLOOKUP('Données projet'!$B$9,Paramètres!$A$1:$I$89,3,0)*VLOOKUP('Données projet'!$B$9,Paramètres!$A$1:$I$89,5,0)</f>
        <v>280.76100000000002</v>
      </c>
      <c r="P73" s="14">
        <f t="shared" si="87"/>
        <v>67.12780464438184</v>
      </c>
      <c r="Q73" s="22">
        <f t="shared" si="54"/>
        <v>605.90633475563175</v>
      </c>
      <c r="R73" s="62">
        <f t="shared" si="55"/>
        <v>899.23966808896512</v>
      </c>
      <c r="S73" s="62">
        <f ca="1">AVERAGE(OFFSET($R$3,0,0,'Données projet'!$E$9+1,1))-AVERAGE(OFFSET($H$3,0,0,'Données projet'!$E$9+1,1))</f>
        <v>287.69656598881124</v>
      </c>
      <c r="T73" s="62">
        <f t="shared" si="88"/>
        <v>221.9773436301067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1.9940205252872085</v>
      </c>
      <c r="AB73" s="23">
        <f>EXP(-LN(2)/2)*AB72+(1-EXP(-LN(2)/2))/(LN(2)/2)*V73*Y73*VLOOKUP('Données projet'!$B$9,Paramètres!$A$1:$I$89,3,0)*0.475*44/12</f>
        <v>1.3563248222680012E-5</v>
      </c>
      <c r="AC73" s="24">
        <f t="shared" si="57"/>
        <v>1.9940340885354313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-2.2737367544323206E-13</v>
      </c>
      <c r="AJ73" s="14">
        <f>AI73*VLOOKUP('Données projet'!$B$10,Paramètres!$A$1:$I$89,3,0)*VLOOKUP('Données projet'!$B$10,Paramètres!$A$1:$I$89,5,0)</f>
        <v>-1.2710188457276673E-13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382.55387448074327</v>
      </c>
      <c r="AO73" s="62">
        <f t="shared" si="90"/>
        <v>476.29465646955543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4.8928895687829703</v>
      </c>
      <c r="AV73" s="23">
        <f>EXP(-LN(2)/25)*AV72+(1-EXP(-LN(2)/25))/(LN(2)/25)*Calculateur!AQ73*Calculateur!AS73*VLOOKUP('Données projet'!$B$10,Paramètres!$A$1:$I$89,3,0)*0.475*44/12</f>
        <v>4.6909179849550853</v>
      </c>
      <c r="AW73" s="23">
        <f>EXP(-LN(2)/2)*AW72+(1-EXP(-LN(2)/2))/(LN(2)/2)*AQ73*AT73*VLOOKUP('Données projet'!$B$10,Paramètres!$A$1:$I$89,3,0)*0.475*44/12</f>
        <v>1.2659232769310307E-5</v>
      </c>
      <c r="AX73" s="23">
        <f t="shared" si="60"/>
        <v>9.5838202129708243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565</v>
      </c>
      <c r="BB73" s="13">
        <f>VLOOKUP(A73,'Données projet'!$A$87:$I$107,9,0)</f>
        <v>15.5</v>
      </c>
      <c r="BC73" s="13">
        <f t="array" ref="BC73">INDEX(BB:BB,MIN(IF(ISNUMBER(BB73:BB269),ROW(BB73:BB269),"")))</f>
        <v>15.5</v>
      </c>
      <c r="BD73" s="13">
        <f>IF('Données projet'!$A$88&gt;35,BD72+BC73-BL72,IF(A73&lt;'Données projet'!$A$88,$BA$205^A73,IF(A73='Données projet'!$A$88,'Données projet'!$B$88,BD72+BC73-BL72)))</f>
        <v>564.99999999999989</v>
      </c>
      <c r="BE73" s="14">
        <f>BD73*VLOOKUP('Données projet'!$B$11,Paramètres!$A$1:$I$89,3,0)*VLOOKUP('Données projet'!$B$11,Paramètres!$A$1:$I$89,5,0)</f>
        <v>264.41999999999996</v>
      </c>
      <c r="BF73" s="14">
        <f t="shared" si="91"/>
        <v>63.663617006208391</v>
      </c>
      <c r="BG73" s="22">
        <f t="shared" si="61"/>
        <v>571.41229961914621</v>
      </c>
      <c r="BH73" s="62">
        <f t="shared" si="62"/>
        <v>864.74563295247958</v>
      </c>
      <c r="BI73" s="62">
        <f ca="1">AVERAGE(OFFSET($BH$3,0,0,'Données projet'!$E$11+1,1))-AVERAGE(OFFSET($H$3,0,0,'Données projet'!$E$11+1,1))</f>
        <v>310.95287409903602</v>
      </c>
      <c r="BJ73" s="62">
        <f t="shared" si="92"/>
        <v>224.10083380795163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113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12.875</v>
      </c>
      <c r="N74" s="14">
        <f>IF('Données projet'!$A$36&gt;35,N73+M74-V73,IF(A74&lt;'Données projet'!$A$36,$K$205^A74,IF(A74='Données projet'!$A$36,'Données projet'!$B$36,N73+M74-V73)))</f>
        <v>482.37500000000006</v>
      </c>
      <c r="O74" s="14">
        <f>N74*VLOOKUP('Données projet'!$B$9,Paramètres!$A$1:$I$89,3,0)*VLOOKUP('Données projet'!$B$9,Paramètres!$A$1:$I$89,5,0)</f>
        <v>288.46025000000009</v>
      </c>
      <c r="P74" s="14">
        <f t="shared" si="87"/>
        <v>68.75179365327233</v>
      </c>
      <c r="Q74" s="22">
        <f t="shared" si="54"/>
        <v>622.14430936278279</v>
      </c>
      <c r="R74" s="62">
        <f t="shared" si="55"/>
        <v>915.47764269611616</v>
      </c>
      <c r="S74" s="62">
        <f ca="1">AVERAGE(OFFSET($R$3,0,0,'Données projet'!$E$9+1,1))-AVERAGE(OFFSET($H$3,0,0,'Données projet'!$E$9+1,1))</f>
        <v>287.69656598881124</v>
      </c>
      <c r="T74" s="62">
        <f t="shared" si="88"/>
        <v>221.9773436301067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1.9394939291622477</v>
      </c>
      <c r="AB74" s="23">
        <f>EXP(-LN(2)/2)*AB73+(1-EXP(-LN(2)/2))/(LN(2)/2)*V74*Y74*VLOOKUP('Données projet'!$B$9,Paramètres!$A$1:$I$89,3,0)*0.475*44/12</f>
        <v>9.5906647931734249E-6</v>
      </c>
      <c r="AC74" s="24">
        <f t="shared" si="57"/>
        <v>1.9395035198270409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-2.2737367544323206E-13</v>
      </c>
      <c r="AJ74" s="14">
        <f>AI74*VLOOKUP('Données projet'!$B$10,Paramètres!$A$1:$I$89,3,0)*VLOOKUP('Données projet'!$B$10,Paramètres!$A$1:$I$89,5,0)</f>
        <v>-1.2710188457276673E-13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382.55387448074327</v>
      </c>
      <c r="AO74" s="62">
        <f t="shared" si="90"/>
        <v>476.29465646955543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4.7969429887070918</v>
      </c>
      <c r="AV74" s="23">
        <f>EXP(-LN(2)/25)*AV73+(1-EXP(-LN(2)/25))/(LN(2)/25)*Calculateur!AQ74*Calculateur!AS74*VLOOKUP('Données projet'!$B$10,Paramètres!$A$1:$I$89,3,0)*0.475*44/12</f>
        <v>4.5626445859718325</v>
      </c>
      <c r="AW74" s="23">
        <f>EXP(-LN(2)/2)*AW73+(1-EXP(-LN(2)/2))/(LN(2)/2)*AQ74*AT74*VLOOKUP('Données projet'!$B$10,Paramètres!$A$1:$I$89,3,0)*0.475*44/12</f>
        <v>8.9514293357982749E-6</v>
      </c>
      <c r="AX74" s="23">
        <f t="shared" si="60"/>
        <v>9.3595965261082608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17</v>
      </c>
      <c r="BD74" s="13">
        <f>IF('Données projet'!$A$88&gt;35,BD73+BC74-BL73,IF(A74&lt;'Données projet'!$A$88,$BA$205^A74,IF(A74='Données projet'!$A$88,'Données projet'!$B$88,BD73+BC74-BL73)))</f>
        <v>468.99999999999989</v>
      </c>
      <c r="BE74" s="14">
        <f>BD74*VLOOKUP('Données projet'!$B$11,Paramètres!$A$1:$I$89,3,0)*VLOOKUP('Données projet'!$B$11,Paramètres!$A$1:$I$89,5,0)</f>
        <v>219.49199999999993</v>
      </c>
      <c r="BF74" s="14">
        <f t="shared" si="91"/>
        <v>54.004459579686618</v>
      </c>
      <c r="BG74" s="22">
        <f t="shared" si="61"/>
        <v>476.33966710128726</v>
      </c>
      <c r="BH74" s="62">
        <f t="shared" si="62"/>
        <v>769.67300043462058</v>
      </c>
      <c r="BI74" s="62">
        <f ca="1">AVERAGE(OFFSET($BH$3,0,0,'Données projet'!$E$11+1,1))-AVERAGE(OFFSET($H$3,0,0,'Données projet'!$E$11+1,1))</f>
        <v>310.95287409903602</v>
      </c>
      <c r="BJ74" s="62">
        <f t="shared" si="92"/>
        <v>224.10083380795163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12.875</v>
      </c>
      <c r="N75" s="14">
        <f>IF('Données projet'!$A$36&gt;35,N74+M75-V74,IF(A75&lt;'Données projet'!$A$36,$K$205^A75,IF(A75='Données projet'!$A$36,'Données projet'!$B$36,N74+M75-V74)))</f>
        <v>495.25000000000006</v>
      </c>
      <c r="O75" s="14">
        <f>N75*VLOOKUP('Données projet'!$B$9,Paramètres!$A$1:$I$89,3,0)*VLOOKUP('Données projet'!$B$9,Paramètres!$A$1:$I$89,5,0)</f>
        <v>296.15950000000004</v>
      </c>
      <c r="P75" s="14">
        <f t="shared" si="87"/>
        <v>70.370744425720076</v>
      </c>
      <c r="Q75" s="22">
        <f t="shared" si="54"/>
        <v>638.37350904146251</v>
      </c>
      <c r="R75" s="62">
        <f t="shared" si="55"/>
        <v>931.70684237479577</v>
      </c>
      <c r="S75" s="62">
        <f ca="1">AVERAGE(OFFSET($R$3,0,0,'Données projet'!$E$9+1,1))-AVERAGE(OFFSET($H$3,0,0,'Données projet'!$E$9+1,1))</f>
        <v>287.69656598881124</v>
      </c>
      <c r="T75" s="62">
        <f t="shared" si="88"/>
        <v>221.9773436301067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1.8864583656757532</v>
      </c>
      <c r="AB75" s="23">
        <f>EXP(-LN(2)/2)*AB74+(1-EXP(-LN(2)/2))/(LN(2)/2)*V75*Y75*VLOOKUP('Données projet'!$B$9,Paramètres!$A$1:$I$89,3,0)*0.475*44/12</f>
        <v>6.7816241113400061E-6</v>
      </c>
      <c r="AC75" s="24">
        <f t="shared" si="57"/>
        <v>1.8864651472998646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-2.2737367544323206E-13</v>
      </c>
      <c r="AJ75" s="14">
        <f>AI75*VLOOKUP('Données projet'!$B$10,Paramètres!$A$1:$I$89,3,0)*VLOOKUP('Données projet'!$B$10,Paramètres!$A$1:$I$89,5,0)</f>
        <v>-1.2710188457276673E-13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382.55387448074327</v>
      </c>
      <c r="AO75" s="62">
        <f t="shared" si="90"/>
        <v>476.29465646955543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4.7028778625448657</v>
      </c>
      <c r="AV75" s="23">
        <f>EXP(-LN(2)/25)*AV74+(1-EXP(-LN(2)/25))/(LN(2)/25)*Calculateur!AQ75*Calculateur!AS75*VLOOKUP('Données projet'!$B$10,Paramètres!$A$1:$I$89,3,0)*0.475*44/12</f>
        <v>4.4378788298293816</v>
      </c>
      <c r="AW75" s="23">
        <f>EXP(-LN(2)/2)*AW74+(1-EXP(-LN(2)/2))/(LN(2)/2)*AQ75*AT75*VLOOKUP('Données projet'!$B$10,Paramètres!$A$1:$I$89,3,0)*0.475*44/12</f>
        <v>6.3296163846551534E-6</v>
      </c>
      <c r="AX75" s="23">
        <f t="shared" si="60"/>
        <v>9.1407630219906313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17</v>
      </c>
      <c r="BD75" s="13">
        <f>IF('Données projet'!$A$88&gt;35,BD74+BC75-BL74,IF(A75&lt;'Données projet'!$A$88,$BA$205^A75,IF(A75='Données projet'!$A$88,'Données projet'!$B$88,BD74+BC75-BL74)))</f>
        <v>485.99999999999989</v>
      </c>
      <c r="BE75" s="14">
        <f>BD75*VLOOKUP('Données projet'!$B$11,Paramètres!$A$1:$I$89,3,0)*VLOOKUP('Données projet'!$B$11,Paramètres!$A$1:$I$89,5,0)</f>
        <v>227.44799999999995</v>
      </c>
      <c r="BF75" s="14">
        <f t="shared" si="91"/>
        <v>55.730521649800686</v>
      </c>
      <c r="BG75" s="22">
        <f t="shared" si="61"/>
        <v>493.20259187340275</v>
      </c>
      <c r="BH75" s="62">
        <f t="shared" si="62"/>
        <v>786.53592520673601</v>
      </c>
      <c r="BI75" s="62">
        <f ca="1">AVERAGE(OFFSET($BH$3,0,0,'Données projet'!$E$11+1,1))-AVERAGE(OFFSET($H$3,0,0,'Données projet'!$E$11+1,1))</f>
        <v>310.95287409903602</v>
      </c>
      <c r="BJ75" s="62">
        <f t="shared" si="92"/>
        <v>224.10083380795163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12.875</v>
      </c>
      <c r="N76" s="14">
        <f>IF('Données projet'!$A$36&gt;35,N75+M76-V75,IF(A76&lt;'Données projet'!$A$36,$K$205^A76,IF(A76='Données projet'!$A$36,'Données projet'!$B$36,N75+M76-V75)))</f>
        <v>508.12500000000006</v>
      </c>
      <c r="O76" s="14">
        <f>N76*VLOOKUP('Données projet'!$B$9,Paramètres!$A$1:$I$89,3,0)*VLOOKUP('Données projet'!$B$9,Paramètres!$A$1:$I$89,5,0)</f>
        <v>303.85875000000004</v>
      </c>
      <c r="P76" s="14">
        <f t="shared" si="87"/>
        <v>71.984802998830631</v>
      </c>
      <c r="Q76" s="22">
        <f t="shared" si="54"/>
        <v>654.59418813963009</v>
      </c>
      <c r="R76" s="62">
        <f t="shared" si="55"/>
        <v>947.92752147296346</v>
      </c>
      <c r="S76" s="62">
        <f ca="1">AVERAGE(OFFSET($R$3,0,0,'Données projet'!$E$9+1,1))-AVERAGE(OFFSET($H$3,0,0,'Données projet'!$E$9+1,1))</f>
        <v>287.69656598881124</v>
      </c>
      <c r="T76" s="62">
        <f t="shared" si="88"/>
        <v>221.9773436301067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1.8348730624618159</v>
      </c>
      <c r="AB76" s="23">
        <f>EXP(-LN(2)/2)*AB75+(1-EXP(-LN(2)/2))/(LN(2)/2)*V76*Y76*VLOOKUP('Données projet'!$B$9,Paramètres!$A$1:$I$89,3,0)*0.475*44/12</f>
        <v>4.7953323965867125E-6</v>
      </c>
      <c r="AC76" s="24">
        <f t="shared" si="57"/>
        <v>1.8348778577942124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-2.2737367544323206E-13</v>
      </c>
      <c r="AJ76" s="14">
        <f>AI76*VLOOKUP('Données projet'!$B$10,Paramètres!$A$1:$I$89,3,0)*VLOOKUP('Données projet'!$B$10,Paramètres!$A$1:$I$89,5,0)</f>
        <v>-1.2710188457276673E-13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382.55387448074327</v>
      </c>
      <c r="AO76" s="62">
        <f t="shared" si="90"/>
        <v>476.29465646955543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4.6106572961326187</v>
      </c>
      <c r="AV76" s="23">
        <f>EXP(-LN(2)/25)*AV75+(1-EXP(-LN(2)/25))/(LN(2)/25)*Calculateur!AQ76*Calculateur!AS76*VLOOKUP('Données projet'!$B$10,Paramètres!$A$1:$I$89,3,0)*0.475*44/12</f>
        <v>4.3165247998497929</v>
      </c>
      <c r="AW76" s="23">
        <f>EXP(-LN(2)/2)*AW75+(1-EXP(-LN(2)/2))/(LN(2)/2)*AQ76*AT76*VLOOKUP('Données projet'!$B$10,Paramètres!$A$1:$I$89,3,0)*0.475*44/12</f>
        <v>4.4757146678991375E-6</v>
      </c>
      <c r="AX76" s="23">
        <f t="shared" si="60"/>
        <v>8.9271865716970797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17</v>
      </c>
      <c r="BD76" s="13">
        <f>IF('Données projet'!$A$88&gt;35,BD75+BC76-BL75,IF(A76&lt;'Données projet'!$A$88,$BA$205^A76,IF(A76='Données projet'!$A$88,'Données projet'!$B$88,BD75+BC76-BL75)))</f>
        <v>502.99999999999989</v>
      </c>
      <c r="BE76" s="14">
        <f>BD76*VLOOKUP('Données projet'!$B$11,Paramètres!$A$1:$I$89,3,0)*VLOOKUP('Données projet'!$B$11,Paramètres!$A$1:$I$89,5,0)</f>
        <v>235.40399999999994</v>
      </c>
      <c r="BF76" s="14">
        <f t="shared" si="91"/>
        <v>57.449568653781753</v>
      </c>
      <c r="BG76" s="22">
        <f t="shared" si="61"/>
        <v>510.05329873866975</v>
      </c>
      <c r="BH76" s="62">
        <f t="shared" si="62"/>
        <v>803.38663207200307</v>
      </c>
      <c r="BI76" s="62">
        <f ca="1">AVERAGE(OFFSET($BH$3,0,0,'Données projet'!$E$11+1,1))-AVERAGE(OFFSET($H$3,0,0,'Données projet'!$E$11+1,1))</f>
        <v>310.95287409903602</v>
      </c>
      <c r="BJ76" s="62">
        <f t="shared" si="92"/>
        <v>224.10083380795163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>
        <f>VLOOKUP(A77,'Données projet'!$A$35:$I$55,2,0)</f>
        <v>521</v>
      </c>
      <c r="L77" s="13">
        <f>VLOOKUP(A77,'Données projet'!$A$35:$I$55,9,0)</f>
        <v>12.875</v>
      </c>
      <c r="M77" s="13">
        <f t="array" ref="M77">INDEX(L:L,MIN(IF(ISNUMBER(L77:L273),ROW(L77:L273),"")))</f>
        <v>12.875</v>
      </c>
      <c r="N77" s="14">
        <f>IF('Données projet'!$A$36&gt;35,N76+M77-V76,IF(A77&lt;'Données projet'!$A$36,$K$205^A77,IF(A77='Données projet'!$A$36,'Données projet'!$B$36,N76+M77-V76)))</f>
        <v>521</v>
      </c>
      <c r="O77" s="14">
        <f>N77*VLOOKUP('Données projet'!$B$9,Paramètres!$A$1:$I$89,3,0)*VLOOKUP('Données projet'!$B$9,Paramètres!$A$1:$I$89,5,0)</f>
        <v>311.55799999999999</v>
      </c>
      <c r="P77" s="14">
        <f t="shared" si="87"/>
        <v>73.594107587354372</v>
      </c>
      <c r="Q77" s="22">
        <f t="shared" si="54"/>
        <v>670.80658738130876</v>
      </c>
      <c r="R77" s="62">
        <f t="shared" si="55"/>
        <v>964.13992071464213</v>
      </c>
      <c r="S77" s="62">
        <f ca="1">AVERAGE(OFFSET($R$3,0,0,'Données projet'!$E$9+1,1))-AVERAGE(OFFSET($H$3,0,0,'Données projet'!$E$9+1,1))</f>
        <v>287.69656598881124</v>
      </c>
      <c r="T77" s="62">
        <f t="shared" si="88"/>
        <v>221.9773436301067</v>
      </c>
      <c r="U77" s="16">
        <f>IF(ISNA(VLOOKUP(A77,'Données projet'!$A$35:$I$55,3,0)),0,VLOOKUP(A77,'Données projet'!$A$35:$I$55,3,0))</f>
        <v>10</v>
      </c>
      <c r="V77" s="16">
        <f>IF(ISNA(VLOOKUP(A77,'Données projet'!$A$35:$I$55,4,0)),0,VLOOKUP(A77,'Données projet'!$A$35:$I$55,4,0))</f>
        <v>37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1.7846983620770169</v>
      </c>
      <c r="AB77" s="23">
        <f>EXP(-LN(2)/2)*AB76+(1-EXP(-LN(2)/2))/(LN(2)/2)*V77*Y77*VLOOKUP('Données projet'!$B$9,Paramètres!$A$1:$I$89,3,0)*0.475*44/12</f>
        <v>3.3908120556700031E-6</v>
      </c>
      <c r="AC77" s="24">
        <f t="shared" si="57"/>
        <v>1.7847017528890725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-2.2737367544323206E-13</v>
      </c>
      <c r="AJ77" s="14">
        <f>AI77*VLOOKUP('Données projet'!$B$10,Paramètres!$A$1:$I$89,3,0)*VLOOKUP('Données projet'!$B$10,Paramètres!$A$1:$I$89,5,0)</f>
        <v>-1.2710188457276673E-13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382.55387448074327</v>
      </c>
      <c r="AO77" s="62">
        <f t="shared" si="90"/>
        <v>476.29465646955543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4.5202451187787247</v>
      </c>
      <c r="AV77" s="23">
        <f>EXP(-LN(2)/25)*AV76+(1-EXP(-LN(2)/25))/(LN(2)/25)*Calculateur!AQ77*Calculateur!AS77*VLOOKUP('Données projet'!$B$10,Paramètres!$A$1:$I$89,3,0)*0.475*44/12</f>
        <v>4.1984892022017268</v>
      </c>
      <c r="AW77" s="23">
        <f>EXP(-LN(2)/2)*AW76+(1-EXP(-LN(2)/2))/(LN(2)/2)*AQ77*AT77*VLOOKUP('Données projet'!$B$10,Paramètres!$A$1:$I$89,3,0)*0.475*44/12</f>
        <v>3.1648081923275767E-6</v>
      </c>
      <c r="AX77" s="23">
        <f t="shared" si="60"/>
        <v>8.7187374857886439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17</v>
      </c>
      <c r="BD77" s="13">
        <f>IF('Données projet'!$A$88&gt;35,BD76+BC77-BL76,IF(A77&lt;'Données projet'!$A$88,$BA$205^A77,IF(A77='Données projet'!$A$88,'Données projet'!$B$88,BD76+BC77-BL76)))</f>
        <v>519.99999999999989</v>
      </c>
      <c r="BE77" s="14">
        <f>BD77*VLOOKUP('Données projet'!$B$11,Paramètres!$A$1:$I$89,3,0)*VLOOKUP('Données projet'!$B$11,Paramètres!$A$1:$I$89,5,0)</f>
        <v>243.35999999999996</v>
      </c>
      <c r="BF77" s="14">
        <f t="shared" si="91"/>
        <v>59.161864860837127</v>
      </c>
      <c r="BG77" s="22">
        <f t="shared" si="61"/>
        <v>526.89224796595784</v>
      </c>
      <c r="BH77" s="62">
        <f t="shared" si="62"/>
        <v>820.22558129929121</v>
      </c>
      <c r="BI77" s="62">
        <f ca="1">AVERAGE(OFFSET($BH$3,0,0,'Données projet'!$E$11+1,1))-AVERAGE(OFFSET($H$3,0,0,'Données projet'!$E$11+1,1))</f>
        <v>310.95287409903602</v>
      </c>
      <c r="BJ77" s="62">
        <f t="shared" si="92"/>
        <v>224.10083380795163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8.875</v>
      </c>
      <c r="N78" s="14">
        <f>IF('Données projet'!$A$36&gt;35,N77+M78-V77,IF(A78&lt;'Données projet'!$A$36,$K$205^A78,IF(A78='Données projet'!$A$36,'Données projet'!$B$36,N77+M78-V77)))</f>
        <v>492.875</v>
      </c>
      <c r="O78" s="14">
        <f>N78*VLOOKUP('Données projet'!$B$9,Paramètres!$A$1:$I$89,3,0)*VLOOKUP('Données projet'!$B$9,Paramètres!$A$1:$I$89,5,0)</f>
        <v>294.73925000000003</v>
      </c>
      <c r="P78" s="14">
        <f t="shared" si="87"/>
        <v>70.072475236035828</v>
      </c>
      <c r="Q78" s="22">
        <f t="shared" si="54"/>
        <v>635.38042145276233</v>
      </c>
      <c r="R78" s="62">
        <f t="shared" si="55"/>
        <v>928.71375478609571</v>
      </c>
      <c r="S78" s="62">
        <f ca="1">AVERAGE(OFFSET($R$3,0,0,'Données projet'!$E$9+1,1))-AVERAGE(OFFSET($H$3,0,0,'Données projet'!$E$9+1,1))</f>
        <v>287.69656598881124</v>
      </c>
      <c r="T78" s="62">
        <f t="shared" si="88"/>
        <v>221.9773436301067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1.735895691512813</v>
      </c>
      <c r="AB78" s="23">
        <f>EXP(-LN(2)/2)*AB77+(1-EXP(-LN(2)/2))/(LN(2)/2)*V78*Y78*VLOOKUP('Données projet'!$B$9,Paramètres!$A$1:$I$89,3,0)*0.475*44/12</f>
        <v>2.3976661982933562E-6</v>
      </c>
      <c r="AC78" s="24">
        <f t="shared" si="57"/>
        <v>1.7358980891790112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-2.2737367544323206E-13</v>
      </c>
      <c r="AJ78" s="14">
        <f>AI78*VLOOKUP('Données projet'!$B$10,Paramètres!$A$1:$I$89,3,0)*VLOOKUP('Données projet'!$B$10,Paramètres!$A$1:$I$89,5,0)</f>
        <v>-1.2710188457276673E-13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382.55387448074327</v>
      </c>
      <c r="AO78" s="62">
        <f t="shared" si="90"/>
        <v>476.29465646955543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4.4316058690767575</v>
      </c>
      <c r="AV78" s="23">
        <f>EXP(-LN(2)/25)*AV77+(1-EXP(-LN(2)/25))/(LN(2)/25)*Calculateur!AQ78*Calculateur!AS78*VLOOKUP('Données projet'!$B$10,Paramètres!$A$1:$I$89,3,0)*0.475*44/12</f>
        <v>4.083681294178569</v>
      </c>
      <c r="AW78" s="23">
        <f>EXP(-LN(2)/2)*AW77+(1-EXP(-LN(2)/2))/(LN(2)/2)*AQ78*AT78*VLOOKUP('Données projet'!$B$10,Paramètres!$A$1:$I$89,3,0)*0.475*44/12</f>
        <v>2.2378573339495687E-6</v>
      </c>
      <c r="AX78" s="23">
        <f t="shared" si="60"/>
        <v>8.5152894011126605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17</v>
      </c>
      <c r="BD78" s="13">
        <f>IF('Données projet'!$A$88&gt;35,BD77+BC78-BL77,IF(A78&lt;'Données projet'!$A$88,$BA$205^A78,IF(A78='Données projet'!$A$88,'Données projet'!$B$88,BD77+BC78-BL77)))</f>
        <v>536.99999999999989</v>
      </c>
      <c r="BE78" s="14">
        <f>BD78*VLOOKUP('Données projet'!$B$11,Paramètres!$A$1:$I$89,3,0)*VLOOKUP('Données projet'!$B$11,Paramètres!$A$1:$I$89,5,0)</f>
        <v>251.31599999999997</v>
      </c>
      <c r="BF78" s="14">
        <f t="shared" si="91"/>
        <v>60.86765628024984</v>
      </c>
      <c r="BG78" s="22">
        <f t="shared" si="61"/>
        <v>543.71986802143499</v>
      </c>
      <c r="BH78" s="62">
        <f t="shared" si="62"/>
        <v>837.05320135476836</v>
      </c>
      <c r="BI78" s="62">
        <f ca="1">AVERAGE(OFFSET($BH$3,0,0,'Données projet'!$E$11+1,1))-AVERAGE(OFFSET($H$3,0,0,'Données projet'!$E$11+1,1))</f>
        <v>310.95287409903602</v>
      </c>
      <c r="BJ78" s="62">
        <f t="shared" si="92"/>
        <v>224.10083380795163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8.875</v>
      </c>
      <c r="N79" s="14">
        <f>IF('Données projet'!$A$36&gt;35,N78+M79-V78,IF(A79&lt;'Données projet'!$A$36,$K$205^A79,IF(A79='Données projet'!$A$36,'Données projet'!$B$36,N78+M79-V78)))</f>
        <v>501.75</v>
      </c>
      <c r="O79" s="14">
        <f>N79*VLOOKUP('Données projet'!$B$9,Paramètres!$A$1:$I$89,3,0)*VLOOKUP('Données projet'!$B$9,Paramètres!$A$1:$I$89,5,0)</f>
        <v>300.04650000000004</v>
      </c>
      <c r="P79" s="14">
        <f t="shared" si="87"/>
        <v>71.186211573839699</v>
      </c>
      <c r="Q79" s="22">
        <f t="shared" si="54"/>
        <v>646.56363932443753</v>
      </c>
      <c r="R79" s="62">
        <f t="shared" si="55"/>
        <v>939.8969726577709</v>
      </c>
      <c r="S79" s="62">
        <f ca="1">AVERAGE(OFFSET($R$3,0,0,'Données projet'!$E$9+1,1))-AVERAGE(OFFSET($H$3,0,0,'Données projet'!$E$9+1,1))</f>
        <v>287.69656598881124</v>
      </c>
      <c r="T79" s="62">
        <f t="shared" si="88"/>
        <v>221.9773436301067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1.688427532541608</v>
      </c>
      <c r="AB79" s="23">
        <f>EXP(-LN(2)/2)*AB78+(1-EXP(-LN(2)/2))/(LN(2)/2)*V79*Y79*VLOOKUP('Données projet'!$B$9,Paramètres!$A$1:$I$89,3,0)*0.475*44/12</f>
        <v>1.6954060278350015E-6</v>
      </c>
      <c r="AC79" s="24">
        <f t="shared" si="57"/>
        <v>1.6884292279476358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-2.2737367544323206E-13</v>
      </c>
      <c r="AJ79" s="14">
        <f>AI79*VLOOKUP('Données projet'!$B$10,Paramètres!$A$1:$I$89,3,0)*VLOOKUP('Données projet'!$B$10,Paramètres!$A$1:$I$89,5,0)</f>
        <v>-1.2710188457276673E-13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382.55387448074327</v>
      </c>
      <c r="AO79" s="62">
        <f t="shared" si="90"/>
        <v>476.29465646955543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4.3447047809968424</v>
      </c>
      <c r="AV79" s="23">
        <f>EXP(-LN(2)/25)*AV78+(1-EXP(-LN(2)/25))/(LN(2)/25)*Calculateur!AQ79*Calculateur!AS79*VLOOKUP('Données projet'!$B$10,Paramètres!$A$1:$I$89,3,0)*0.475*44/12</f>
        <v>3.97201281443779</v>
      </c>
      <c r="AW79" s="23">
        <f>EXP(-LN(2)/2)*AW78+(1-EXP(-LN(2)/2))/(LN(2)/2)*AQ79*AT79*VLOOKUP('Données projet'!$B$10,Paramètres!$A$1:$I$89,3,0)*0.475*44/12</f>
        <v>1.5824040961637883E-6</v>
      </c>
      <c r="AX79" s="23">
        <f t="shared" si="60"/>
        <v>8.3167191778387277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17</v>
      </c>
      <c r="BD79" s="13">
        <f>IF('Données projet'!$A$88&gt;35,BD78+BC79-BL78,IF(A79&lt;'Données projet'!$A$88,$BA$205^A79,IF(A79='Données projet'!$A$88,'Données projet'!$B$88,BD78+BC79-BL78)))</f>
        <v>553.99999999999989</v>
      </c>
      <c r="BE79" s="14">
        <f>BD79*VLOOKUP('Données projet'!$B$11,Paramètres!$A$1:$I$89,3,0)*VLOOKUP('Données projet'!$B$11,Paramètres!$A$1:$I$89,5,0)</f>
        <v>259.27199999999993</v>
      </c>
      <c r="BF79" s="14">
        <f t="shared" si="91"/>
        <v>62.567172460757938</v>
      </c>
      <c r="BG79" s="22">
        <f t="shared" si="61"/>
        <v>560.53655870248667</v>
      </c>
      <c r="BH79" s="62">
        <f t="shared" si="62"/>
        <v>853.86989203581993</v>
      </c>
      <c r="BI79" s="62">
        <f ca="1">AVERAGE(OFFSET($BH$3,0,0,'Données projet'!$E$11+1,1))-AVERAGE(OFFSET($H$3,0,0,'Données projet'!$E$11+1,1))</f>
        <v>310.95287409903602</v>
      </c>
      <c r="BJ79" s="62">
        <f t="shared" si="92"/>
        <v>224.10083380795163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8.875</v>
      </c>
      <c r="N80" s="14">
        <f>IF('Données projet'!$A$36&gt;35,N79+M80-V79,IF(A80&lt;'Données projet'!$A$36,$K$205^A80,IF(A80='Données projet'!$A$36,'Données projet'!$B$36,N79+M80-V79)))</f>
        <v>510.625</v>
      </c>
      <c r="O80" s="14">
        <f>N80*VLOOKUP('Données projet'!$B$9,Paramètres!$A$1:$I$89,3,0)*VLOOKUP('Données projet'!$B$9,Paramètres!$A$1:$I$89,5,0)</f>
        <v>305.35375000000005</v>
      </c>
      <c r="P80" s="14">
        <f t="shared" si="87"/>
        <v>72.297657079406008</v>
      </c>
      <c r="Q80" s="22">
        <f t="shared" si="54"/>
        <v>657.74286732996552</v>
      </c>
      <c r="R80" s="62">
        <f t="shared" si="55"/>
        <v>951.07620066329878</v>
      </c>
      <c r="S80" s="62">
        <f ca="1">AVERAGE(OFFSET($R$3,0,0,'Données projet'!$E$9+1,1))-AVERAGE(OFFSET($H$3,0,0,'Données projet'!$E$9+1,1))</f>
        <v>287.69656598881124</v>
      </c>
      <c r="T80" s="62">
        <f t="shared" si="88"/>
        <v>221.9773436301067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1.6422573928737128</v>
      </c>
      <c r="AB80" s="23">
        <f>EXP(-LN(2)/2)*AB79+(1-EXP(-LN(2)/2))/(LN(2)/2)*V80*Y80*VLOOKUP('Données projet'!$B$9,Paramètres!$A$1:$I$89,3,0)*0.475*44/12</f>
        <v>1.1988330991466781E-6</v>
      </c>
      <c r="AC80" s="24">
        <f t="shared" si="57"/>
        <v>1.642258591706812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-2.2737367544323206E-13</v>
      </c>
      <c r="AJ80" s="14">
        <f>AI80*VLOOKUP('Données projet'!$B$10,Paramètres!$A$1:$I$89,3,0)*VLOOKUP('Données projet'!$B$10,Paramètres!$A$1:$I$89,5,0)</f>
        <v>-1.2710188457276673E-13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382.55387448074327</v>
      </c>
      <c r="AO80" s="62">
        <f t="shared" si="90"/>
        <v>476.29465646955543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4.2595077702497441</v>
      </c>
      <c r="AV80" s="23">
        <f>EXP(-LN(2)/25)*AV79+(1-EXP(-LN(2)/25))/(LN(2)/25)*Calculateur!AQ80*Calculateur!AS80*VLOOKUP('Données projet'!$B$10,Paramètres!$A$1:$I$89,3,0)*0.475*44/12</f>
        <v>3.863397915147913</v>
      </c>
      <c r="AW80" s="23">
        <f>EXP(-LN(2)/2)*AW79+(1-EXP(-LN(2)/2))/(LN(2)/2)*AQ80*AT80*VLOOKUP('Données projet'!$B$10,Paramètres!$A$1:$I$89,3,0)*0.475*44/12</f>
        <v>1.1189286669747844E-6</v>
      </c>
      <c r="AX80" s="23">
        <f t="shared" si="60"/>
        <v>8.1229068043263251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17</v>
      </c>
      <c r="BD80" s="13">
        <f>IF('Données projet'!$A$88&gt;35,BD79+BC80-BL79,IF(A80&lt;'Données projet'!$A$88,$BA$205^A80,IF(A80='Données projet'!$A$88,'Données projet'!$B$88,BD79+BC80-BL79)))</f>
        <v>570.99999999999989</v>
      </c>
      <c r="BE80" s="14">
        <f>BD80*VLOOKUP('Données projet'!$B$11,Paramètres!$A$1:$I$89,3,0)*VLOOKUP('Données projet'!$B$11,Paramètres!$A$1:$I$89,5,0)</f>
        <v>267.22799999999995</v>
      </c>
      <c r="BF80" s="14">
        <f t="shared" si="91"/>
        <v>64.260628062866161</v>
      </c>
      <c r="BG80" s="22">
        <f t="shared" si="61"/>
        <v>577.34269387615848</v>
      </c>
      <c r="BH80" s="62">
        <f t="shared" si="62"/>
        <v>870.67602720949185</v>
      </c>
      <c r="BI80" s="62">
        <f ca="1">AVERAGE(OFFSET($BH$3,0,0,'Données projet'!$E$11+1,1))-AVERAGE(OFFSET($H$3,0,0,'Données projet'!$E$11+1,1))</f>
        <v>310.95287409903602</v>
      </c>
      <c r="BJ80" s="62">
        <f t="shared" si="92"/>
        <v>224.10083380795163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8.875</v>
      </c>
      <c r="N81" s="14">
        <f>IF('Données projet'!$A$36&gt;35,N80+M81-V80,IF(A81&lt;'Données projet'!$A$36,$K$205^A81,IF(A81='Données projet'!$A$36,'Données projet'!$B$36,N80+M81-V80)))</f>
        <v>519.5</v>
      </c>
      <c r="O81" s="14">
        <f>N81*VLOOKUP('Données projet'!$B$9,Paramètres!$A$1:$I$89,3,0)*VLOOKUP('Données projet'!$B$9,Paramètres!$A$1:$I$89,5,0)</f>
        <v>310.661</v>
      </c>
      <c r="P81" s="14">
        <f t="shared" si="87"/>
        <v>73.406856163089444</v>
      </c>
      <c r="Q81" s="22">
        <f t="shared" si="54"/>
        <v>668.91818281738085</v>
      </c>
      <c r="R81" s="62">
        <f t="shared" si="55"/>
        <v>962.25151615071422</v>
      </c>
      <c r="S81" s="62">
        <f ca="1">AVERAGE(OFFSET($R$3,0,0,'Données projet'!$E$9+1,1))-AVERAGE(OFFSET($H$3,0,0,'Données projet'!$E$9+1,1))</f>
        <v>287.69656598881124</v>
      </c>
      <c r="T81" s="62">
        <f t="shared" si="88"/>
        <v>221.9773436301067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1.5973497781030181</v>
      </c>
      <c r="AB81" s="23">
        <f>EXP(-LN(2)/2)*AB80+(1-EXP(-LN(2)/2))/(LN(2)/2)*V81*Y81*VLOOKUP('Données projet'!$B$9,Paramètres!$A$1:$I$89,3,0)*0.475*44/12</f>
        <v>8.4770301391750077E-7</v>
      </c>
      <c r="AC81" s="24">
        <f t="shared" si="57"/>
        <v>1.5973506258060322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-2.2737367544323206E-13</v>
      </c>
      <c r="AJ81" s="14">
        <f>AI81*VLOOKUP('Données projet'!$B$10,Paramètres!$A$1:$I$89,3,0)*VLOOKUP('Données projet'!$B$10,Paramètres!$A$1:$I$89,5,0)</f>
        <v>-1.2710188457276673E-13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382.55387448074327</v>
      </c>
      <c r="AO81" s="62">
        <f t="shared" si="90"/>
        <v>476.29465646955543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4.175981420918351</v>
      </c>
      <c r="AV81" s="23">
        <f>EXP(-LN(2)/25)*AV80+(1-EXP(-LN(2)/25))/(LN(2)/25)*Calculateur!AQ81*Calculateur!AS81*VLOOKUP('Données projet'!$B$10,Paramètres!$A$1:$I$89,3,0)*0.475*44/12</f>
        <v>3.7577530959909269</v>
      </c>
      <c r="AW81" s="23">
        <f>EXP(-LN(2)/2)*AW80+(1-EXP(-LN(2)/2))/(LN(2)/2)*AQ81*AT81*VLOOKUP('Données projet'!$B$10,Paramètres!$A$1:$I$89,3,0)*0.475*44/12</f>
        <v>7.9120204808189417E-7</v>
      </c>
      <c r="AX81" s="23">
        <f t="shared" si="60"/>
        <v>7.9337353081113253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17</v>
      </c>
      <c r="BD81" s="13">
        <f>IF('Données projet'!$A$88&gt;35,BD80+BC81-BL80,IF(A81&lt;'Données projet'!$A$88,$BA$205^A81,IF(A81='Données projet'!$A$88,'Données projet'!$B$88,BD80+BC81-BL80)))</f>
        <v>587.99999999999989</v>
      </c>
      <c r="BE81" s="14">
        <f>BD81*VLOOKUP('Données projet'!$B$11,Paramètres!$A$1:$I$89,3,0)*VLOOKUP('Données projet'!$B$11,Paramètres!$A$1:$I$89,5,0)</f>
        <v>275.18399999999997</v>
      </c>
      <c r="BF81" s="14">
        <f t="shared" si="91"/>
        <v>65.948224238651079</v>
      </c>
      <c r="BG81" s="22">
        <f t="shared" si="61"/>
        <v>594.13862388231712</v>
      </c>
      <c r="BH81" s="62">
        <f t="shared" si="62"/>
        <v>887.47195721565049</v>
      </c>
      <c r="BI81" s="62">
        <f ca="1">AVERAGE(OFFSET($BH$3,0,0,'Données projet'!$E$11+1,1))-AVERAGE(OFFSET($H$3,0,0,'Données projet'!$E$11+1,1))</f>
        <v>310.95287409903602</v>
      </c>
      <c r="BJ81" s="62">
        <f t="shared" si="92"/>
        <v>224.10083380795163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8.875</v>
      </c>
      <c r="N82" s="14">
        <f>IF('Données projet'!$A$36&gt;35,N81+M82-V81,IF(A82&lt;'Données projet'!$A$36,$K$205^A82,IF(A82='Données projet'!$A$36,'Données projet'!$B$36,N81+M82-V81)))</f>
        <v>528.375</v>
      </c>
      <c r="O82" s="14">
        <f>N82*VLOOKUP('Données projet'!$B$9,Paramètres!$A$1:$I$89,3,0)*VLOOKUP('Données projet'!$B$9,Paramètres!$A$1:$I$89,5,0)</f>
        <v>315.96825000000001</v>
      </c>
      <c r="P82" s="14">
        <f t="shared" si="87"/>
        <v>74.513851630905478</v>
      </c>
      <c r="Q82" s="22">
        <f t="shared" si="54"/>
        <v>680.08966034049365</v>
      </c>
      <c r="R82" s="62">
        <f t="shared" si="55"/>
        <v>973.42299367382702</v>
      </c>
      <c r="S82" s="62">
        <f ca="1">AVERAGE(OFFSET($R$3,0,0,'Données projet'!$E$9+1,1))-AVERAGE(OFFSET($H$3,0,0,'Données projet'!$E$9+1,1))</f>
        <v>287.69656598881124</v>
      </c>
      <c r="T82" s="62">
        <f t="shared" si="88"/>
        <v>221.9773436301067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1.553670164419817</v>
      </c>
      <c r="AB82" s="23">
        <f>EXP(-LN(2)/2)*AB81+(1-EXP(-LN(2)/2))/(LN(2)/2)*V82*Y82*VLOOKUP('Données projet'!$B$9,Paramètres!$A$1:$I$89,3,0)*0.475*44/12</f>
        <v>5.9941654957333906E-7</v>
      </c>
      <c r="AC82" s="24">
        <f t="shared" si="57"/>
        <v>1.5536707638363665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-2.2737367544323206E-13</v>
      </c>
      <c r="AJ82" s="14">
        <f>AI82*VLOOKUP('Données projet'!$B$10,Paramètres!$A$1:$I$89,3,0)*VLOOKUP('Données projet'!$B$10,Paramètres!$A$1:$I$89,5,0)</f>
        <v>-1.2710188457276673E-13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382.55387448074327</v>
      </c>
      <c r="AO82" s="62">
        <f t="shared" si="90"/>
        <v>476.29465646955543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4.0940929723513042</v>
      </c>
      <c r="AV82" s="23">
        <f>EXP(-LN(2)/25)*AV81+(1-EXP(-LN(2)/25))/(LN(2)/25)*Calculateur!AQ82*Calculateur!AS82*VLOOKUP('Données projet'!$B$10,Paramètres!$A$1:$I$89,3,0)*0.475*44/12</f>
        <v>3.6549971399694083</v>
      </c>
      <c r="AW82" s="23">
        <f>EXP(-LN(2)/2)*AW81+(1-EXP(-LN(2)/2))/(LN(2)/2)*AQ82*AT82*VLOOKUP('Données projet'!$B$10,Paramètres!$A$1:$I$89,3,0)*0.475*44/12</f>
        <v>5.5946433348739218E-7</v>
      </c>
      <c r="AX82" s="23">
        <f t="shared" si="60"/>
        <v>7.7490906717850461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17</v>
      </c>
      <c r="BD82" s="13">
        <f>IF('Données projet'!$A$88&gt;35,BD81+BC82-BL81,IF(A82&lt;'Données projet'!$A$88,$BA$205^A82,IF(A82='Données projet'!$A$88,'Données projet'!$B$88,BD81+BC82-BL81)))</f>
        <v>604.99999999999989</v>
      </c>
      <c r="BE82" s="14">
        <f>BD82*VLOOKUP('Données projet'!$B$11,Paramètres!$A$1:$I$89,3,0)*VLOOKUP('Données projet'!$B$11,Paramètres!$A$1:$I$89,5,0)</f>
        <v>283.13999999999993</v>
      </c>
      <c r="BF82" s="14">
        <f t="shared" si="91"/>
        <v>67.630149847511944</v>
      </c>
      <c r="BG82" s="22">
        <f t="shared" si="61"/>
        <v>610.92467765108313</v>
      </c>
      <c r="BH82" s="62">
        <f t="shared" si="62"/>
        <v>904.25801098441639</v>
      </c>
      <c r="BI82" s="62">
        <f ca="1">AVERAGE(OFFSET($BH$3,0,0,'Données projet'!$E$11+1,1))-AVERAGE(OFFSET($H$3,0,0,'Données projet'!$E$11+1,1))</f>
        <v>310.95287409903602</v>
      </c>
      <c r="BJ82" s="62">
        <f t="shared" si="92"/>
        <v>224.10083380795163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8.875</v>
      </c>
      <c r="N83" s="14">
        <f>IF('Données projet'!$A$36&gt;35,N82+M83-V82,IF(A83&lt;'Données projet'!$A$36,$K$205^A83,IF(A83='Données projet'!$A$36,'Données projet'!$B$36,N82+M83-V82)))</f>
        <v>537.25</v>
      </c>
      <c r="O83" s="14">
        <f>N83*VLOOKUP('Données projet'!$B$9,Paramètres!$A$1:$I$89,3,0)*VLOOKUP('Données projet'!$B$9,Paramètres!$A$1:$I$89,5,0)</f>
        <v>321.27550000000002</v>
      </c>
      <c r="P83" s="14">
        <f t="shared" si="87"/>
        <v>75.618684768443416</v>
      </c>
      <c r="Q83" s="22">
        <f t="shared" si="54"/>
        <v>691.25737180503893</v>
      </c>
      <c r="R83" s="62">
        <f t="shared" si="55"/>
        <v>984.59070513837219</v>
      </c>
      <c r="S83" s="62">
        <f ca="1">AVERAGE(OFFSET($R$3,0,0,'Données projet'!$E$9+1,1))-AVERAGE(OFFSET($H$3,0,0,'Données projet'!$E$9+1,1))</f>
        <v>287.69656598881124</v>
      </c>
      <c r="T83" s="62">
        <f t="shared" si="88"/>
        <v>221.9773436301067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1.5111849720697941</v>
      </c>
      <c r="AB83" s="23">
        <f>EXP(-LN(2)/2)*AB82+(1-EXP(-LN(2)/2))/(LN(2)/2)*V83*Y83*VLOOKUP('Données projet'!$B$9,Paramètres!$A$1:$I$89,3,0)*0.475*44/12</f>
        <v>4.2385150695875038E-7</v>
      </c>
      <c r="AC83" s="24">
        <f t="shared" si="57"/>
        <v>1.5111853959213011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-2.2737367544323206E-13</v>
      </c>
      <c r="AJ83" s="14">
        <f>AI83*VLOOKUP('Données projet'!$B$10,Paramètres!$A$1:$I$89,3,0)*VLOOKUP('Données projet'!$B$10,Paramètres!$A$1:$I$89,5,0)</f>
        <v>-1.2710188457276673E-13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382.55387448074327</v>
      </c>
      <c r="AO83" s="62">
        <f t="shared" si="90"/>
        <v>476.29465646955543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4.0138103063136352</v>
      </c>
      <c r="AV83" s="23">
        <f>EXP(-LN(2)/25)*AV82+(1-EXP(-LN(2)/25))/(LN(2)/25)*Calculateur!AQ83*Calculateur!AS83*VLOOKUP('Données projet'!$B$10,Paramètres!$A$1:$I$89,3,0)*0.475*44/12</f>
        <v>3.555051050968999</v>
      </c>
      <c r="AW83" s="23">
        <f>EXP(-LN(2)/2)*AW82+(1-EXP(-LN(2)/2))/(LN(2)/2)*AQ83*AT83*VLOOKUP('Données projet'!$B$10,Paramètres!$A$1:$I$89,3,0)*0.475*44/12</f>
        <v>3.9560102404094709E-7</v>
      </c>
      <c r="AX83" s="23">
        <f t="shared" si="60"/>
        <v>7.5688617528836577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622</v>
      </c>
      <c r="BB83" s="13">
        <f>VLOOKUP(A83,'Données projet'!$A$87:$I$107,9,0)</f>
        <v>17</v>
      </c>
      <c r="BC83" s="13">
        <f t="array" ref="BC83">INDEX(BB:BB,MIN(IF(ISNUMBER(BB83:BB279),ROW(BB83:BB279),"")))</f>
        <v>17</v>
      </c>
      <c r="BD83" s="13">
        <f>IF('Données projet'!$A$88&gt;35,BD82+BC83-BL82,IF(A83&lt;'Données projet'!$A$88,$BA$205^A83,IF(A83='Données projet'!$A$88,'Données projet'!$B$88,BD82+BC83-BL82)))</f>
        <v>621.99999999999989</v>
      </c>
      <c r="BE83" s="14">
        <f>BD83*VLOOKUP('Données projet'!$B$11,Paramètres!$A$1:$I$89,3,0)*VLOOKUP('Données projet'!$B$11,Paramètres!$A$1:$I$89,5,0)</f>
        <v>291.09599999999995</v>
      </c>
      <c r="BF83" s="14">
        <f t="shared" si="91"/>
        <v>69.306582531434373</v>
      </c>
      <c r="BG83" s="22">
        <f t="shared" si="61"/>
        <v>627.7011645755814</v>
      </c>
      <c r="BH83" s="62">
        <f t="shared" si="62"/>
        <v>921.03449790891477</v>
      </c>
      <c r="BI83" s="62">
        <f ca="1">AVERAGE(OFFSET($BH$3,0,0,'Données projet'!$E$11+1,1))-AVERAGE(OFFSET($H$3,0,0,'Données projet'!$E$11+1,1))</f>
        <v>310.95287409903602</v>
      </c>
      <c r="BJ83" s="62">
        <f t="shared" si="92"/>
        <v>224.10083380795163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124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8.875</v>
      </c>
      <c r="N84" s="14">
        <f>IF('Données projet'!$A$36&gt;35,N83+M84-V83,IF(A84&lt;'Données projet'!$A$36,$K$205^A84,IF(A84='Données projet'!$A$36,'Données projet'!$B$36,N83+M84-V83)))</f>
        <v>546.125</v>
      </c>
      <c r="O84" s="14">
        <f>N84*VLOOKUP('Données projet'!$B$9,Paramètres!$A$1:$I$89,3,0)*VLOOKUP('Données projet'!$B$9,Paramètres!$A$1:$I$89,5,0)</f>
        <v>326.58275000000003</v>
      </c>
      <c r="P84" s="14">
        <f t="shared" si="87"/>
        <v>76.72139541907876</v>
      </c>
      <c r="Q84" s="22">
        <f t="shared" si="54"/>
        <v>702.42138660489547</v>
      </c>
      <c r="R84" s="62">
        <f t="shared" si="55"/>
        <v>995.75471993822885</v>
      </c>
      <c r="S84" s="62">
        <f ca="1">AVERAGE(OFFSET($R$3,0,0,'Données projet'!$E$9+1,1))-AVERAGE(OFFSET($H$3,0,0,'Données projet'!$E$9+1,1))</f>
        <v>287.69656598881124</v>
      </c>
      <c r="T84" s="62">
        <f t="shared" si="88"/>
        <v>221.9773436301067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1.4698615395387817</v>
      </c>
      <c r="AB84" s="23">
        <f>EXP(-LN(2)/2)*AB83+(1-EXP(-LN(2)/2))/(LN(2)/2)*V84*Y84*VLOOKUP('Données projet'!$B$9,Paramètres!$A$1:$I$89,3,0)*0.475*44/12</f>
        <v>2.9970827478666953E-7</v>
      </c>
      <c r="AC84" s="24">
        <f t="shared" si="57"/>
        <v>1.4698618392470566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-2.2737367544323206E-13</v>
      </c>
      <c r="AJ84" s="14">
        <f>AI84*VLOOKUP('Données projet'!$B$10,Paramètres!$A$1:$I$89,3,0)*VLOOKUP('Données projet'!$B$10,Paramètres!$A$1:$I$89,5,0)</f>
        <v>-1.2710188457276673E-13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382.55387448074327</v>
      </c>
      <c r="AO84" s="62">
        <f t="shared" si="90"/>
        <v>476.29465646955543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3.9351019343893738</v>
      </c>
      <c r="AV84" s="23">
        <f>EXP(-LN(2)/25)*AV83+(1-EXP(-LN(2)/25))/(LN(2)/25)*Calculateur!AQ84*Calculateur!AS84*VLOOKUP('Données projet'!$B$10,Paramètres!$A$1:$I$89,3,0)*0.475*44/12</f>
        <v>3.4578379930282419</v>
      </c>
      <c r="AW84" s="23">
        <f>EXP(-LN(2)/2)*AW83+(1-EXP(-LN(2)/2))/(LN(2)/2)*AQ84*AT84*VLOOKUP('Données projet'!$B$10,Paramètres!$A$1:$I$89,3,0)*0.475*44/12</f>
        <v>2.7973216674369609E-7</v>
      </c>
      <c r="AX84" s="23">
        <f t="shared" si="60"/>
        <v>7.3929402071497821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17.5</v>
      </c>
      <c r="BD84" s="13">
        <f>IF('Données projet'!$A$88&gt;35,BD83+BC84-BL83,IF(A84&lt;'Données projet'!$A$88,$BA$205^A84,IF(A84='Données projet'!$A$88,'Données projet'!$B$88,BD83+BC84-BL83)))</f>
        <v>515.49999999999989</v>
      </c>
      <c r="BE84" s="14">
        <f>BD84*VLOOKUP('Données projet'!$B$11,Paramètres!$A$1:$I$89,3,0)*VLOOKUP('Données projet'!$B$11,Paramètres!$A$1:$I$89,5,0)</f>
        <v>241.25399999999996</v>
      </c>
      <c r="BF84" s="14">
        <f t="shared" si="91"/>
        <v>58.70925280391986</v>
      </c>
      <c r="BG84" s="22">
        <f t="shared" si="61"/>
        <v>522.43599863349357</v>
      </c>
      <c r="BH84" s="62">
        <f t="shared" si="62"/>
        <v>815.76933196682694</v>
      </c>
      <c r="BI84" s="62">
        <f ca="1">AVERAGE(OFFSET($BH$3,0,0,'Données projet'!$E$11+1,1))-AVERAGE(OFFSET($H$3,0,0,'Données projet'!$E$11+1,1))</f>
        <v>310.95287409903602</v>
      </c>
      <c r="BJ84" s="62">
        <f t="shared" si="92"/>
        <v>224.10083380795163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>
        <f>VLOOKUP(A85,'Données projet'!$A$35:$I$55,2,0)</f>
        <v>555</v>
      </c>
      <c r="L85" s="13">
        <f>VLOOKUP(A85,'Données projet'!$A$35:$I$55,9,0)</f>
        <v>8.875</v>
      </c>
      <c r="M85" s="13">
        <f t="array" ref="M85">INDEX(L:L,MIN(IF(ISNUMBER(L85:L281),ROW(L85:L281),"")))</f>
        <v>8.875</v>
      </c>
      <c r="N85" s="14">
        <f>IF('Données projet'!$A$36&gt;35,N84+M85-V84,IF(A85&lt;'Données projet'!$A$36,$K$205^A85,IF(A85='Données projet'!$A$36,'Données projet'!$B$36,N84+M85-V84)))</f>
        <v>555</v>
      </c>
      <c r="O85" s="14">
        <f>N85*VLOOKUP('Données projet'!$B$9,Paramètres!$A$1:$I$89,3,0)*VLOOKUP('Données projet'!$B$9,Paramètres!$A$1:$I$89,5,0)</f>
        <v>331.89000000000004</v>
      </c>
      <c r="P85" s="14">
        <f t="shared" si="87"/>
        <v>77.822022056956186</v>
      </c>
      <c r="Q85" s="22">
        <f t="shared" si="54"/>
        <v>713.58177174919865</v>
      </c>
      <c r="R85" s="62">
        <f t="shared" si="55"/>
        <v>1006.9151050825319</v>
      </c>
      <c r="S85" s="62">
        <f ca="1">AVERAGE(OFFSET($R$3,0,0,'Données projet'!$E$9+1,1))-AVERAGE(OFFSET($H$3,0,0,'Données projet'!$E$9+1,1))</f>
        <v>287.69656598881124</v>
      </c>
      <c r="T85" s="62">
        <f t="shared" si="88"/>
        <v>221.9773436301067</v>
      </c>
      <c r="U85" s="16">
        <f>IF(ISNA(VLOOKUP(A85,'Données projet'!$A$35:$I$55,3,0)),0,VLOOKUP(A85,'Données projet'!$A$35:$I$55,3,0))</f>
        <v>11</v>
      </c>
      <c r="V85" s="16">
        <f>IF(ISNA(VLOOKUP(A85,'Données projet'!$A$35:$I$55,4,0)),0,VLOOKUP(A85,'Données projet'!$A$35:$I$55,4,0))</f>
        <v>555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1.4296680984434349</v>
      </c>
      <c r="AB85" s="23">
        <f>EXP(-LN(2)/2)*AB84+(1-EXP(-LN(2)/2))/(LN(2)/2)*V85*Y85*VLOOKUP('Données projet'!$B$9,Paramètres!$A$1:$I$89,3,0)*0.475*44/12</f>
        <v>2.1192575347937519E-7</v>
      </c>
      <c r="AC85" s="24">
        <f t="shared" si="57"/>
        <v>1.4296683103691883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-2.2737367544323206E-13</v>
      </c>
      <c r="AJ85" s="14">
        <f>AI85*VLOOKUP('Données projet'!$B$10,Paramètres!$A$1:$I$89,3,0)*VLOOKUP('Données projet'!$B$10,Paramètres!$A$1:$I$89,5,0)</f>
        <v>-1.2710188457276673E-13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382.55387448074327</v>
      </c>
      <c r="AO85" s="62">
        <f t="shared" si="90"/>
        <v>476.29465646955543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3.8579369856311807</v>
      </c>
      <c r="AV85" s="23">
        <f>EXP(-LN(2)/25)*AV84+(1-EXP(-LN(2)/25))/(LN(2)/25)*Calculateur!AQ85*Calculateur!AS85*VLOOKUP('Données projet'!$B$10,Paramètres!$A$1:$I$89,3,0)*0.475*44/12</f>
        <v>3.3632832312690875</v>
      </c>
      <c r="AW85" s="23">
        <f>EXP(-LN(2)/2)*AW84+(1-EXP(-LN(2)/2))/(LN(2)/2)*AQ85*AT85*VLOOKUP('Données projet'!$B$10,Paramètres!$A$1:$I$89,3,0)*0.475*44/12</f>
        <v>1.9780051202047354E-7</v>
      </c>
      <c r="AX85" s="23">
        <f t="shared" si="60"/>
        <v>7.2212204147007801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17.5</v>
      </c>
      <c r="BD85" s="13">
        <f>IF('Données projet'!$A$88&gt;35,BD84+BC85-BL84,IF(A85&lt;'Données projet'!$A$88,$BA$205^A85,IF(A85='Données projet'!$A$88,'Données projet'!$B$88,BD84+BC85-BL84)))</f>
        <v>532.99999999999989</v>
      </c>
      <c r="BE85" s="14">
        <f>BD85*VLOOKUP('Données projet'!$B$11,Paramètres!$A$1:$I$89,3,0)*VLOOKUP('Données projet'!$B$11,Paramètres!$A$1:$I$89,5,0)</f>
        <v>249.44399999999993</v>
      </c>
      <c r="BF85" s="14">
        <f t="shared" si="91"/>
        <v>60.466866397117599</v>
      </c>
      <c r="BG85" s="22">
        <f t="shared" si="61"/>
        <v>539.76142564164627</v>
      </c>
      <c r="BH85" s="62">
        <f t="shared" si="62"/>
        <v>833.09475897497964</v>
      </c>
      <c r="BI85" s="62">
        <f ca="1">AVERAGE(OFFSET($BH$3,0,0,'Données projet'!$E$11+1,1))-AVERAGE(OFFSET($H$3,0,0,'Données projet'!$E$11+1,1))</f>
        <v>310.95287409903602</v>
      </c>
      <c r="BJ85" s="62">
        <f t="shared" si="92"/>
        <v>224.10083380795163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287.69656598881124</v>
      </c>
      <c r="T86" s="62">
        <f t="shared" si="88"/>
        <v>221.9773436301067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1.3905737491085215</v>
      </c>
      <c r="AB86" s="23">
        <f>EXP(-LN(2)/2)*AB85+(1-EXP(-LN(2)/2))/(LN(2)/2)*V86*Y86*VLOOKUP('Données projet'!$B$9,Paramètres!$A$1:$I$89,3,0)*0.475*44/12</f>
        <v>1.4985413739333476E-7</v>
      </c>
      <c r="AC86" s="24">
        <f t="shared" si="57"/>
        <v>1.3905738989626588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-2.2737367544323206E-13</v>
      </c>
      <c r="AJ86" s="14">
        <f>AI86*VLOOKUP('Données projet'!$B$10,Paramètres!$A$1:$I$89,3,0)*VLOOKUP('Données projet'!$B$10,Paramètres!$A$1:$I$89,5,0)</f>
        <v>-1.2710188457276673E-13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382.55387448074327</v>
      </c>
      <c r="AO86" s="62">
        <f t="shared" si="90"/>
        <v>476.29465646955543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3.782285194452164</v>
      </c>
      <c r="AV86" s="23">
        <f>EXP(-LN(2)/25)*AV85+(1-EXP(-LN(2)/25))/(LN(2)/25)*Calculateur!AQ86*Calculateur!AS86*VLOOKUP('Données projet'!$B$10,Paramètres!$A$1:$I$89,3,0)*0.475*44/12</f>
        <v>3.2713140744426559</v>
      </c>
      <c r="AW86" s="23">
        <f>EXP(-LN(2)/2)*AW85+(1-EXP(-LN(2)/2))/(LN(2)/2)*AQ86*AT86*VLOOKUP('Données projet'!$B$10,Paramètres!$A$1:$I$89,3,0)*0.475*44/12</f>
        <v>1.3986608337184805E-7</v>
      </c>
      <c r="AX86" s="23">
        <f t="shared" si="60"/>
        <v>7.0535994087609026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17.5</v>
      </c>
      <c r="BD86" s="13">
        <f>IF('Données projet'!$A$88&gt;35,BD85+BC86-BL85,IF(A86&lt;'Données projet'!$A$88,$BA$205^A86,IF(A86='Données projet'!$A$88,'Données projet'!$B$88,BD85+BC86-BL85)))</f>
        <v>550.49999999999989</v>
      </c>
      <c r="BE86" s="14">
        <f>BD86*VLOOKUP('Données projet'!$B$11,Paramètres!$A$1:$I$89,3,0)*VLOOKUP('Données projet'!$B$11,Paramètres!$A$1:$I$89,5,0)</f>
        <v>257.63399999999996</v>
      </c>
      <c r="BF86" s="14">
        <f t="shared" si="91"/>
        <v>62.217774353261795</v>
      </c>
      <c r="BG86" s="22">
        <f t="shared" si="61"/>
        <v>557.07517366526417</v>
      </c>
      <c r="BH86" s="62">
        <f t="shared" si="62"/>
        <v>850.40850699859743</v>
      </c>
      <c r="BI86" s="62">
        <f ca="1">AVERAGE(OFFSET($BH$3,0,0,'Données projet'!$E$11+1,1))-AVERAGE(OFFSET($H$3,0,0,'Données projet'!$E$11+1,1))</f>
        <v>310.95287409903602</v>
      </c>
      <c r="BJ86" s="62">
        <f t="shared" si="92"/>
        <v>224.10083380795163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287.69656598881124</v>
      </c>
      <c r="T87" s="62">
        <f t="shared" si="88"/>
        <v>221.9773436301067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1.3525484368120537</v>
      </c>
      <c r="AB87" s="23">
        <f>EXP(-LN(2)/2)*AB86+(1-EXP(-LN(2)/2))/(LN(2)/2)*V87*Y87*VLOOKUP('Données projet'!$B$9,Paramètres!$A$1:$I$89,3,0)*0.475*44/12</f>
        <v>1.059628767396876E-7</v>
      </c>
      <c r="AC87" s="24">
        <f t="shared" si="57"/>
        <v>1.3525485427749304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-2.2737367544323206E-13</v>
      </c>
      <c r="AJ87" s="14">
        <f>AI87*VLOOKUP('Données projet'!$B$10,Paramètres!$A$1:$I$89,3,0)*VLOOKUP('Données projet'!$B$10,Paramètres!$A$1:$I$89,5,0)</f>
        <v>-1.2710188457276673E-13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382.55387448074327</v>
      </c>
      <c r="AO87" s="62">
        <f t="shared" si="90"/>
        <v>476.29465646955543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3.7081168887551317</v>
      </c>
      <c r="AV87" s="23">
        <f>EXP(-LN(2)/25)*AV86+(1-EXP(-LN(2)/25))/(LN(2)/25)*Calculateur!AQ87*Calculateur!AS87*VLOOKUP('Données projet'!$B$10,Paramètres!$A$1:$I$89,3,0)*0.475*44/12</f>
        <v>3.1818598190460912</v>
      </c>
      <c r="AW87" s="23">
        <f>EXP(-LN(2)/2)*AW86+(1-EXP(-LN(2)/2))/(LN(2)/2)*AQ87*AT87*VLOOKUP('Données projet'!$B$10,Paramètres!$A$1:$I$89,3,0)*0.475*44/12</f>
        <v>9.8900256010236771E-8</v>
      </c>
      <c r="AX87" s="23">
        <f t="shared" si="60"/>
        <v>6.8899768067014788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17.5</v>
      </c>
      <c r="BD87" s="13">
        <f>IF('Données projet'!$A$88&gt;35,BD86+BC87-BL86,IF(A87&lt;'Données projet'!$A$88,$BA$205^A87,IF(A87='Données projet'!$A$88,'Données projet'!$B$88,BD86+BC87-BL86)))</f>
        <v>567.99999999999989</v>
      </c>
      <c r="BE87" s="14">
        <f>BD87*VLOOKUP('Données projet'!$B$11,Paramètres!$A$1:$I$89,3,0)*VLOOKUP('Données projet'!$B$11,Paramètres!$A$1:$I$89,5,0)</f>
        <v>265.82399999999996</v>
      </c>
      <c r="BF87" s="14">
        <f t="shared" si="91"/>
        <v>63.962214293903529</v>
      </c>
      <c r="BG87" s="22">
        <f t="shared" si="61"/>
        <v>574.37765656188185</v>
      </c>
      <c r="BH87" s="62">
        <f t="shared" si="62"/>
        <v>867.71098989521511</v>
      </c>
      <c r="BI87" s="62">
        <f ca="1">AVERAGE(OFFSET($BH$3,0,0,'Données projet'!$E$11+1,1))-AVERAGE(OFFSET($H$3,0,0,'Données projet'!$E$11+1,1))</f>
        <v>310.95287409903602</v>
      </c>
      <c r="BJ87" s="62">
        <f t="shared" si="92"/>
        <v>224.10083380795163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287.69656598881124</v>
      </c>
      <c r="T88" s="62">
        <f t="shared" si="88"/>
        <v>221.9773436301067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1.315562928679997</v>
      </c>
      <c r="AB88" s="23">
        <f>EXP(-LN(2)/2)*AB87+(1-EXP(-LN(2)/2))/(LN(2)/2)*V88*Y88*VLOOKUP('Données projet'!$B$9,Paramètres!$A$1:$I$89,3,0)*0.475*44/12</f>
        <v>7.4927068696667382E-8</v>
      </c>
      <c r="AC88" s="24">
        <f t="shared" si="57"/>
        <v>1.3155630036070658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-2.2737367544323206E-13</v>
      </c>
      <c r="AJ88" s="14">
        <f>AI88*VLOOKUP('Données projet'!$B$10,Paramètres!$A$1:$I$89,3,0)*VLOOKUP('Données projet'!$B$10,Paramètres!$A$1:$I$89,5,0)</f>
        <v>-1.2710188457276673E-13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382.55387448074327</v>
      </c>
      <c r="AO88" s="62">
        <f t="shared" si="90"/>
        <v>476.29465646955543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3.6354029782946187</v>
      </c>
      <c r="AV88" s="23">
        <f>EXP(-LN(2)/25)*AV87+(1-EXP(-LN(2)/25))/(LN(2)/25)*Calculateur!AQ88*Calculateur!AS88*VLOOKUP('Données projet'!$B$10,Paramètres!$A$1:$I$89,3,0)*0.475*44/12</f>
        <v>3.0948516949675402</v>
      </c>
      <c r="AW88" s="23">
        <f>EXP(-LN(2)/2)*AW87+(1-EXP(-LN(2)/2))/(LN(2)/2)*AQ88*AT88*VLOOKUP('Données projet'!$B$10,Paramètres!$A$1:$I$89,3,0)*0.475*44/12</f>
        <v>6.9933041685924023E-8</v>
      </c>
      <c r="AX88" s="23">
        <f t="shared" si="60"/>
        <v>6.7302547431952009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17.5</v>
      </c>
      <c r="BD88" s="13">
        <f>IF('Données projet'!$A$88&gt;35,BD87+BC88-BL87,IF(A88&lt;'Données projet'!$A$88,$BA$205^A88,IF(A88='Données projet'!$A$88,'Données projet'!$B$88,BD87+BC88-BL87)))</f>
        <v>585.49999999999989</v>
      </c>
      <c r="BE88" s="14">
        <f>BD88*VLOOKUP('Données projet'!$B$11,Paramètres!$A$1:$I$89,3,0)*VLOOKUP('Données projet'!$B$11,Paramètres!$A$1:$I$89,5,0)</f>
        <v>274.01399999999995</v>
      </c>
      <c r="BF88" s="14">
        <f t="shared" si="91"/>
        <v>65.700408366571935</v>
      </c>
      <c r="BG88" s="22">
        <f t="shared" si="61"/>
        <v>591.66926123844598</v>
      </c>
      <c r="BH88" s="62">
        <f t="shared" si="62"/>
        <v>885.00259457177935</v>
      </c>
      <c r="BI88" s="62">
        <f ca="1">AVERAGE(OFFSET($BH$3,0,0,'Données projet'!$E$11+1,1))-AVERAGE(OFFSET($H$3,0,0,'Données projet'!$E$11+1,1))</f>
        <v>310.95287409903602</v>
      </c>
      <c r="BJ88" s="62">
        <f t="shared" si="92"/>
        <v>224.10083380795163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287.69656598881124</v>
      </c>
      <c r="T89" s="62">
        <f t="shared" si="88"/>
        <v>221.9773436301067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1.2795887912127948</v>
      </c>
      <c r="AB89" s="23">
        <f>EXP(-LN(2)/2)*AB88+(1-EXP(-LN(2)/2))/(LN(2)/2)*V89*Y89*VLOOKUP('Données projet'!$B$9,Paramètres!$A$1:$I$89,3,0)*0.475*44/12</f>
        <v>5.2981438369843798E-8</v>
      </c>
      <c r="AC89" s="24">
        <f t="shared" si="57"/>
        <v>1.2795888441942331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-2.2737367544323206E-13</v>
      </c>
      <c r="AJ89" s="14">
        <f>AI89*VLOOKUP('Données projet'!$B$10,Paramètres!$A$1:$I$89,3,0)*VLOOKUP('Données projet'!$B$10,Paramètres!$A$1:$I$89,5,0)</f>
        <v>-1.2710188457276673E-13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382.55387448074327</v>
      </c>
      <c r="AO89" s="62">
        <f t="shared" si="90"/>
        <v>476.29465646955543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3.5641149432671302</v>
      </c>
      <c r="AV89" s="23">
        <f>EXP(-LN(2)/25)*AV88+(1-EXP(-LN(2)/25))/(LN(2)/25)*Calculateur!AQ89*Calculateur!AS89*VLOOKUP('Données projet'!$B$10,Paramètres!$A$1:$I$89,3,0)*0.475*44/12</f>
        <v>3.0102228126174757</v>
      </c>
      <c r="AW89" s="23">
        <f>EXP(-LN(2)/2)*AW88+(1-EXP(-LN(2)/2))/(LN(2)/2)*AQ89*AT89*VLOOKUP('Données projet'!$B$10,Paramètres!$A$1:$I$89,3,0)*0.475*44/12</f>
        <v>4.9450128005118386E-8</v>
      </c>
      <c r="AX89" s="23">
        <f t="shared" si="60"/>
        <v>6.5743378053347348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17.5</v>
      </c>
      <c r="BD89" s="13">
        <f>IF('Données projet'!$A$88&gt;35,BD88+BC89-BL88,IF(A89&lt;'Données projet'!$A$88,$BA$205^A89,IF(A89='Données projet'!$A$88,'Données projet'!$B$88,BD88+BC89-BL88)))</f>
        <v>602.99999999999989</v>
      </c>
      <c r="BE89" s="14">
        <f>BD89*VLOOKUP('Données projet'!$B$11,Paramètres!$A$1:$I$89,3,0)*VLOOKUP('Données projet'!$B$11,Paramètres!$A$1:$I$89,5,0)</f>
        <v>282.20399999999995</v>
      </c>
      <c r="BF89" s="14">
        <f t="shared" si="91"/>
        <v>67.432564684485186</v>
      </c>
      <c r="BG89" s="22">
        <f t="shared" si="61"/>
        <v>608.9503501588116</v>
      </c>
      <c r="BH89" s="62">
        <f t="shared" si="62"/>
        <v>902.28368349214497</v>
      </c>
      <c r="BI89" s="62">
        <f ca="1">AVERAGE(OFFSET($BH$3,0,0,'Données projet'!$E$11+1,1))-AVERAGE(OFFSET($H$3,0,0,'Données projet'!$E$11+1,1))</f>
        <v>310.95287409903602</v>
      </c>
      <c r="BJ89" s="62">
        <f t="shared" si="92"/>
        <v>224.10083380795163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287.69656598881124</v>
      </c>
      <c r="T90" s="62">
        <f t="shared" si="88"/>
        <v>221.9773436301067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1.244598368426431</v>
      </c>
      <c r="AB90" s="23">
        <f>EXP(-LN(2)/2)*AB89+(1-EXP(-LN(2)/2))/(LN(2)/2)*V90*Y90*VLOOKUP('Données projet'!$B$9,Paramètres!$A$1:$I$89,3,0)*0.475*44/12</f>
        <v>3.7463534348333691E-8</v>
      </c>
      <c r="AC90" s="24">
        <f t="shared" si="57"/>
        <v>1.2445984058899653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-2.2737367544323206E-13</v>
      </c>
      <c r="AJ90" s="14">
        <f>AI90*VLOOKUP('Données projet'!$B$10,Paramètres!$A$1:$I$89,3,0)*VLOOKUP('Données projet'!$B$10,Paramètres!$A$1:$I$89,5,0)</f>
        <v>-1.2710188457276673E-13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382.55387448074327</v>
      </c>
      <c r="AO90" s="62">
        <f t="shared" si="90"/>
        <v>476.29465646955543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3.4942248231251227</v>
      </c>
      <c r="AV90" s="23">
        <f>EXP(-LN(2)/25)*AV89+(1-EXP(-LN(2)/25))/(LN(2)/25)*Calculateur!AQ90*Calculateur!AS90*VLOOKUP('Données projet'!$B$10,Paramètres!$A$1:$I$89,3,0)*0.475*44/12</f>
        <v>2.9279081115057131</v>
      </c>
      <c r="AW90" s="23">
        <f>EXP(-LN(2)/2)*AW89+(1-EXP(-LN(2)/2))/(LN(2)/2)*AQ90*AT90*VLOOKUP('Données projet'!$B$10,Paramètres!$A$1:$I$89,3,0)*0.475*44/12</f>
        <v>3.4966520842962012E-8</v>
      </c>
      <c r="AX90" s="23">
        <f t="shared" si="60"/>
        <v>6.4221329695973575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17.5</v>
      </c>
      <c r="BD90" s="13">
        <f>IF('Données projet'!$A$88&gt;35,BD89+BC90-BL89,IF(A90&lt;'Données projet'!$A$88,$BA$205^A90,IF(A90='Données projet'!$A$88,'Données projet'!$B$88,BD89+BC90-BL89)))</f>
        <v>620.49999999999989</v>
      </c>
      <c r="BE90" s="14">
        <f>BD90*VLOOKUP('Données projet'!$B$11,Paramètres!$A$1:$I$89,3,0)*VLOOKUP('Données projet'!$B$11,Paramètres!$A$1:$I$89,5,0)</f>
        <v>290.39399999999995</v>
      </c>
      <c r="BF90" s="14">
        <f t="shared" si="91"/>
        <v>69.158878594433091</v>
      </c>
      <c r="BG90" s="22">
        <f t="shared" si="61"/>
        <v>626.22126355197076</v>
      </c>
      <c r="BH90" s="62">
        <f t="shared" si="62"/>
        <v>919.55459688530414</v>
      </c>
      <c r="BI90" s="62">
        <f ca="1">AVERAGE(OFFSET($BH$3,0,0,'Données projet'!$E$11+1,1))-AVERAGE(OFFSET($H$3,0,0,'Données projet'!$E$11+1,1))</f>
        <v>310.95287409903602</v>
      </c>
      <c r="BJ90" s="62">
        <f t="shared" si="92"/>
        <v>224.10083380795163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287.69656598881124</v>
      </c>
      <c r="T91" s="62">
        <f t="shared" si="88"/>
        <v>221.9773436301067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1.2105647605912266</v>
      </c>
      <c r="AB91" s="23">
        <f>EXP(-LN(2)/2)*AB90+(1-EXP(-LN(2)/2))/(LN(2)/2)*V91*Y91*VLOOKUP('Données projet'!$B$9,Paramètres!$A$1:$I$89,3,0)*0.475*44/12</f>
        <v>2.6490719184921899E-8</v>
      </c>
      <c r="AC91" s="24">
        <f t="shared" si="57"/>
        <v>1.2105647870819458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-2.2737367544323206E-13</v>
      </c>
      <c r="AJ91" s="14">
        <f>AI91*VLOOKUP('Données projet'!$B$10,Paramètres!$A$1:$I$89,3,0)*VLOOKUP('Données projet'!$B$10,Paramètres!$A$1:$I$89,5,0)</f>
        <v>-1.2710188457276673E-13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382.55387448074327</v>
      </c>
      <c r="AO91" s="62">
        <f t="shared" si="90"/>
        <v>476.29465646955543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3.4257052056103361</v>
      </c>
      <c r="AV91" s="23">
        <f>EXP(-LN(2)/25)*AV90+(1-EXP(-LN(2)/25))/(LN(2)/25)*Calculateur!AQ91*Calculateur!AS91*VLOOKUP('Données projet'!$B$10,Paramètres!$A$1:$I$89,3,0)*0.475*44/12</f>
        <v>2.8478443102245934</v>
      </c>
      <c r="AW91" s="23">
        <f>EXP(-LN(2)/2)*AW90+(1-EXP(-LN(2)/2))/(LN(2)/2)*AQ91*AT91*VLOOKUP('Données projet'!$B$10,Paramètres!$A$1:$I$89,3,0)*0.475*44/12</f>
        <v>2.4725064002559193E-8</v>
      </c>
      <c r="AX91" s="23">
        <f t="shared" si="60"/>
        <v>6.2735495405599933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17.5</v>
      </c>
      <c r="BD91" s="13">
        <f>IF('Données projet'!$A$88&gt;35,BD90+BC91-BL90,IF(A91&lt;'Données projet'!$A$88,$BA$205^A91,IF(A91='Données projet'!$A$88,'Données projet'!$B$88,BD90+BC91-BL90)))</f>
        <v>637.99999999999989</v>
      </c>
      <c r="BE91" s="14">
        <f>BD91*VLOOKUP('Données projet'!$B$11,Paramètres!$A$1:$I$89,3,0)*VLOOKUP('Données projet'!$B$11,Paramètres!$A$1:$I$89,5,0)</f>
        <v>298.58399999999995</v>
      </c>
      <c r="BF91" s="14">
        <f t="shared" si="91"/>
        <v>70.879533797607607</v>
      </c>
      <c r="BG91" s="22">
        <f t="shared" si="61"/>
        <v>643.48232136416652</v>
      </c>
      <c r="BH91" s="62">
        <f t="shared" si="62"/>
        <v>936.81565469749989</v>
      </c>
      <c r="BI91" s="62">
        <f ca="1">AVERAGE(OFFSET($BH$3,0,0,'Données projet'!$E$11+1,1))-AVERAGE(OFFSET($H$3,0,0,'Données projet'!$E$11+1,1))</f>
        <v>310.95287409903602</v>
      </c>
      <c r="BJ91" s="62">
        <f t="shared" si="92"/>
        <v>224.10083380795163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287.69656598881124</v>
      </c>
      <c r="T92" s="62">
        <f t="shared" si="88"/>
        <v>221.9773436301067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1.1774618035520257</v>
      </c>
      <c r="AB92" s="23">
        <f>EXP(-LN(2)/2)*AB91+(1-EXP(-LN(2)/2))/(LN(2)/2)*V92*Y92*VLOOKUP('Données projet'!$B$9,Paramètres!$A$1:$I$89,3,0)*0.475*44/12</f>
        <v>1.8731767174166846E-8</v>
      </c>
      <c r="AC92" s="24">
        <f t="shared" si="57"/>
        <v>1.1774618222837929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-2.2737367544323206E-13</v>
      </c>
      <c r="AJ92" s="14">
        <f>AI92*VLOOKUP('Données projet'!$B$10,Paramètres!$A$1:$I$89,3,0)*VLOOKUP('Données projet'!$B$10,Paramètres!$A$1:$I$89,5,0)</f>
        <v>-1.2710188457276673E-13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382.55387448074327</v>
      </c>
      <c r="AO92" s="62">
        <f t="shared" si="90"/>
        <v>476.29465646955543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3.3585292160021742</v>
      </c>
      <c r="AV92" s="23">
        <f>EXP(-LN(2)/25)*AV91+(1-EXP(-LN(2)/25))/(LN(2)/25)*Calculateur!AQ92*Calculateur!AS92*VLOOKUP('Données projet'!$B$10,Paramètres!$A$1:$I$89,3,0)*0.475*44/12</f>
        <v>2.7699698577998784</v>
      </c>
      <c r="AW92" s="23">
        <f>EXP(-LN(2)/2)*AW91+(1-EXP(-LN(2)/2))/(LN(2)/2)*AQ92*AT92*VLOOKUP('Données projet'!$B$10,Paramètres!$A$1:$I$89,3,0)*0.475*44/12</f>
        <v>1.7483260421481006E-8</v>
      </c>
      <c r="AX92" s="23">
        <f t="shared" si="60"/>
        <v>6.1284990912853123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17.5</v>
      </c>
      <c r="BD92" s="13">
        <f>IF('Données projet'!$A$88&gt;35,BD91+BC92-BL91,IF(A92&lt;'Données projet'!$A$88,$BA$205^A92,IF(A92='Données projet'!$A$88,'Données projet'!$B$88,BD91+BC92-BL91)))</f>
        <v>655.49999999999989</v>
      </c>
      <c r="BE92" s="14">
        <f>BD92*VLOOKUP('Données projet'!$B$11,Paramètres!$A$1:$I$89,3,0)*VLOOKUP('Données projet'!$B$11,Paramètres!$A$1:$I$89,5,0)</f>
        <v>306.77399999999994</v>
      </c>
      <c r="BF92" s="14">
        <f t="shared" si="91"/>
        <v>72.594703343999058</v>
      </c>
      <c r="BG92" s="22">
        <f t="shared" si="61"/>
        <v>660.73382499079833</v>
      </c>
      <c r="BH92" s="62">
        <f t="shared" si="62"/>
        <v>954.0671583241317</v>
      </c>
      <c r="BI92" s="62">
        <f ca="1">AVERAGE(OFFSET($BH$3,0,0,'Données projet'!$E$11+1,1))-AVERAGE(OFFSET($H$3,0,0,'Données projet'!$E$11+1,1))</f>
        <v>310.95287409903602</v>
      </c>
      <c r="BJ92" s="62">
        <f t="shared" si="92"/>
        <v>224.10083380795163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287.69656598881124</v>
      </c>
      <c r="T93" s="62">
        <f t="shared" si="88"/>
        <v>221.9773436301067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1.1452640486138703</v>
      </c>
      <c r="AB93" s="23">
        <f>EXP(-LN(2)/2)*AB92+(1-EXP(-LN(2)/2))/(LN(2)/2)*V93*Y93*VLOOKUP('Données projet'!$B$9,Paramètres!$A$1:$I$89,3,0)*0.475*44/12</f>
        <v>1.3245359592460949E-8</v>
      </c>
      <c r="AC93" s="24">
        <f t="shared" si="57"/>
        <v>1.14526406185923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-2.2737367544323206E-13</v>
      </c>
      <c r="AJ93" s="14">
        <f>AI93*VLOOKUP('Données projet'!$B$10,Paramètres!$A$1:$I$89,3,0)*VLOOKUP('Données projet'!$B$10,Paramètres!$A$1:$I$89,5,0)</f>
        <v>-1.2710188457276673E-13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382.55387448074327</v>
      </c>
      <c r="AO93" s="62">
        <f t="shared" si="90"/>
        <v>476.29465646955543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3.2926705065769206</v>
      </c>
      <c r="AV93" s="23">
        <f>EXP(-LN(2)/25)*AV92+(1-EXP(-LN(2)/25))/(LN(2)/25)*Calculateur!AQ93*Calculateur!AS93*VLOOKUP('Données projet'!$B$10,Paramètres!$A$1:$I$89,3,0)*0.475*44/12</f>
        <v>2.6942248863719569</v>
      </c>
      <c r="AW93" s="23">
        <f>EXP(-LN(2)/2)*AW92+(1-EXP(-LN(2)/2))/(LN(2)/2)*AQ93*AT93*VLOOKUP('Données projet'!$B$10,Paramètres!$A$1:$I$89,3,0)*0.475*44/12</f>
        <v>1.2362532001279596E-8</v>
      </c>
      <c r="AX93" s="23">
        <f t="shared" si="60"/>
        <v>5.9868954053114098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673</v>
      </c>
      <c r="BB93" s="13">
        <f>VLOOKUP(A93,'Données projet'!$A$87:$I$107,9,0)</f>
        <v>17.5</v>
      </c>
      <c r="BC93" s="13">
        <f t="array" ref="BC93">INDEX(BB:BB,MIN(IF(ISNUMBER(BB93:BB289),ROW(BB93:BB289),"")))</f>
        <v>17.5</v>
      </c>
      <c r="BD93" s="13">
        <f>IF('Données projet'!$A$88&gt;35,BD92+BC93-BL92,IF(A93&lt;'Données projet'!$A$88,$BA$205^A93,IF(A93='Données projet'!$A$88,'Données projet'!$B$88,BD92+BC93-BL92)))</f>
        <v>672.99999999999989</v>
      </c>
      <c r="BE93" s="14">
        <f>BD93*VLOOKUP('Données projet'!$B$11,Paramètres!$A$1:$I$89,3,0)*VLOOKUP('Données projet'!$B$11,Paramètres!$A$1:$I$89,5,0)</f>
        <v>314.96399999999994</v>
      </c>
      <c r="BF93" s="14">
        <f t="shared" si="91"/>
        <v>74.304550517616548</v>
      </c>
      <c r="BG93" s="22">
        <f t="shared" si="61"/>
        <v>677.97605881818208</v>
      </c>
      <c r="BH93" s="62">
        <f t="shared" si="62"/>
        <v>971.30939215151534</v>
      </c>
      <c r="BI93" s="62">
        <f ca="1">AVERAGE(OFFSET($BH$3,0,0,'Données projet'!$E$11+1,1))-AVERAGE(OFFSET($H$3,0,0,'Données projet'!$E$11+1,1))</f>
        <v>310.95287409903602</v>
      </c>
      <c r="BJ93" s="62">
        <f t="shared" si="92"/>
        <v>224.10083380795163</v>
      </c>
      <c r="BK93" s="16">
        <f>IF(ISNA(VLOOKUP(A93,'Données projet'!$A$87:$I$107,3,0)),0,VLOOKUP(A93,'Données projet'!$A$87:$I$107,3,0))</f>
        <v>8</v>
      </c>
      <c r="BL93" s="16">
        <f>IF(ISNA(VLOOKUP(A93,'Données projet'!$A$87:$I$107,4,0)),0,VLOOKUP(A93,'Données projet'!$A$87:$I$107,4,0))</f>
        <v>135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287.69656598881124</v>
      </c>
      <c r="T94" s="62">
        <f t="shared" si="88"/>
        <v>221.9773436301067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1.1139467429777052</v>
      </c>
      <c r="AB94" s="23">
        <f>EXP(-LN(2)/2)*AB93+(1-EXP(-LN(2)/2))/(LN(2)/2)*V94*Y94*VLOOKUP('Données projet'!$B$9,Paramètres!$A$1:$I$89,3,0)*0.475*44/12</f>
        <v>9.3658835870834228E-9</v>
      </c>
      <c r="AC94" s="24">
        <f t="shared" si="57"/>
        <v>1.1139467523435889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-2.2737367544323206E-13</v>
      </c>
      <c r="AJ94" s="14">
        <f>AI94*VLOOKUP('Données projet'!$B$10,Paramètres!$A$1:$I$89,3,0)*VLOOKUP('Données projet'!$B$10,Paramètres!$A$1:$I$89,5,0)</f>
        <v>-1.2710188457276673E-13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382.55387448074327</v>
      </c>
      <c r="AO94" s="62">
        <f t="shared" si="90"/>
        <v>476.29465646955543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3.2281032462736499</v>
      </c>
      <c r="AV94" s="23">
        <f>EXP(-LN(2)/25)*AV93+(1-EXP(-LN(2)/25))/(LN(2)/25)*Calculateur!AQ94*Calculateur!AS94*VLOOKUP('Données projet'!$B$10,Paramètres!$A$1:$I$89,3,0)*0.475*44/12</f>
        <v>2.6205511651709865</v>
      </c>
      <c r="AW94" s="23">
        <f>EXP(-LN(2)/2)*AW93+(1-EXP(-LN(2)/2))/(LN(2)/2)*AQ94*AT94*VLOOKUP('Données projet'!$B$10,Paramètres!$A$1:$I$89,3,0)*0.475*44/12</f>
        <v>8.7416302107405029E-9</v>
      </c>
      <c r="AX94" s="23">
        <f t="shared" si="60"/>
        <v>5.8486544201862669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18.5</v>
      </c>
      <c r="BD94" s="13">
        <f>IF('Données projet'!$A$88&gt;35,BD93+BC94-BL93,IF(A94&lt;'Données projet'!$A$88,$BA$205^A94,IF(A94='Données projet'!$A$88,'Données projet'!$B$88,BD93+BC94-BL93)))</f>
        <v>556.49999999999989</v>
      </c>
      <c r="BE94" s="14">
        <f>BD94*VLOOKUP('Données projet'!$B$11,Paramètres!$A$1:$I$89,3,0)*VLOOKUP('Données projet'!$B$11,Paramètres!$A$1:$I$89,5,0)</f>
        <v>260.44199999999995</v>
      </c>
      <c r="BF94" s="14">
        <f t="shared" si="91"/>
        <v>62.816585178645781</v>
      </c>
      <c r="BG94" s="22">
        <f t="shared" si="61"/>
        <v>563.00870251947458</v>
      </c>
      <c r="BH94" s="62">
        <f t="shared" si="62"/>
        <v>856.34203585280784</v>
      </c>
      <c r="BI94" s="62">
        <f ca="1">AVERAGE(OFFSET($BH$3,0,0,'Données projet'!$E$11+1,1))-AVERAGE(OFFSET($H$3,0,0,'Données projet'!$E$11+1,1))</f>
        <v>310.95287409903602</v>
      </c>
      <c r="BJ94" s="62">
        <f t="shared" si="92"/>
        <v>224.10083380795163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287.69656598881124</v>
      </c>
      <c r="T95" s="62">
        <f t="shared" si="88"/>
        <v>221.9773436301067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1.0834858107110665</v>
      </c>
      <c r="AB95" s="23">
        <f>EXP(-LN(2)/2)*AB94+(1-EXP(-LN(2)/2))/(LN(2)/2)*V95*Y95*VLOOKUP('Données projet'!$B$9,Paramètres!$A$1:$I$89,3,0)*0.475*44/12</f>
        <v>6.6226797962304747E-9</v>
      </c>
      <c r="AC95" s="24">
        <f t="shared" si="57"/>
        <v>1.0834858173337463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-2.2737367544323206E-13</v>
      </c>
      <c r="AJ95" s="14">
        <f>AI95*VLOOKUP('Données projet'!$B$10,Paramètres!$A$1:$I$89,3,0)*VLOOKUP('Données projet'!$B$10,Paramètres!$A$1:$I$89,5,0)</f>
        <v>-1.2710188457276673E-13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382.55387448074327</v>
      </c>
      <c r="AO95" s="62">
        <f t="shared" si="90"/>
        <v>476.29465646955543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3.1648021105627864</v>
      </c>
      <c r="AV95" s="23">
        <f>EXP(-LN(2)/25)*AV94+(1-EXP(-LN(2)/25))/(LN(2)/25)*Calculateur!AQ95*Calculateur!AS95*VLOOKUP('Données projet'!$B$10,Paramètres!$A$1:$I$89,3,0)*0.475*44/12</f>
        <v>2.5488920557505894</v>
      </c>
      <c r="AW95" s="23">
        <f>EXP(-LN(2)/2)*AW94+(1-EXP(-LN(2)/2))/(LN(2)/2)*AQ95*AT95*VLOOKUP('Données projet'!$B$10,Paramètres!$A$1:$I$89,3,0)*0.475*44/12</f>
        <v>6.1812660006397982E-9</v>
      </c>
      <c r="AX95" s="23">
        <f t="shared" si="60"/>
        <v>5.713694172494642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18.5</v>
      </c>
      <c r="BD95" s="13">
        <f>IF('Données projet'!$A$88&gt;35,BD94+BC95-BL94,IF(A95&lt;'Données projet'!$A$88,$BA$205^A95,IF(A95='Données projet'!$A$88,'Données projet'!$B$88,BD94+BC95-BL94)))</f>
        <v>574.99999999999989</v>
      </c>
      <c r="BE95" s="14">
        <f>BD95*VLOOKUP('Données projet'!$B$11,Paramètres!$A$1:$I$89,3,0)*VLOOKUP('Données projet'!$B$11,Paramètres!$A$1:$I$89,5,0)</f>
        <v>269.09999999999991</v>
      </c>
      <c r="BF95" s="14">
        <f t="shared" si="91"/>
        <v>64.658229472790993</v>
      </c>
      <c r="BG95" s="22">
        <f t="shared" si="61"/>
        <v>581.29558299844405</v>
      </c>
      <c r="BH95" s="62">
        <f t="shared" si="62"/>
        <v>874.62891633177742</v>
      </c>
      <c r="BI95" s="62">
        <f ca="1">AVERAGE(OFFSET($BH$3,0,0,'Données projet'!$E$11+1,1))-AVERAGE(OFFSET($H$3,0,0,'Données projet'!$E$11+1,1))</f>
        <v>310.95287409903602</v>
      </c>
      <c r="BJ95" s="62">
        <f t="shared" si="92"/>
        <v>224.10083380795163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287.69656598881124</v>
      </c>
      <c r="T96" s="62">
        <f t="shared" si="88"/>
        <v>221.9773436301067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1.05385783423913</v>
      </c>
      <c r="AB96" s="23">
        <f>EXP(-LN(2)/2)*AB95+(1-EXP(-LN(2)/2))/(LN(2)/2)*V96*Y96*VLOOKUP('Données projet'!$B$9,Paramètres!$A$1:$I$89,3,0)*0.475*44/12</f>
        <v>4.6829417935417114E-9</v>
      </c>
      <c r="AC96" s="24">
        <f t="shared" si="57"/>
        <v>1.0538578389220719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-2.2737367544323206E-13</v>
      </c>
      <c r="AJ96" s="14">
        <f>AI96*VLOOKUP('Données projet'!$B$10,Paramètres!$A$1:$I$89,3,0)*VLOOKUP('Données projet'!$B$10,Paramètres!$A$1:$I$89,5,0)</f>
        <v>-1.2710188457276673E-13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382.55387448074327</v>
      </c>
      <c r="AO96" s="62">
        <f t="shared" si="90"/>
        <v>476.29465646955543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3.1027422715133324</v>
      </c>
      <c r="AV96" s="23">
        <f>EXP(-LN(2)/25)*AV95+(1-EXP(-LN(2)/25))/(LN(2)/25)*Calculateur!AQ96*Calculateur!AS96*VLOOKUP('Données projet'!$B$10,Paramètres!$A$1:$I$89,3,0)*0.475*44/12</f>
        <v>2.4791924684456821</v>
      </c>
      <c r="AW96" s="23">
        <f>EXP(-LN(2)/2)*AW95+(1-EXP(-LN(2)/2))/(LN(2)/2)*AQ96*AT96*VLOOKUP('Données projet'!$B$10,Paramètres!$A$1:$I$89,3,0)*0.475*44/12</f>
        <v>4.3708151053702514E-9</v>
      </c>
      <c r="AX96" s="23">
        <f t="shared" si="60"/>
        <v>5.5819347443298293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18.5</v>
      </c>
      <c r="BD96" s="13">
        <f>IF('Données projet'!$A$88&gt;35,BD95+BC96-BL95,IF(A96&lt;'Données projet'!$A$88,$BA$205^A96,IF(A96='Données projet'!$A$88,'Données projet'!$B$88,BD95+BC96-BL95)))</f>
        <v>593.49999999999989</v>
      </c>
      <c r="BE96" s="14">
        <f>BD96*VLOOKUP('Données projet'!$B$11,Paramètres!$A$1:$I$89,3,0)*VLOOKUP('Données projet'!$B$11,Paramètres!$A$1:$I$89,5,0)</f>
        <v>277.75799999999992</v>
      </c>
      <c r="BF96" s="14">
        <f t="shared" si="91"/>
        <v>66.492988372715388</v>
      </c>
      <c r="BG96" s="22">
        <f t="shared" si="61"/>
        <v>599.57047141581245</v>
      </c>
      <c r="BH96" s="62">
        <f t="shared" si="62"/>
        <v>892.90380474914582</v>
      </c>
      <c r="BI96" s="62">
        <f ca="1">AVERAGE(OFFSET($BH$3,0,0,'Données projet'!$E$11+1,1))-AVERAGE(OFFSET($H$3,0,0,'Données projet'!$E$11+1,1))</f>
        <v>310.95287409903602</v>
      </c>
      <c r="BJ96" s="62">
        <f t="shared" si="92"/>
        <v>224.10083380795163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287.69656598881124</v>
      </c>
      <c r="T97" s="62">
        <f t="shared" si="88"/>
        <v>221.9773436301067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1.0250400363418861</v>
      </c>
      <c r="AB97" s="23">
        <f>EXP(-LN(2)/2)*AB96+(1-EXP(-LN(2)/2))/(LN(2)/2)*V97*Y97*VLOOKUP('Données projet'!$B$9,Paramètres!$A$1:$I$89,3,0)*0.475*44/12</f>
        <v>3.3113398981152374E-9</v>
      </c>
      <c r="AC97" s="24">
        <f t="shared" si="57"/>
        <v>1.025040039653226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-2.2737367544323206E-13</v>
      </c>
      <c r="AJ97" s="14">
        <f>AI97*VLOOKUP('Données projet'!$B$10,Paramètres!$A$1:$I$89,3,0)*VLOOKUP('Données projet'!$B$10,Paramètres!$A$1:$I$89,5,0)</f>
        <v>-1.2710188457276673E-13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382.55387448074327</v>
      </c>
      <c r="AO97" s="62">
        <f t="shared" si="90"/>
        <v>476.29465646955543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3.0418993880548739</v>
      </c>
      <c r="AV97" s="23">
        <f>EXP(-LN(2)/25)*AV96+(1-EXP(-LN(2)/25))/(LN(2)/25)*Calculateur!AQ97*Calculateur!AS97*VLOOKUP('Données projet'!$B$10,Paramètres!$A$1:$I$89,3,0)*0.475*44/12</f>
        <v>2.4113988200209691</v>
      </c>
      <c r="AW97" s="23">
        <f>EXP(-LN(2)/2)*AW96+(1-EXP(-LN(2)/2))/(LN(2)/2)*AQ97*AT97*VLOOKUP('Données projet'!$B$10,Paramètres!$A$1:$I$89,3,0)*0.475*44/12</f>
        <v>3.0906330003198991E-9</v>
      </c>
      <c r="AX97" s="23">
        <f t="shared" si="60"/>
        <v>5.4532982111664756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18.5</v>
      </c>
      <c r="BD97" s="13">
        <f>IF('Données projet'!$A$88&gt;35,BD96+BC97-BL96,IF(A97&lt;'Données projet'!$A$88,$BA$205^A97,IF(A97='Données projet'!$A$88,'Données projet'!$B$88,BD96+BC97-BL96)))</f>
        <v>611.99999999999989</v>
      </c>
      <c r="BE97" s="14">
        <f>BD97*VLOOKUP('Données projet'!$B$11,Paramètres!$A$1:$I$89,3,0)*VLOOKUP('Données projet'!$B$11,Paramètres!$A$1:$I$89,5,0)</f>
        <v>286.41599999999994</v>
      </c>
      <c r="BF97" s="14">
        <f t="shared" si="91"/>
        <v>68.321101129951188</v>
      </c>
      <c r="BG97" s="22">
        <f t="shared" si="61"/>
        <v>617.83378446799827</v>
      </c>
      <c r="BH97" s="62">
        <f t="shared" si="62"/>
        <v>911.16711780133164</v>
      </c>
      <c r="BI97" s="62">
        <f ca="1">AVERAGE(OFFSET($BH$3,0,0,'Données projet'!$E$11+1,1))-AVERAGE(OFFSET($H$3,0,0,'Données projet'!$E$11+1,1))</f>
        <v>310.95287409903602</v>
      </c>
      <c r="BJ97" s="62">
        <f t="shared" si="92"/>
        <v>224.10083380795163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287.69656598881124</v>
      </c>
      <c r="T98" s="62">
        <f t="shared" si="88"/>
        <v>221.9773436301067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0.99701026264360448</v>
      </c>
      <c r="AB98" s="23">
        <f>EXP(-LN(2)/2)*AB97+(1-EXP(-LN(2)/2))/(LN(2)/2)*V98*Y98*VLOOKUP('Données projet'!$B$9,Paramètres!$A$1:$I$89,3,0)*0.475*44/12</f>
        <v>2.3414708967708557E-9</v>
      </c>
      <c r="AC98" s="24">
        <f t="shared" si="57"/>
        <v>0.99701026498507539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-2.2737367544323206E-13</v>
      </c>
      <c r="AJ98" s="14">
        <f>AI98*VLOOKUP('Données projet'!$B$10,Paramètres!$A$1:$I$89,3,0)*VLOOKUP('Données projet'!$B$10,Paramètres!$A$1:$I$89,5,0)</f>
        <v>-1.2710188457276673E-13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382.55387448074327</v>
      </c>
      <c r="AO98" s="62">
        <f t="shared" si="90"/>
        <v>476.29465646955543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2.9822495964305413</v>
      </c>
      <c r="AV98" s="23">
        <f>EXP(-LN(2)/25)*AV97+(1-EXP(-LN(2)/25))/(LN(2)/25)*Calculateur!AQ98*Calculateur!AS98*VLOOKUP('Données projet'!$B$10,Paramètres!$A$1:$I$89,3,0)*0.475*44/12</f>
        <v>2.3454589924775431</v>
      </c>
      <c r="AW98" s="23">
        <f>EXP(-LN(2)/2)*AW97+(1-EXP(-LN(2)/2))/(LN(2)/2)*AQ98*AT98*VLOOKUP('Données projet'!$B$10,Paramètres!$A$1:$I$89,3,0)*0.475*44/12</f>
        <v>2.1854075526851257E-9</v>
      </c>
      <c r="AX98" s="23">
        <f t="shared" si="60"/>
        <v>5.3277085910934918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18.5</v>
      </c>
      <c r="BD98" s="13">
        <f>IF('Données projet'!$A$88&gt;35,BD97+BC98-BL97,IF(A98&lt;'Données projet'!$A$88,$BA$205^A98,IF(A98='Données projet'!$A$88,'Données projet'!$B$88,BD97+BC98-BL97)))</f>
        <v>630.49999999999989</v>
      </c>
      <c r="BE98" s="14">
        <f>BD98*VLOOKUP('Données projet'!$B$11,Paramètres!$A$1:$I$89,3,0)*VLOOKUP('Données projet'!$B$11,Paramètres!$A$1:$I$89,5,0)</f>
        <v>295.07399999999996</v>
      </c>
      <c r="BF98" s="14">
        <f t="shared" si="91"/>
        <v>70.142791709481173</v>
      </c>
      <c r="BG98" s="22">
        <f t="shared" si="61"/>
        <v>636.08591222734628</v>
      </c>
      <c r="BH98" s="62">
        <f t="shared" si="62"/>
        <v>929.41924556067966</v>
      </c>
      <c r="BI98" s="62">
        <f ca="1">AVERAGE(OFFSET($BH$3,0,0,'Données projet'!$E$11+1,1))-AVERAGE(OFFSET($H$3,0,0,'Données projet'!$E$11+1,1))</f>
        <v>310.95287409903602</v>
      </c>
      <c r="BJ98" s="62">
        <f t="shared" si="92"/>
        <v>224.10083380795163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287.69656598881124</v>
      </c>
      <c r="T99" s="62">
        <f t="shared" si="88"/>
        <v>221.9773436301067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0.96974696458112408</v>
      </c>
      <c r="AB99" s="23">
        <f>EXP(-LN(2)/2)*AB98+(1-EXP(-LN(2)/2))/(LN(2)/2)*V99*Y99*VLOOKUP('Données projet'!$B$9,Paramètres!$A$1:$I$89,3,0)*0.475*44/12</f>
        <v>1.6556699490576187E-9</v>
      </c>
      <c r="AC99" s="24">
        <f t="shared" si="57"/>
        <v>0.96974696623679402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-2.2737367544323206E-13</v>
      </c>
      <c r="AJ99" s="14">
        <f>AI99*VLOOKUP('Données projet'!$B$10,Paramètres!$A$1:$I$89,3,0)*VLOOKUP('Données projet'!$B$10,Paramètres!$A$1:$I$89,5,0)</f>
        <v>-1.2710188457276673E-13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382.55387448074327</v>
      </c>
      <c r="AO99" s="62">
        <f t="shared" si="90"/>
        <v>476.29465646955543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2.9237695008371816</v>
      </c>
      <c r="AV99" s="23">
        <f>EXP(-LN(2)/25)*AV98+(1-EXP(-LN(2)/25))/(LN(2)/25)*Calculateur!AQ99*Calculateur!AS99*VLOOKUP('Données projet'!$B$10,Paramètres!$A$1:$I$89,3,0)*0.475*44/12</f>
        <v>2.2813222929859167</v>
      </c>
      <c r="AW99" s="23">
        <f>EXP(-LN(2)/2)*AW98+(1-EXP(-LN(2)/2))/(LN(2)/2)*AQ99*AT99*VLOOKUP('Données projet'!$B$10,Paramètres!$A$1:$I$89,3,0)*0.475*44/12</f>
        <v>1.5453165001599496E-9</v>
      </c>
      <c r="AX99" s="23">
        <f t="shared" si="60"/>
        <v>5.205091795368415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18.5</v>
      </c>
      <c r="BD99" s="13">
        <f>IF('Données projet'!$A$88&gt;35,BD98+BC99-BL98,IF(A99&lt;'Données projet'!$A$88,$BA$205^A99,IF(A99='Données projet'!$A$88,'Données projet'!$B$88,BD98+BC99-BL98)))</f>
        <v>648.99999999999989</v>
      </c>
      <c r="BE99" s="14">
        <f>BD99*VLOOKUP('Données projet'!$B$11,Paramètres!$A$1:$I$89,3,0)*VLOOKUP('Données projet'!$B$11,Paramètres!$A$1:$I$89,5,0)</f>
        <v>303.73199999999997</v>
      </c>
      <c r="BF99" s="14">
        <f t="shared" si="91"/>
        <v>71.958270185981476</v>
      </c>
      <c r="BG99" s="22">
        <f t="shared" si="61"/>
        <v>654.32722057391766</v>
      </c>
      <c r="BH99" s="62">
        <f t="shared" si="62"/>
        <v>947.66055390725091</v>
      </c>
      <c r="BI99" s="62">
        <f ca="1">AVERAGE(OFFSET($BH$3,0,0,'Données projet'!$E$11+1,1))-AVERAGE(OFFSET($H$3,0,0,'Données projet'!$E$11+1,1))</f>
        <v>310.95287409903602</v>
      </c>
      <c r="BJ99" s="62">
        <f t="shared" si="92"/>
        <v>224.10083380795163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287.69656598881124</v>
      </c>
      <c r="T100" s="62">
        <f t="shared" si="88"/>
        <v>221.9773436301067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0.94322918283787671</v>
      </c>
      <c r="AB100" s="23">
        <f>EXP(-LN(2)/2)*AB99+(1-EXP(-LN(2)/2))/(LN(2)/2)*V100*Y100*VLOOKUP('Données projet'!$B$9,Paramètres!$A$1:$I$89,3,0)*0.475*44/12</f>
        <v>1.1707354483854278E-9</v>
      </c>
      <c r="AC100" s="24">
        <f t="shared" si="57"/>
        <v>0.94322918400861211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-2.2737367544323206E-13</v>
      </c>
      <c r="AJ100" s="14">
        <f>AI100*VLOOKUP('Données projet'!$B$10,Paramètres!$A$1:$I$89,3,0)*VLOOKUP('Données projet'!$B$10,Paramètres!$A$1:$I$89,5,0)</f>
        <v>-1.2710188457276673E-13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382.55387448074327</v>
      </c>
      <c r="AO100" s="62">
        <f t="shared" si="90"/>
        <v>476.29465646955543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2.8664361642490714</v>
      </c>
      <c r="AV100" s="23">
        <f>EXP(-LN(2)/25)*AV99+(1-EXP(-LN(2)/25))/(LN(2)/25)*Calculateur!AQ100*Calculateur!AS100*VLOOKUP('Données projet'!$B$10,Paramètres!$A$1:$I$89,3,0)*0.475*44/12</f>
        <v>2.2189394149146913</v>
      </c>
      <c r="AW100" s="23">
        <f>EXP(-LN(2)/2)*AW99+(1-EXP(-LN(2)/2))/(LN(2)/2)*AQ100*AT100*VLOOKUP('Données projet'!$B$10,Paramètres!$A$1:$I$89,3,0)*0.475*44/12</f>
        <v>1.0927037763425629E-9</v>
      </c>
      <c r="AX100" s="23">
        <f t="shared" si="60"/>
        <v>5.0853755802564669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18.5</v>
      </c>
      <c r="BD100" s="13">
        <f>IF('Données projet'!$A$88&gt;35,BD99+BC100-BL99,IF(A100&lt;'Données projet'!$A$88,$BA$205^A100,IF(A100='Données projet'!$A$88,'Données projet'!$B$88,BD99+BC100-BL99)))</f>
        <v>667.49999999999989</v>
      </c>
      <c r="BE100" s="14">
        <f>BD100*VLOOKUP('Données projet'!$B$11,Paramètres!$A$1:$I$89,3,0)*VLOOKUP('Données projet'!$B$11,Paramètres!$A$1:$I$89,5,0)</f>
        <v>312.38999999999993</v>
      </c>
      <c r="BF100" s="14">
        <f t="shared" si="91"/>
        <v>73.767733976388286</v>
      </c>
      <c r="BG100" s="22">
        <f t="shared" si="61"/>
        <v>672.55805334220952</v>
      </c>
      <c r="BH100" s="62">
        <f t="shared" si="62"/>
        <v>965.89138667554289</v>
      </c>
      <c r="BI100" s="62">
        <f ca="1">AVERAGE(OFFSET($BH$3,0,0,'Données projet'!$E$11+1,1))-AVERAGE(OFFSET($H$3,0,0,'Données projet'!$E$11+1,1))</f>
        <v>310.95287409903602</v>
      </c>
      <c r="BJ100" s="62">
        <f t="shared" si="92"/>
        <v>224.10083380795163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287.69656598881124</v>
      </c>
      <c r="T101" s="62">
        <f t="shared" si="88"/>
        <v>221.9773436301067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0.91743653123090807</v>
      </c>
      <c r="AB101" s="23">
        <f>EXP(-LN(2)/2)*AB100+(1-EXP(-LN(2)/2))/(LN(2)/2)*V101*Y101*VLOOKUP('Données projet'!$B$9,Paramètres!$A$1:$I$89,3,0)*0.475*44/12</f>
        <v>8.2783497452880934E-10</v>
      </c>
      <c r="AC101" s="24">
        <f t="shared" si="57"/>
        <v>0.91743653205874309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-2.2737367544323206E-13</v>
      </c>
      <c r="AJ101" s="14">
        <f>AI101*VLOOKUP('Données projet'!$B$10,Paramètres!$A$1:$I$89,3,0)*VLOOKUP('Données projet'!$B$10,Paramètres!$A$1:$I$89,5,0)</f>
        <v>-1.2710188457276673E-13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382.55387448074327</v>
      </c>
      <c r="AO101" s="62">
        <f t="shared" si="90"/>
        <v>476.29465646955543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2.8102270994215717</v>
      </c>
      <c r="AV101" s="23">
        <f>EXP(-LN(2)/25)*AV100+(1-EXP(-LN(2)/25))/(LN(2)/25)*Calculateur!AQ101*Calculateur!AS101*VLOOKUP('Données projet'!$B$10,Paramètres!$A$1:$I$89,3,0)*0.475*44/12</f>
        <v>2.1582623999248969</v>
      </c>
      <c r="AW101" s="23">
        <f>EXP(-LN(2)/2)*AW100+(1-EXP(-LN(2)/2))/(LN(2)/2)*AQ101*AT101*VLOOKUP('Données projet'!$B$10,Paramètres!$A$1:$I$89,3,0)*0.475*44/12</f>
        <v>7.7265825007997478E-10</v>
      </c>
      <c r="AX101" s="23">
        <f t="shared" si="60"/>
        <v>4.9684895001191265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18.5</v>
      </c>
      <c r="BD101" s="13">
        <f>IF('Données projet'!$A$88&gt;35,BD100+BC101-BL100,IF(A101&lt;'Données projet'!$A$88,$BA$205^A101,IF(A101='Données projet'!$A$88,'Données projet'!$B$88,BD100+BC101-BL100)))</f>
        <v>685.99999999999989</v>
      </c>
      <c r="BE101" s="14">
        <f>BD101*VLOOKUP('Données projet'!$B$11,Paramètres!$A$1:$I$89,3,0)*VLOOKUP('Données projet'!$B$11,Paramètres!$A$1:$I$89,5,0)</f>
        <v>321.04799999999994</v>
      </c>
      <c r="BF101" s="14">
        <f t="shared" si="91"/>
        <v>75.571368931978697</v>
      </c>
      <c r="BG101" s="22">
        <f t="shared" si="61"/>
        <v>690.77873422319624</v>
      </c>
      <c r="BH101" s="62">
        <f t="shared" si="62"/>
        <v>984.11206755652961</v>
      </c>
      <c r="BI101" s="62">
        <f ca="1">AVERAGE(OFFSET($BH$3,0,0,'Données projet'!$E$11+1,1))-AVERAGE(OFFSET($H$3,0,0,'Données projet'!$E$11+1,1))</f>
        <v>310.95287409903602</v>
      </c>
      <c r="BJ101" s="62">
        <f t="shared" si="92"/>
        <v>224.10083380795163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287.69656598881124</v>
      </c>
      <c r="T102" s="62">
        <f t="shared" si="88"/>
        <v>221.9773436301067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0.89234918103850858</v>
      </c>
      <c r="AB102" s="23">
        <f>EXP(-LN(2)/2)*AB101+(1-EXP(-LN(2)/2))/(LN(2)/2)*V102*Y102*VLOOKUP('Données projet'!$B$9,Paramètres!$A$1:$I$89,3,0)*0.475*44/12</f>
        <v>5.8536772419271392E-10</v>
      </c>
      <c r="AC102" s="24">
        <f t="shared" si="57"/>
        <v>0.89234918162387633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-2.2737367544323206E-13</v>
      </c>
      <c r="AJ102" s="14">
        <f>AI102*VLOOKUP('Données projet'!$B$10,Paramètres!$A$1:$I$89,3,0)*VLOOKUP('Données projet'!$B$10,Paramètres!$A$1:$I$89,5,0)</f>
        <v>-1.2710188457276673E-13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382.55387448074327</v>
      </c>
      <c r="AO102" s="62">
        <f t="shared" si="90"/>
        <v>476.29465646955543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2.755120260071195</v>
      </c>
      <c r="AV102" s="23">
        <f>EXP(-LN(2)/25)*AV101+(1-EXP(-LN(2)/25))/(LN(2)/25)*Calculateur!AQ102*Calculateur!AS102*VLOOKUP('Données projet'!$B$10,Paramètres!$A$1:$I$89,3,0)*0.475*44/12</f>
        <v>2.0992446011008639</v>
      </c>
      <c r="AW102" s="23">
        <f>EXP(-LN(2)/2)*AW101+(1-EXP(-LN(2)/2))/(LN(2)/2)*AQ102*AT102*VLOOKUP('Données projet'!$B$10,Paramètres!$A$1:$I$89,3,0)*0.475*44/12</f>
        <v>5.4635188817128143E-10</v>
      </c>
      <c r="AX102" s="23">
        <f t="shared" si="60"/>
        <v>4.8543648617184108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18.5</v>
      </c>
      <c r="BD102" s="13">
        <f>IF('Données projet'!$A$88&gt;35,BD101+BC102-BL101,IF(A102&lt;'Données projet'!$A$88,$BA$205^A102,IF(A102='Données projet'!$A$88,'Données projet'!$B$88,BD101+BC102-BL101)))</f>
        <v>704.49999999999989</v>
      </c>
      <c r="BE102" s="14">
        <f>BD102*VLOOKUP('Données projet'!$B$11,Paramètres!$A$1:$I$89,3,0)*VLOOKUP('Données projet'!$B$11,Paramètres!$A$1:$I$89,5,0)</f>
        <v>329.70599999999996</v>
      </c>
      <c r="BF102" s="14">
        <f t="shared" si="91"/>
        <v>77.369350309333612</v>
      </c>
      <c r="BG102" s="22">
        <f t="shared" si="61"/>
        <v>708.98956845542261</v>
      </c>
      <c r="BH102" s="62">
        <f t="shared" si="62"/>
        <v>1002.3229017887559</v>
      </c>
      <c r="BI102" s="62">
        <f ca="1">AVERAGE(OFFSET($BH$3,0,0,'Données projet'!$E$11+1,1))-AVERAGE(OFFSET($H$3,0,0,'Données projet'!$E$11+1,1))</f>
        <v>310.95287409903602</v>
      </c>
      <c r="BJ102" s="62">
        <f t="shared" si="92"/>
        <v>224.10083380795163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287.69656598881124</v>
      </c>
      <c r="T103" s="62">
        <f t="shared" si="88"/>
        <v>221.9773436301067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0.8679478457564066</v>
      </c>
      <c r="AB103" s="23">
        <f>EXP(-LN(2)/2)*AB102+(1-EXP(-LN(2)/2))/(LN(2)/2)*V103*Y103*VLOOKUP('Données projet'!$B$9,Paramètres!$A$1:$I$89,3,0)*0.475*44/12</f>
        <v>4.1391748726440467E-10</v>
      </c>
      <c r="AC103" s="24">
        <f t="shared" si="57"/>
        <v>0.86794784617032406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-2.2737367544323206E-13</v>
      </c>
      <c r="AJ103" s="14">
        <f>AI103*VLOOKUP('Données projet'!$B$10,Paramètres!$A$1:$I$89,3,0)*VLOOKUP('Données projet'!$B$10,Paramètres!$A$1:$I$89,5,0)</f>
        <v>-1.2710188457276673E-13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382.55387448074327</v>
      </c>
      <c r="AO103" s="62">
        <f t="shared" si="90"/>
        <v>476.29465646955543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2.7010940322286263</v>
      </c>
      <c r="AV103" s="23">
        <f>EXP(-LN(2)/25)*AV102+(1-EXP(-LN(2)/25))/(LN(2)/25)*Calculateur!AQ103*Calculateur!AS103*VLOOKUP('Données projet'!$B$10,Paramètres!$A$1:$I$89,3,0)*0.475*44/12</f>
        <v>2.0418406470892849</v>
      </c>
      <c r="AW103" s="23">
        <f>EXP(-LN(2)/2)*AW102+(1-EXP(-LN(2)/2))/(LN(2)/2)*AQ103*AT103*VLOOKUP('Données projet'!$B$10,Paramètres!$A$1:$I$89,3,0)*0.475*44/12</f>
        <v>3.8632912503998739E-10</v>
      </c>
      <c r="AX103" s="23">
        <f t="shared" si="60"/>
        <v>4.7429346797042404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723</v>
      </c>
      <c r="BB103" s="13">
        <f>VLOOKUP(A103,'Données projet'!$A$87:$I$107,9,0)</f>
        <v>18.5</v>
      </c>
      <c r="BC103" s="13">
        <f t="array" ref="BC103">INDEX(BB:BB,MIN(IF(ISNUMBER(BB103:BB299),ROW(BB103:BB299),"")))</f>
        <v>18.5</v>
      </c>
      <c r="BD103" s="13">
        <f>IF('Données projet'!$A$88&gt;35,BD102+BC103-BL102,IF(A103&lt;'Données projet'!$A$88,$BA$205^A103,IF(A103='Données projet'!$A$88,'Données projet'!$B$88,BD102+BC103-BL102)))</f>
        <v>722.99999999999989</v>
      </c>
      <c r="BE103" s="14">
        <f>BD103*VLOOKUP('Données projet'!$B$11,Paramètres!$A$1:$I$89,3,0)*VLOOKUP('Données projet'!$B$11,Paramètres!$A$1:$I$89,5,0)</f>
        <v>338.36399999999998</v>
      </c>
      <c r="BF103" s="14">
        <f t="shared" si="91"/>
        <v>79.161843636443024</v>
      </c>
      <c r="BG103" s="22">
        <f t="shared" si="61"/>
        <v>727.19084433347155</v>
      </c>
      <c r="BH103" s="62">
        <f t="shared" si="62"/>
        <v>1020.5241776668049</v>
      </c>
      <c r="BI103" s="62">
        <f ca="1">AVERAGE(OFFSET($BH$3,0,0,'Données projet'!$E$11+1,1))-AVERAGE(OFFSET($H$3,0,0,'Données projet'!$E$11+1,1))</f>
        <v>310.95287409903602</v>
      </c>
      <c r="BJ103" s="62">
        <f t="shared" si="92"/>
        <v>224.10083380795163</v>
      </c>
      <c r="BK103" s="16">
        <f>IF(ISNA(VLOOKUP(A103,'Données projet'!$A$87:$I$107,3,0)),0,VLOOKUP(A103,'Données projet'!$A$87:$I$107,3,0))</f>
        <v>9</v>
      </c>
      <c r="BL103" s="16">
        <f>IF(ISNA(VLOOKUP(A103,'Données projet'!$A$87:$I$107,4,0)),0,VLOOKUP(A103,'Données projet'!$A$87:$I$107,4,0))</f>
        <v>723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287.69656598881124</v>
      </c>
      <c r="T104" s="62">
        <f t="shared" si="88"/>
        <v>221.9773436301067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0.84421376627080413</v>
      </c>
      <c r="AB104" s="23">
        <f>EXP(-LN(2)/2)*AB103+(1-EXP(-LN(2)/2))/(LN(2)/2)*V104*Y104*VLOOKUP('Données projet'!$B$9,Paramètres!$A$1:$I$89,3,0)*0.475*44/12</f>
        <v>2.9268386209635696E-10</v>
      </c>
      <c r="AC104" s="24">
        <f t="shared" si="57"/>
        <v>0.84421376656348801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-2.2737367544323206E-13</v>
      </c>
      <c r="AJ104" s="14">
        <f>AI104*VLOOKUP('Données projet'!$B$10,Paramètres!$A$1:$I$89,3,0)*VLOOKUP('Données projet'!$B$10,Paramètres!$A$1:$I$89,5,0)</f>
        <v>-1.2710188457276673E-13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382.55387448074327</v>
      </c>
      <c r="AO104" s="62">
        <f t="shared" si="90"/>
        <v>476.29465646955543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2.6481272257613049</v>
      </c>
      <c r="AV104" s="23">
        <f>EXP(-LN(2)/25)*AV103+(1-EXP(-LN(2)/25))/(LN(2)/25)*Calculateur!AQ104*Calculateur!AS104*VLOOKUP('Données projet'!$B$10,Paramètres!$A$1:$I$89,3,0)*0.475*44/12</f>
        <v>1.9860064072188954</v>
      </c>
      <c r="AW104" s="23">
        <f>EXP(-LN(2)/2)*AW103+(1-EXP(-LN(2)/2))/(LN(2)/2)*AQ104*AT104*VLOOKUP('Données projet'!$B$10,Paramètres!$A$1:$I$89,3,0)*0.475*44/12</f>
        <v>2.7317594408564071E-10</v>
      </c>
      <c r="AX104" s="23">
        <f t="shared" si="60"/>
        <v>4.6341336332533762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>
        <f>BD104*VLOOKUP('Données projet'!$B$11,Paramètres!$A$1:$I$89,3,0)*VLOOKUP('Données projet'!$B$11,Paramètres!$A$1:$I$89,5,0)</f>
        <v>-5.3205440053716299E-14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310.95287409903602</v>
      </c>
      <c r="BJ104" s="62">
        <f t="shared" si="92"/>
        <v>224.10083380795163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287.69656598881124</v>
      </c>
      <c r="T105" s="62">
        <f t="shared" si="88"/>
        <v>221.9773436301067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0.82112869643685649</v>
      </c>
      <c r="AB105" s="23">
        <f>EXP(-LN(2)/2)*AB104+(1-EXP(-LN(2)/2))/(LN(2)/2)*V105*Y105*VLOOKUP('Données projet'!$B$9,Paramètres!$A$1:$I$89,3,0)*0.475*44/12</f>
        <v>2.0695874363220234E-10</v>
      </c>
      <c r="AC105" s="24">
        <f t="shared" si="57"/>
        <v>0.82112869664381527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-2.2737367544323206E-13</v>
      </c>
      <c r="AJ105" s="14">
        <f>AI105*VLOOKUP('Données projet'!$B$10,Paramètres!$A$1:$I$89,3,0)*VLOOKUP('Données projet'!$B$10,Paramètres!$A$1:$I$89,5,0)</f>
        <v>-1.2710188457276673E-13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382.55387448074327</v>
      </c>
      <c r="AO105" s="62">
        <f t="shared" si="90"/>
        <v>476.29465646955543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2.5961990660622458</v>
      </c>
      <c r="AV105" s="23">
        <f>EXP(-LN(2)/25)*AV104+(1-EXP(-LN(2)/25))/(LN(2)/25)*Calculateur!AQ105*Calculateur!AS105*VLOOKUP('Données projet'!$B$10,Paramètres!$A$1:$I$89,3,0)*0.475*44/12</f>
        <v>1.9316989575739569</v>
      </c>
      <c r="AW105" s="23">
        <f>EXP(-LN(2)/2)*AW104+(1-EXP(-LN(2)/2))/(LN(2)/2)*AQ105*AT105*VLOOKUP('Données projet'!$B$10,Paramètres!$A$1:$I$89,3,0)*0.475*44/12</f>
        <v>1.9316456251999369E-10</v>
      </c>
      <c r="AX105" s="23">
        <f t="shared" si="60"/>
        <v>4.5278980238293673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>
        <f>BD105*VLOOKUP('Données projet'!$B$11,Paramètres!$A$1:$I$89,3,0)*VLOOKUP('Données projet'!$B$11,Paramètres!$A$1:$I$89,5,0)</f>
        <v>-5.3205440053716299E-14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310.95287409903602</v>
      </c>
      <c r="BJ105" s="62">
        <f t="shared" si="92"/>
        <v>224.10083380795163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287.69656598881124</v>
      </c>
      <c r="T106" s="62">
        <f t="shared" si="88"/>
        <v>221.9773436301067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0.79867488905150918</v>
      </c>
      <c r="AB106" s="23">
        <f>EXP(-LN(2)/2)*AB105+(1-EXP(-LN(2)/2))/(LN(2)/2)*V106*Y106*VLOOKUP('Données projet'!$B$9,Paramètres!$A$1:$I$89,3,0)*0.475*44/12</f>
        <v>1.4634193104817848E-10</v>
      </c>
      <c r="AC106" s="24">
        <f t="shared" si="57"/>
        <v>0.79867488919785112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-2.2737367544323206E-13</v>
      </c>
      <c r="AJ106" s="14">
        <f>AI106*VLOOKUP('Données projet'!$B$10,Paramètres!$A$1:$I$89,3,0)*VLOOKUP('Données projet'!$B$10,Paramètres!$A$1:$I$89,5,0)</f>
        <v>-1.2710188457276673E-13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382.55387448074327</v>
      </c>
      <c r="AO106" s="62">
        <f t="shared" si="90"/>
        <v>476.29465646955543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2.5452891859018352</v>
      </c>
      <c r="AV106" s="23">
        <f>EXP(-LN(2)/25)*AV105+(1-EXP(-LN(2)/25))/(LN(2)/25)*Calculateur!AQ106*Calculateur!AS106*VLOOKUP('Données projet'!$B$10,Paramètres!$A$1:$I$89,3,0)*0.475*44/12</f>
        <v>1.8788765479954639</v>
      </c>
      <c r="AW106" s="23">
        <f>EXP(-LN(2)/2)*AW105+(1-EXP(-LN(2)/2))/(LN(2)/2)*AQ106*AT106*VLOOKUP('Données projet'!$B$10,Paramètres!$A$1:$I$89,3,0)*0.475*44/12</f>
        <v>1.3658797204282036E-10</v>
      </c>
      <c r="AX106" s="23">
        <f t="shared" si="60"/>
        <v>4.4241657340338865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>
        <f>BD106*VLOOKUP('Données projet'!$B$11,Paramètres!$A$1:$I$89,3,0)*VLOOKUP('Données projet'!$B$11,Paramètres!$A$1:$I$89,5,0)</f>
        <v>-5.3205440053716299E-14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310.95287409903602</v>
      </c>
      <c r="BJ106" s="62">
        <f t="shared" si="92"/>
        <v>224.10083380795163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287.69656598881124</v>
      </c>
      <c r="T107" s="62">
        <f t="shared" si="88"/>
        <v>221.9773436301067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0.7768350822099086</v>
      </c>
      <c r="AB107" s="23">
        <f>EXP(-LN(2)/2)*AB106+(1-EXP(-LN(2)/2))/(LN(2)/2)*V107*Y107*VLOOKUP('Données projet'!$B$9,Paramètres!$A$1:$I$89,3,0)*0.475*44/12</f>
        <v>1.0347937181610117E-10</v>
      </c>
      <c r="AC107" s="24">
        <f t="shared" si="57"/>
        <v>0.77683508231338794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-2.2737367544323206E-13</v>
      </c>
      <c r="AJ107" s="14">
        <f>AI107*VLOOKUP('Données projet'!$B$10,Paramètres!$A$1:$I$89,3,0)*VLOOKUP('Données projet'!$B$10,Paramètres!$A$1:$I$89,5,0)</f>
        <v>-1.2710188457276673E-13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382.55387448074327</v>
      </c>
      <c r="AO107" s="62">
        <f t="shared" si="90"/>
        <v>476.29465646955543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2.4953776174394098</v>
      </c>
      <c r="AV107" s="23">
        <f>EXP(-LN(2)/25)*AV106+(1-EXP(-LN(2)/25))/(LN(2)/25)*Calculateur!AQ107*Calculateur!AS107*VLOOKUP('Données projet'!$B$10,Paramètres!$A$1:$I$89,3,0)*0.475*44/12</f>
        <v>1.8274985699847044</v>
      </c>
      <c r="AW107" s="23">
        <f>EXP(-LN(2)/2)*AW106+(1-EXP(-LN(2)/2))/(LN(2)/2)*AQ107*AT107*VLOOKUP('Données projet'!$B$10,Paramètres!$A$1:$I$89,3,0)*0.475*44/12</f>
        <v>9.6582281259996847E-11</v>
      </c>
      <c r="AX107" s="23">
        <f t="shared" si="60"/>
        <v>4.3228761875206967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>
        <f>BD107*VLOOKUP('Données projet'!$B$11,Paramètres!$A$1:$I$89,3,0)*VLOOKUP('Données projet'!$B$11,Paramètres!$A$1:$I$89,5,0)</f>
        <v>-5.3205440053716299E-14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310.95287409903602</v>
      </c>
      <c r="BJ107" s="62">
        <f t="shared" si="92"/>
        <v>224.10083380795163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287.69656598881124</v>
      </c>
      <c r="T108" s="62">
        <f t="shared" si="88"/>
        <v>221.9773436301067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0.75559248603489715</v>
      </c>
      <c r="AB108" s="23">
        <f>EXP(-LN(2)/2)*AB107+(1-EXP(-LN(2)/2))/(LN(2)/2)*V108*Y108*VLOOKUP('Données projet'!$B$9,Paramètres!$A$1:$I$89,3,0)*0.475*44/12</f>
        <v>7.317096552408924E-11</v>
      </c>
      <c r="AC108" s="24">
        <f t="shared" si="57"/>
        <v>0.75559248610806806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-2.2737367544323206E-13</v>
      </c>
      <c r="AJ108" s="14">
        <f>AI108*VLOOKUP('Données projet'!$B$10,Paramètres!$A$1:$I$89,3,0)*VLOOKUP('Données projet'!$B$10,Paramètres!$A$1:$I$89,5,0)</f>
        <v>-1.2710188457276673E-13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382.55387448074327</v>
      </c>
      <c r="AO108" s="62">
        <f t="shared" si="90"/>
        <v>476.29465646955543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2.4464447843914816</v>
      </c>
      <c r="AV108" s="23">
        <f>EXP(-LN(2)/25)*AV107+(1-EXP(-LN(2)/25))/(LN(2)/25)*Calculateur!AQ108*Calculateur!AS108*VLOOKUP('Données projet'!$B$10,Paramètres!$A$1:$I$89,3,0)*0.475*44/12</f>
        <v>1.7775255254844997</v>
      </c>
      <c r="AW108" s="23">
        <f>EXP(-LN(2)/2)*AW107+(1-EXP(-LN(2)/2))/(LN(2)/2)*AQ108*AT108*VLOOKUP('Données projet'!$B$10,Paramètres!$A$1:$I$89,3,0)*0.475*44/12</f>
        <v>6.8293986021410179E-11</v>
      </c>
      <c r="AX108" s="23">
        <f t="shared" si="60"/>
        <v>4.2239703099442751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>
        <f>BD108*VLOOKUP('Données projet'!$B$11,Paramètres!$A$1:$I$89,3,0)*VLOOKUP('Données projet'!$B$11,Paramètres!$A$1:$I$89,5,0)</f>
        <v>-5.3205440053716299E-14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310.95287409903602</v>
      </c>
      <c r="BJ108" s="62">
        <f t="shared" si="92"/>
        <v>224.10083380795163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287.69656598881124</v>
      </c>
      <c r="T109" s="62">
        <f t="shared" si="88"/>
        <v>221.9773436301067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0.73493076976939098</v>
      </c>
      <c r="AB109" s="23">
        <f>EXP(-LN(2)/2)*AB108+(1-EXP(-LN(2)/2))/(LN(2)/2)*V109*Y109*VLOOKUP('Données projet'!$B$9,Paramètres!$A$1:$I$89,3,0)*0.475*44/12</f>
        <v>5.1739685908050584E-11</v>
      </c>
      <c r="AC109" s="24">
        <f t="shared" si="57"/>
        <v>0.7349307698211307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-2.2737367544323206E-13</v>
      </c>
      <c r="AJ109" s="14">
        <f>AI109*VLOOKUP('Données projet'!$B$10,Paramètres!$A$1:$I$89,3,0)*VLOOKUP('Données projet'!$B$10,Paramètres!$A$1:$I$89,5,0)</f>
        <v>-1.2710188457276673E-13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382.55387448074327</v>
      </c>
      <c r="AO109" s="62">
        <f t="shared" si="90"/>
        <v>476.29465646955543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2.3984714943535423</v>
      </c>
      <c r="AV109" s="23">
        <f>EXP(-LN(2)/25)*AV108+(1-EXP(-LN(2)/25))/(LN(2)/25)*Calculateur!AQ109*Calculateur!AS109*VLOOKUP('Données projet'!$B$10,Paramètres!$A$1:$I$89,3,0)*0.475*44/12</f>
        <v>1.7289189965141212</v>
      </c>
      <c r="AW109" s="23">
        <f>EXP(-LN(2)/2)*AW108+(1-EXP(-LN(2)/2))/(LN(2)/2)*AQ109*AT109*VLOOKUP('Données projet'!$B$10,Paramètres!$A$1:$I$89,3,0)*0.475*44/12</f>
        <v>4.8291140629998424E-11</v>
      </c>
      <c r="AX109" s="23">
        <f t="shared" si="60"/>
        <v>4.1273904909159542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>
        <f>BD109*VLOOKUP('Données projet'!$B$11,Paramètres!$A$1:$I$89,3,0)*VLOOKUP('Données projet'!$B$11,Paramètres!$A$1:$I$89,5,0)</f>
        <v>-5.3205440053716299E-14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310.95287409903602</v>
      </c>
      <c r="BJ109" s="62">
        <f t="shared" si="92"/>
        <v>224.10083380795163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287.69656598881124</v>
      </c>
      <c r="T110" s="62">
        <f t="shared" si="88"/>
        <v>221.9773436301067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0.71483404922171756</v>
      </c>
      <c r="AB110" s="23">
        <f>EXP(-LN(2)/2)*AB109+(1-EXP(-LN(2)/2))/(LN(2)/2)*V110*Y110*VLOOKUP('Données projet'!$B$9,Paramètres!$A$1:$I$89,3,0)*0.475*44/12</f>
        <v>3.658548276204462E-11</v>
      </c>
      <c r="AC110" s="24">
        <f t="shared" si="57"/>
        <v>0.71483404925830307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-2.2737367544323206E-13</v>
      </c>
      <c r="AJ110" s="14">
        <f>AI110*VLOOKUP('Données projet'!$B$10,Paramètres!$A$1:$I$89,3,0)*VLOOKUP('Données projet'!$B$10,Paramètres!$A$1:$I$89,5,0)</f>
        <v>-1.2710188457276673E-13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382.55387448074327</v>
      </c>
      <c r="AO110" s="62">
        <f t="shared" si="90"/>
        <v>476.29465646955543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2.3514389312724293</v>
      </c>
      <c r="AV110" s="23">
        <f>EXP(-LN(2)/25)*AV109+(1-EXP(-LN(2)/25))/(LN(2)/25)*Calculateur!AQ110*Calculateur!AS110*VLOOKUP('Données projet'!$B$10,Paramètres!$A$1:$I$89,3,0)*0.475*44/12</f>
        <v>1.681641615634544</v>
      </c>
      <c r="AW110" s="23">
        <f>EXP(-LN(2)/2)*AW109+(1-EXP(-LN(2)/2))/(LN(2)/2)*AQ110*AT110*VLOOKUP('Données projet'!$B$10,Paramètres!$A$1:$I$89,3,0)*0.475*44/12</f>
        <v>3.4146993010705089E-11</v>
      </c>
      <c r="AX110" s="23">
        <f t="shared" si="60"/>
        <v>4.0330805469411199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>
        <f>BD110*VLOOKUP('Données projet'!$B$11,Paramètres!$A$1:$I$89,3,0)*VLOOKUP('Données projet'!$B$11,Paramètres!$A$1:$I$89,5,0)</f>
        <v>-5.3205440053716299E-14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310.95287409903602</v>
      </c>
      <c r="BJ110" s="62">
        <f t="shared" si="92"/>
        <v>224.10083380795163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287.69656598881124</v>
      </c>
      <c r="T111" s="62">
        <f t="shared" si="88"/>
        <v>221.9773436301067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0.69528687455426086</v>
      </c>
      <c r="AB111" s="23">
        <f>EXP(-LN(2)/2)*AB110+(1-EXP(-LN(2)/2))/(LN(2)/2)*V111*Y111*VLOOKUP('Données projet'!$B$9,Paramètres!$A$1:$I$89,3,0)*0.475*44/12</f>
        <v>2.5869842954025292E-11</v>
      </c>
      <c r="AC111" s="24">
        <f t="shared" si="57"/>
        <v>0.69528687458013072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-2.2737367544323206E-13</v>
      </c>
      <c r="AJ111" s="14">
        <f>AI111*VLOOKUP('Données projet'!$B$10,Paramètres!$A$1:$I$89,3,0)*VLOOKUP('Données projet'!$B$10,Paramètres!$A$1:$I$89,5,0)</f>
        <v>-1.2710188457276673E-13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382.55387448074327</v>
      </c>
      <c r="AO111" s="62">
        <f t="shared" si="90"/>
        <v>476.29465646955543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2.3053286480663058</v>
      </c>
      <c r="AV111" s="23">
        <f>EXP(-LN(2)/25)*AV110+(1-EXP(-LN(2)/25))/(LN(2)/25)*Calculateur!AQ111*Calculateur!AS111*VLOOKUP('Données projet'!$B$10,Paramètres!$A$1:$I$89,3,0)*0.475*44/12</f>
        <v>1.6356570372213282</v>
      </c>
      <c r="AW111" s="23">
        <f>EXP(-LN(2)/2)*AW110+(1-EXP(-LN(2)/2))/(LN(2)/2)*AQ111*AT111*VLOOKUP('Données projet'!$B$10,Paramètres!$A$1:$I$89,3,0)*0.475*44/12</f>
        <v>2.4145570314999212E-11</v>
      </c>
      <c r="AX111" s="23">
        <f t="shared" si="60"/>
        <v>3.9409856853117797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>
        <f>BD111*VLOOKUP('Données projet'!$B$11,Paramètres!$A$1:$I$89,3,0)*VLOOKUP('Données projet'!$B$11,Paramètres!$A$1:$I$89,5,0)</f>
        <v>-5.3205440053716299E-14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310.95287409903602</v>
      </c>
      <c r="BJ111" s="62">
        <f t="shared" si="92"/>
        <v>224.10083380795163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287.69656598881124</v>
      </c>
      <c r="T112" s="62">
        <f t="shared" si="88"/>
        <v>221.9773436301067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0.67627421840602697</v>
      </c>
      <c r="AB112" s="23">
        <f>EXP(-LN(2)/2)*AB111+(1-EXP(-LN(2)/2))/(LN(2)/2)*V112*Y112*VLOOKUP('Données projet'!$B$9,Paramètres!$A$1:$I$89,3,0)*0.475*44/12</f>
        <v>1.829274138102231E-11</v>
      </c>
      <c r="AC112" s="24">
        <f t="shared" si="57"/>
        <v>0.67627421842431967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-2.2737367544323206E-13</v>
      </c>
      <c r="AJ112" s="14">
        <f>AI112*VLOOKUP('Données projet'!$B$10,Paramètres!$A$1:$I$89,3,0)*VLOOKUP('Données projet'!$B$10,Paramètres!$A$1:$I$89,5,0)</f>
        <v>-1.2710188457276673E-13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382.55387448074327</v>
      </c>
      <c r="AO112" s="62">
        <f t="shared" si="90"/>
        <v>476.29465646955543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2.2601225593893588</v>
      </c>
      <c r="AV112" s="23">
        <f>EXP(-LN(2)/25)*AV111+(1-EXP(-LN(2)/25))/(LN(2)/25)*Calculateur!AQ112*Calculateur!AS112*VLOOKUP('Données projet'!$B$10,Paramètres!$A$1:$I$89,3,0)*0.475*44/12</f>
        <v>1.5909299095230458</v>
      </c>
      <c r="AW112" s="23">
        <f>EXP(-LN(2)/2)*AW111+(1-EXP(-LN(2)/2))/(LN(2)/2)*AQ112*AT112*VLOOKUP('Données projet'!$B$10,Paramètres!$A$1:$I$89,3,0)*0.475*44/12</f>
        <v>1.7073496505352545E-11</v>
      </c>
      <c r="AX112" s="23">
        <f t="shared" si="60"/>
        <v>3.8510524689294781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>
        <f>BD112*VLOOKUP('Données projet'!$B$11,Paramètres!$A$1:$I$89,3,0)*VLOOKUP('Données projet'!$B$11,Paramètres!$A$1:$I$89,5,0)</f>
        <v>-5.3205440053716299E-14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310.95287409903602</v>
      </c>
      <c r="BJ112" s="62">
        <f t="shared" si="92"/>
        <v>224.10083380795163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287.69656598881124</v>
      </c>
      <c r="T113" s="62">
        <f t="shared" si="88"/>
        <v>221.9773436301067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0.65778146433999862</v>
      </c>
      <c r="AB113" s="23">
        <f>EXP(-LN(2)/2)*AB112+(1-EXP(-LN(2)/2))/(LN(2)/2)*V113*Y113*VLOOKUP('Données projet'!$B$9,Paramètres!$A$1:$I$89,3,0)*0.475*44/12</f>
        <v>1.2934921477012646E-11</v>
      </c>
      <c r="AC113" s="24">
        <f t="shared" si="57"/>
        <v>0.6577814643529335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-2.2737367544323206E-13</v>
      </c>
      <c r="AJ113" s="14">
        <f>AI113*VLOOKUP('Données projet'!$B$10,Paramètres!$A$1:$I$89,3,0)*VLOOKUP('Données projet'!$B$10,Paramètres!$A$1:$I$89,5,0)</f>
        <v>-1.2710188457276673E-13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382.55387448074327</v>
      </c>
      <c r="AO113" s="62">
        <f t="shared" si="90"/>
        <v>476.29465646955543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2.2158029345383752</v>
      </c>
      <c r="AV113" s="23">
        <f>EXP(-LN(2)/25)*AV112+(1-EXP(-LN(2)/25))/(LN(2)/25)*Calculateur!AQ113*Calculateur!AS113*VLOOKUP('Données projet'!$B$10,Paramètres!$A$1:$I$89,3,0)*0.475*44/12</f>
        <v>1.5474258474837703</v>
      </c>
      <c r="AW113" s="23">
        <f>EXP(-LN(2)/2)*AW112+(1-EXP(-LN(2)/2))/(LN(2)/2)*AQ113*AT113*VLOOKUP('Données projet'!$B$10,Paramètres!$A$1:$I$89,3,0)*0.475*44/12</f>
        <v>1.2072785157499606E-11</v>
      </c>
      <c r="AX113" s="23">
        <f t="shared" si="60"/>
        <v>3.7632287820342181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>
        <f>BD113*VLOOKUP('Données projet'!$B$11,Paramètres!$A$1:$I$89,3,0)*VLOOKUP('Données projet'!$B$11,Paramètres!$A$1:$I$89,5,0)</f>
        <v>-5.3205440053716299E-14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310.95287409903602</v>
      </c>
      <c r="BJ113" s="62">
        <f t="shared" si="92"/>
        <v>224.10083380795163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287.69656598881124</v>
      </c>
      <c r="T114" s="62">
        <f t="shared" si="88"/>
        <v>221.9773436301067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0.6397943956063975</v>
      </c>
      <c r="AB114" s="23">
        <f>EXP(-LN(2)/2)*AB113+(1-EXP(-LN(2)/2))/(LN(2)/2)*V114*Y114*VLOOKUP('Données projet'!$B$9,Paramètres!$A$1:$I$89,3,0)*0.475*44/12</f>
        <v>9.1463706905111551E-12</v>
      </c>
      <c r="AC114" s="24">
        <f t="shared" si="57"/>
        <v>0.63979439561554385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-2.2737367544323206E-13</v>
      </c>
      <c r="AJ114" s="14">
        <f>AI114*VLOOKUP('Données projet'!$B$10,Paramètres!$A$1:$I$89,3,0)*VLOOKUP('Données projet'!$B$10,Paramètres!$A$1:$I$89,5,0)</f>
        <v>-1.2710188457276673E-13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382.55387448074327</v>
      </c>
      <c r="AO114" s="62">
        <f t="shared" si="90"/>
        <v>476.29465646955543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2.1723523904984177</v>
      </c>
      <c r="AV114" s="23">
        <f>EXP(-LN(2)/25)*AV113+(1-EXP(-LN(2)/25))/(LN(2)/25)*Calculateur!AQ114*Calculateur!AS114*VLOOKUP('Données projet'!$B$10,Paramètres!$A$1:$I$89,3,0)*0.475*44/12</f>
        <v>1.5051114063087381</v>
      </c>
      <c r="AW114" s="23">
        <f>EXP(-LN(2)/2)*AW113+(1-EXP(-LN(2)/2))/(LN(2)/2)*AQ114*AT114*VLOOKUP('Données projet'!$B$10,Paramètres!$A$1:$I$89,3,0)*0.475*44/12</f>
        <v>8.5367482526762723E-12</v>
      </c>
      <c r="AX114" s="23">
        <f t="shared" si="60"/>
        <v>3.6774637968156925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projet'!$B$11,Paramètres!$A$1:$I$89,3,0)*VLOOKUP('Données projet'!$B$11,Paramètres!$A$1:$I$89,5,0)</f>
        <v>-5.3205440053716299E-14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310.95287409903602</v>
      </c>
      <c r="BJ114" s="62">
        <f t="shared" si="92"/>
        <v>224.10083380795163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287.69656598881124</v>
      </c>
      <c r="T115" s="62">
        <f t="shared" si="88"/>
        <v>221.9773436301067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0.62229918421321562</v>
      </c>
      <c r="AB115" s="23">
        <f>EXP(-LN(2)/2)*AB114+(1-EXP(-LN(2)/2))/(LN(2)/2)*V115*Y115*VLOOKUP('Données projet'!$B$9,Paramètres!$A$1:$I$89,3,0)*0.475*44/12</f>
        <v>6.467460738506323E-12</v>
      </c>
      <c r="AC115" s="24">
        <f t="shared" si="57"/>
        <v>0.62229918421968311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-2.2737367544323206E-13</v>
      </c>
      <c r="AJ115" s="14">
        <f>AI115*VLOOKUP('Données projet'!$B$10,Paramètres!$A$1:$I$89,3,0)*VLOOKUP('Données projet'!$B$10,Paramètres!$A$1:$I$89,5,0)</f>
        <v>-1.2710188457276673E-13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382.55387448074327</v>
      </c>
      <c r="AO115" s="62">
        <f t="shared" si="90"/>
        <v>476.29465646955543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2.1297538851248685</v>
      </c>
      <c r="AV115" s="23">
        <f>EXP(-LN(2)/25)*AV114+(1-EXP(-LN(2)/25))/(LN(2)/25)*Calculateur!AQ115*Calculateur!AS115*VLOOKUP('Données projet'!$B$10,Paramètres!$A$1:$I$89,3,0)*0.475*44/12</f>
        <v>1.4639540557528568</v>
      </c>
      <c r="AW115" s="23">
        <f>EXP(-LN(2)/2)*AW114+(1-EXP(-LN(2)/2))/(LN(2)/2)*AQ115*AT115*VLOOKUP('Données projet'!$B$10,Paramètres!$A$1:$I$89,3,0)*0.475*44/12</f>
        <v>6.0363925787498029E-12</v>
      </c>
      <c r="AX115" s="23">
        <f t="shared" si="60"/>
        <v>3.5937079408837618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projet'!$B$11,Paramètres!$A$1:$I$89,3,0)*VLOOKUP('Données projet'!$B$11,Paramètres!$A$1:$I$89,5,0)</f>
        <v>-5.3205440053716299E-14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310.95287409903602</v>
      </c>
      <c r="BJ115" s="62">
        <f t="shared" si="92"/>
        <v>224.10083380795163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287.69656598881124</v>
      </c>
      <c r="T116" s="62">
        <f t="shared" si="88"/>
        <v>221.9773436301067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0.60528238029561343</v>
      </c>
      <c r="AB116" s="23">
        <f>EXP(-LN(2)/2)*AB115+(1-EXP(-LN(2)/2))/(LN(2)/2)*V116*Y116*VLOOKUP('Données projet'!$B$9,Paramètres!$A$1:$I$89,3,0)*0.475*44/12</f>
        <v>4.5731853452555775E-12</v>
      </c>
      <c r="AC116" s="24">
        <f t="shared" si="57"/>
        <v>0.60528238030018666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-2.2737367544323206E-13</v>
      </c>
      <c r="AJ116" s="14">
        <f>AI116*VLOOKUP('Données projet'!$B$10,Paramètres!$A$1:$I$89,3,0)*VLOOKUP('Données projet'!$B$10,Paramètres!$A$1:$I$89,5,0)</f>
        <v>-1.2710188457276673E-13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382.55387448074327</v>
      </c>
      <c r="AO116" s="62">
        <f t="shared" si="90"/>
        <v>476.29465646955543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2.087990710459172</v>
      </c>
      <c r="AV116" s="23">
        <f>EXP(-LN(2)/25)*AV115+(1-EXP(-LN(2)/25))/(LN(2)/25)*Calculateur!AQ116*Calculateur!AS116*VLOOKUP('Données projet'!$B$10,Paramètres!$A$1:$I$89,3,0)*0.475*44/12</f>
        <v>1.4239221551122969</v>
      </c>
      <c r="AW116" s="23">
        <f>EXP(-LN(2)/2)*AW115+(1-EXP(-LN(2)/2))/(LN(2)/2)*AQ116*AT116*VLOOKUP('Données projet'!$B$10,Paramètres!$A$1:$I$89,3,0)*0.475*44/12</f>
        <v>4.2683741263381362E-12</v>
      </c>
      <c r="AX116" s="23">
        <f t="shared" si="60"/>
        <v>3.5119128655757375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projet'!$B$11,Paramètres!$A$1:$I$89,3,0)*VLOOKUP('Données projet'!$B$11,Paramètres!$A$1:$I$89,5,0)</f>
        <v>-5.3205440053716299E-14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310.95287409903602</v>
      </c>
      <c r="BJ116" s="62">
        <f t="shared" si="92"/>
        <v>224.10083380795163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287.69656598881124</v>
      </c>
      <c r="T117" s="62">
        <f t="shared" si="88"/>
        <v>221.9773436301067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0.58873090177601295</v>
      </c>
      <c r="AB117" s="23">
        <f>EXP(-LN(2)/2)*AB116+(1-EXP(-LN(2)/2))/(LN(2)/2)*V117*Y117*VLOOKUP('Données projet'!$B$9,Paramètres!$A$1:$I$89,3,0)*0.475*44/12</f>
        <v>3.2337303692531615E-12</v>
      </c>
      <c r="AC117" s="24">
        <f t="shared" si="57"/>
        <v>0.5887309017792467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-2.2737367544323206E-13</v>
      </c>
      <c r="AJ117" s="14">
        <f>AI117*VLOOKUP('Données projet'!$B$10,Paramètres!$A$1:$I$89,3,0)*VLOOKUP('Données projet'!$B$10,Paramètres!$A$1:$I$89,5,0)</f>
        <v>-1.2710188457276673E-13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382.55387448074327</v>
      </c>
      <c r="AO117" s="62">
        <f t="shared" si="90"/>
        <v>476.29465646955543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2.0470464861756485</v>
      </c>
      <c r="AV117" s="23">
        <f>EXP(-LN(2)/25)*AV116+(1-EXP(-LN(2)/25))/(LN(2)/25)*Calculateur!AQ117*Calculateur!AS117*VLOOKUP('Données projet'!$B$10,Paramètres!$A$1:$I$89,3,0)*0.475*44/12</f>
        <v>1.3849849288999394</v>
      </c>
      <c r="AW117" s="23">
        <f>EXP(-LN(2)/2)*AW116+(1-EXP(-LN(2)/2))/(LN(2)/2)*AQ117*AT117*VLOOKUP('Données projet'!$B$10,Paramètres!$A$1:$I$89,3,0)*0.475*44/12</f>
        <v>3.0181962893749015E-12</v>
      </c>
      <c r="AX117" s="23">
        <f t="shared" si="60"/>
        <v>3.432031415078606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projet'!$B$11,Paramètres!$A$1:$I$89,3,0)*VLOOKUP('Données projet'!$B$11,Paramètres!$A$1:$I$89,5,0)</f>
        <v>-5.3205440053716299E-14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310.95287409903602</v>
      </c>
      <c r="BJ117" s="62">
        <f t="shared" si="92"/>
        <v>224.10083380795163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287.69656598881124</v>
      </c>
      <c r="T118" s="62">
        <f t="shared" si="88"/>
        <v>221.9773436301067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0.57263202430693527</v>
      </c>
      <c r="AB118" s="23">
        <f>EXP(-LN(2)/2)*AB117+(1-EXP(-LN(2)/2))/(LN(2)/2)*V118*Y118*VLOOKUP('Données projet'!$B$9,Paramètres!$A$1:$I$89,3,0)*0.475*44/12</f>
        <v>2.2865926726277888E-12</v>
      </c>
      <c r="AC118" s="24">
        <f t="shared" si="57"/>
        <v>0.57263202430922189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-2.2737367544323206E-13</v>
      </c>
      <c r="AJ118" s="14">
        <f>AI118*VLOOKUP('Données projet'!$B$10,Paramètres!$A$1:$I$89,3,0)*VLOOKUP('Données projet'!$B$10,Paramètres!$A$1:$I$89,5,0)</f>
        <v>-1.2710188457276673E-13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382.55387448074327</v>
      </c>
      <c r="AO118" s="62">
        <f t="shared" si="90"/>
        <v>476.29465646955543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2.0069051531568141</v>
      </c>
      <c r="AV118" s="23">
        <f>EXP(-LN(2)/25)*AV117+(1-EXP(-LN(2)/25))/(LN(2)/25)*Calculateur!AQ118*Calculateur!AS118*VLOOKUP('Données projet'!$B$10,Paramètres!$A$1:$I$89,3,0)*0.475*44/12</f>
        <v>1.3471124431859787</v>
      </c>
      <c r="AW118" s="23">
        <f>EXP(-LN(2)/2)*AW117+(1-EXP(-LN(2)/2))/(LN(2)/2)*AQ118*AT118*VLOOKUP('Données projet'!$B$10,Paramètres!$A$1:$I$89,3,0)*0.475*44/12</f>
        <v>2.1341870631690681E-12</v>
      </c>
      <c r="AX118" s="23">
        <f t="shared" si="60"/>
        <v>3.354017596344927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projet'!$B$11,Paramètres!$A$1:$I$89,3,0)*VLOOKUP('Données projet'!$B$11,Paramètres!$A$1:$I$89,5,0)</f>
        <v>-5.3205440053716299E-14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310.95287409903602</v>
      </c>
      <c r="BJ118" s="62">
        <f t="shared" si="92"/>
        <v>224.10083380795163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287.69656598881124</v>
      </c>
      <c r="T119" s="62">
        <f t="shared" si="88"/>
        <v>221.9773436301067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0.55697337148885273</v>
      </c>
      <c r="AB119" s="23">
        <f>EXP(-LN(2)/2)*AB118+(1-EXP(-LN(2)/2))/(LN(2)/2)*V119*Y119*VLOOKUP('Données projet'!$B$9,Paramètres!$A$1:$I$89,3,0)*0.475*44/12</f>
        <v>1.6168651846265807E-12</v>
      </c>
      <c r="AC119" s="24">
        <f t="shared" si="57"/>
        <v>0.55697337149046955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-2.2737367544323206E-13</v>
      </c>
      <c r="AJ119" s="14">
        <f>AI119*VLOOKUP('Données projet'!$B$10,Paramètres!$A$1:$I$89,3,0)*VLOOKUP('Données projet'!$B$10,Paramètres!$A$1:$I$89,5,0)</f>
        <v>-1.2710188457276673E-13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382.55387448074327</v>
      </c>
      <c r="AO119" s="62">
        <f t="shared" si="90"/>
        <v>476.29465646955543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1.9675509671946834</v>
      </c>
      <c r="AV119" s="23">
        <f>EXP(-LN(2)/25)*AV118+(1-EXP(-LN(2)/25))/(LN(2)/25)*Calculateur!AQ119*Calculateur!AS119*VLOOKUP('Données projet'!$B$10,Paramètres!$A$1:$I$89,3,0)*0.475*44/12</f>
        <v>1.3102755825854935</v>
      </c>
      <c r="AW119" s="23">
        <f>EXP(-LN(2)/2)*AW118+(1-EXP(-LN(2)/2))/(LN(2)/2)*AQ119*AT119*VLOOKUP('Données projet'!$B$10,Paramètres!$A$1:$I$89,3,0)*0.475*44/12</f>
        <v>1.5090981446874507E-12</v>
      </c>
      <c r="AX119" s="23">
        <f t="shared" si="60"/>
        <v>3.2778265497816861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projet'!$B$11,Paramètres!$A$1:$I$89,3,0)*VLOOKUP('Données projet'!$B$11,Paramètres!$A$1:$I$89,5,0)</f>
        <v>-5.3205440053716299E-14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310.95287409903602</v>
      </c>
      <c r="BJ119" s="62">
        <f t="shared" si="92"/>
        <v>224.10083380795163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287.69656598881124</v>
      </c>
      <c r="T120" s="62">
        <f t="shared" si="88"/>
        <v>221.9773436301067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0.54174290535553338</v>
      </c>
      <c r="AB120" s="23">
        <f>EXP(-LN(2)/2)*AB119+(1-EXP(-LN(2)/2))/(LN(2)/2)*V120*Y120*VLOOKUP('Données projet'!$B$9,Paramètres!$A$1:$I$89,3,0)*0.475*44/12</f>
        <v>1.1432963363138944E-12</v>
      </c>
      <c r="AC120" s="24">
        <f t="shared" si="57"/>
        <v>0.54174290535667669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-2.2737367544323206E-13</v>
      </c>
      <c r="AJ120" s="14">
        <f>AI120*VLOOKUP('Données projet'!$B$10,Paramètres!$A$1:$I$89,3,0)*VLOOKUP('Données projet'!$B$10,Paramètres!$A$1:$I$89,5,0)</f>
        <v>-1.2710188457276673E-13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382.55387448074327</v>
      </c>
      <c r="AO120" s="62">
        <f t="shared" si="90"/>
        <v>476.29465646955543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1.9289684928155868</v>
      </c>
      <c r="AV120" s="23">
        <f>EXP(-LN(2)/25)*AV119+(1-EXP(-LN(2)/25))/(LN(2)/25)*Calculateur!AQ120*Calculateur!AS120*VLOOKUP('Données projet'!$B$10,Paramètres!$A$1:$I$89,3,0)*0.475*44/12</f>
        <v>1.2744460278752949</v>
      </c>
      <c r="AW120" s="23">
        <f>EXP(-LN(2)/2)*AW119+(1-EXP(-LN(2)/2))/(LN(2)/2)*AQ120*AT120*VLOOKUP('Données projet'!$B$10,Paramètres!$A$1:$I$89,3,0)*0.475*44/12</f>
        <v>1.067093531584534E-12</v>
      </c>
      <c r="AX120" s="23">
        <f t="shared" si="60"/>
        <v>3.2034145206919491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projet'!$B$11,Paramètres!$A$1:$I$89,3,0)*VLOOKUP('Données projet'!$B$11,Paramètres!$A$1:$I$89,5,0)</f>
        <v>-5.3205440053716299E-14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310.95287409903602</v>
      </c>
      <c r="BJ120" s="62">
        <f t="shared" si="92"/>
        <v>224.10083380795163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287.69656598881124</v>
      </c>
      <c r="T121" s="62">
        <f t="shared" si="88"/>
        <v>221.9773436301067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0.52692891711956513</v>
      </c>
      <c r="AB121" s="23">
        <f>EXP(-LN(2)/2)*AB120+(1-EXP(-LN(2)/2))/(LN(2)/2)*V121*Y121*VLOOKUP('Données projet'!$B$9,Paramètres!$A$1:$I$89,3,0)*0.475*44/12</f>
        <v>8.0843259231329037E-13</v>
      </c>
      <c r="AC121" s="24">
        <f t="shared" si="57"/>
        <v>0.5269289171203736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-2.2737367544323206E-13</v>
      </c>
      <c r="AJ121" s="14">
        <f>AI121*VLOOKUP('Données projet'!$B$10,Paramètres!$A$1:$I$89,3,0)*VLOOKUP('Données projet'!$B$10,Paramètres!$A$1:$I$89,5,0)</f>
        <v>-1.2710188457276673E-13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382.55387448074327</v>
      </c>
      <c r="AO121" s="62">
        <f t="shared" si="90"/>
        <v>476.29465646955543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1.8911425972260787</v>
      </c>
      <c r="AV121" s="23">
        <f>EXP(-LN(2)/25)*AV120+(1-EXP(-LN(2)/25))/(LN(2)/25)*Calculateur!AQ121*Calculateur!AS121*VLOOKUP('Données projet'!$B$10,Paramètres!$A$1:$I$89,3,0)*0.475*44/12</f>
        <v>1.2395962342228413</v>
      </c>
      <c r="AW121" s="23">
        <f>EXP(-LN(2)/2)*AW120+(1-EXP(-LN(2)/2))/(LN(2)/2)*AQ121*AT121*VLOOKUP('Données projet'!$B$10,Paramètres!$A$1:$I$89,3,0)*0.475*44/12</f>
        <v>7.5454907234372537E-13</v>
      </c>
      <c r="AX121" s="23">
        <f t="shared" si="60"/>
        <v>3.1307388314496745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projet'!$B$11,Paramètres!$A$1:$I$89,3,0)*VLOOKUP('Données projet'!$B$11,Paramètres!$A$1:$I$89,5,0)</f>
        <v>-5.3205440053716299E-14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310.95287409903602</v>
      </c>
      <c r="BJ121" s="62">
        <f t="shared" si="92"/>
        <v>224.10083380795163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287.69656598881124</v>
      </c>
      <c r="T122" s="62">
        <f t="shared" si="88"/>
        <v>221.9773436301067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0.51252001817094317</v>
      </c>
      <c r="AB122" s="23">
        <f>EXP(-LN(2)/2)*AB121+(1-EXP(-LN(2)/2))/(LN(2)/2)*V122*Y122*VLOOKUP('Données projet'!$B$9,Paramètres!$A$1:$I$89,3,0)*0.475*44/12</f>
        <v>5.7164816815694719E-13</v>
      </c>
      <c r="AC122" s="24">
        <f t="shared" si="57"/>
        <v>0.51252001817151482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-2.2737367544323206E-13</v>
      </c>
      <c r="AJ122" s="14">
        <f>AI122*VLOOKUP('Données projet'!$B$10,Paramètres!$A$1:$I$89,3,0)*VLOOKUP('Données projet'!$B$10,Paramètres!$A$1:$I$89,5,0)</f>
        <v>-1.2710188457276673E-13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382.55387448074327</v>
      </c>
      <c r="AO122" s="62">
        <f t="shared" si="90"/>
        <v>476.29465646955543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1.8540584443775625</v>
      </c>
      <c r="AV122" s="23">
        <f>EXP(-LN(2)/25)*AV121+(1-EXP(-LN(2)/25))/(LN(2)/25)*Calculateur!AQ122*Calculateur!AS122*VLOOKUP('Données projet'!$B$10,Paramètres!$A$1:$I$89,3,0)*0.475*44/12</f>
        <v>1.2056994100104848</v>
      </c>
      <c r="AW122" s="23">
        <f>EXP(-LN(2)/2)*AW121+(1-EXP(-LN(2)/2))/(LN(2)/2)*AQ122*AT122*VLOOKUP('Données projet'!$B$10,Paramètres!$A$1:$I$89,3,0)*0.475*44/12</f>
        <v>5.3354676579226702E-13</v>
      </c>
      <c r="AX122" s="23">
        <f t="shared" si="60"/>
        <v>3.0597578543885806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projet'!$B$11,Paramètres!$A$1:$I$89,3,0)*VLOOKUP('Données projet'!$B$11,Paramètres!$A$1:$I$89,5,0)</f>
        <v>-5.3205440053716299E-14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310.95287409903602</v>
      </c>
      <c r="BJ122" s="62">
        <f t="shared" si="92"/>
        <v>224.10083380795163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287.69656598881124</v>
      </c>
      <c r="T123" s="62">
        <f t="shared" si="88"/>
        <v>221.9773436301067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0.49850513132180235</v>
      </c>
      <c r="AB123" s="23">
        <f>EXP(-LN(2)/2)*AB122+(1-EXP(-LN(2)/2))/(LN(2)/2)*V123*Y123*VLOOKUP('Données projet'!$B$9,Paramètres!$A$1:$I$89,3,0)*0.475*44/12</f>
        <v>4.0421629615664519E-13</v>
      </c>
      <c r="AC123" s="24">
        <f t="shared" si="57"/>
        <v>0.49850513132220658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-2.2737367544323206E-13</v>
      </c>
      <c r="AJ123" s="14">
        <f>AI123*VLOOKUP('Données projet'!$B$10,Paramètres!$A$1:$I$89,3,0)*VLOOKUP('Données projet'!$B$10,Paramètres!$A$1:$I$89,5,0)</f>
        <v>-1.2710188457276673E-13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382.55387448074327</v>
      </c>
      <c r="AO123" s="62">
        <f t="shared" si="90"/>
        <v>476.29465646955543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1.817701489147306</v>
      </c>
      <c r="AV123" s="23">
        <f>EXP(-LN(2)/25)*AV122+(1-EXP(-LN(2)/25))/(LN(2)/25)*Calculateur!AQ123*Calculateur!AS123*VLOOKUP('Données projet'!$B$10,Paramètres!$A$1:$I$89,3,0)*0.475*44/12</f>
        <v>1.1727294962387718</v>
      </c>
      <c r="AW123" s="23">
        <f>EXP(-LN(2)/2)*AW122+(1-EXP(-LN(2)/2))/(LN(2)/2)*AQ123*AT123*VLOOKUP('Données projet'!$B$10,Paramètres!$A$1:$I$89,3,0)*0.475*44/12</f>
        <v>3.7727453617186268E-13</v>
      </c>
      <c r="AX123" s="23">
        <f t="shared" si="60"/>
        <v>2.990430985386455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projet'!$B$11,Paramètres!$A$1:$I$89,3,0)*VLOOKUP('Données projet'!$B$11,Paramètres!$A$1:$I$89,5,0)</f>
        <v>-5.3205440053716299E-14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310.95287409903602</v>
      </c>
      <c r="BJ123" s="62">
        <f t="shared" si="92"/>
        <v>224.10083380795163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287.69656598881124</v>
      </c>
      <c r="T124" s="62">
        <f t="shared" si="88"/>
        <v>221.9773436301067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0.48487348229056215</v>
      </c>
      <c r="AB124" s="23">
        <f>EXP(-LN(2)/2)*AB123+(1-EXP(-LN(2)/2))/(LN(2)/2)*V124*Y124*VLOOKUP('Données projet'!$B$9,Paramètres!$A$1:$I$89,3,0)*0.475*44/12</f>
        <v>2.858240840784736E-13</v>
      </c>
      <c r="AC124" s="24">
        <f t="shared" si="57"/>
        <v>0.48487348229084798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-2.2737367544323206E-13</v>
      </c>
      <c r="AJ124" s="14">
        <f>AI124*VLOOKUP('Données projet'!$B$10,Paramètres!$A$1:$I$89,3,0)*VLOOKUP('Données projet'!$B$10,Paramètres!$A$1:$I$89,5,0)</f>
        <v>-1.2710188457276673E-13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382.55387448074327</v>
      </c>
      <c r="AO124" s="62">
        <f t="shared" si="90"/>
        <v>476.29465646955543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1.7820574716335618</v>
      </c>
      <c r="AV124" s="23">
        <f>EXP(-LN(2)/25)*AV123+(1-EXP(-LN(2)/25))/(LN(2)/25)*Calculateur!AQ124*Calculateur!AS124*VLOOKUP('Données projet'!$B$10,Paramètres!$A$1:$I$89,3,0)*0.475*44/12</f>
        <v>1.1406611464929586</v>
      </c>
      <c r="AW124" s="23">
        <f>EXP(-LN(2)/2)*AW123+(1-EXP(-LN(2)/2))/(LN(2)/2)*AQ124*AT124*VLOOKUP('Données projet'!$B$10,Paramètres!$A$1:$I$89,3,0)*0.475*44/12</f>
        <v>2.6677338289613351E-13</v>
      </c>
      <c r="AX124" s="23">
        <f t="shared" si="60"/>
        <v>2.9227186181267872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-5.3205440053716299E-14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310.95287409903602</v>
      </c>
      <c r="BJ124" s="62">
        <f t="shared" si="92"/>
        <v>224.10083380795163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287.69656598881124</v>
      </c>
      <c r="T125" s="62">
        <f t="shared" si="88"/>
        <v>221.9773436301067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0.47161459141893847</v>
      </c>
      <c r="AB125" s="23">
        <f>EXP(-LN(2)/2)*AB124+(1-EXP(-LN(2)/2))/(LN(2)/2)*V125*Y125*VLOOKUP('Données projet'!$B$9,Paramètres!$A$1:$I$89,3,0)*0.475*44/12</f>
        <v>2.0210814807832259E-13</v>
      </c>
      <c r="AC125" s="24">
        <f t="shared" si="57"/>
        <v>0.47161459141914058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-2.2737367544323206E-13</v>
      </c>
      <c r="AJ125" s="14">
        <f>AI125*VLOOKUP('Données projet'!$B$10,Paramètres!$A$1:$I$89,3,0)*VLOOKUP('Données projet'!$B$10,Paramètres!$A$1:$I$89,5,0)</f>
        <v>-1.2710188457276673E-13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382.55387448074327</v>
      </c>
      <c r="AO125" s="62">
        <f t="shared" si="90"/>
        <v>476.29465646955543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1.747112411562558</v>
      </c>
      <c r="AV125" s="23">
        <f>EXP(-LN(2)/25)*AV124+(1-EXP(-LN(2)/25))/(LN(2)/25)*Calculateur!AQ125*Calculateur!AS125*VLOOKUP('Données projet'!$B$10,Paramètres!$A$1:$I$89,3,0)*0.475*44/12</f>
        <v>1.1094697074573459</v>
      </c>
      <c r="AW125" s="23">
        <f>EXP(-LN(2)/2)*AW124+(1-EXP(-LN(2)/2))/(LN(2)/2)*AQ125*AT125*VLOOKUP('Données projet'!$B$10,Paramètres!$A$1:$I$89,3,0)*0.475*44/12</f>
        <v>1.8863726808593134E-13</v>
      </c>
      <c r="AX125" s="23">
        <f t="shared" si="60"/>
        <v>2.8565821190200924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-5.3205440053716299E-14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310.95287409903602</v>
      </c>
      <c r="BJ125" s="62">
        <f t="shared" si="92"/>
        <v>224.10083380795163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287.69656598881124</v>
      </c>
      <c r="T126" s="62">
        <f t="shared" si="88"/>
        <v>221.9773436301067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0.45871826561545415</v>
      </c>
      <c r="AB126" s="23">
        <f>EXP(-LN(2)/2)*AB125+(1-EXP(-LN(2)/2))/(LN(2)/2)*V126*Y126*VLOOKUP('Données projet'!$B$9,Paramètres!$A$1:$I$89,3,0)*0.475*44/12</f>
        <v>1.429120420392368E-13</v>
      </c>
      <c r="AC126" s="24">
        <f t="shared" si="57"/>
        <v>0.45871826561559703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-2.2737367544323206E-13</v>
      </c>
      <c r="AJ126" s="14">
        <f>AI126*VLOOKUP('Données projet'!$B$10,Paramètres!$A$1:$I$89,3,0)*VLOOKUP('Données projet'!$B$10,Paramètres!$A$1:$I$89,5,0)</f>
        <v>-1.2710188457276673E-13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382.55387448074327</v>
      </c>
      <c r="AO126" s="62">
        <f t="shared" si="90"/>
        <v>476.29465646955543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1.7128526028051647</v>
      </c>
      <c r="AV126" s="23">
        <f>EXP(-LN(2)/25)*AV125+(1-EXP(-LN(2)/25))/(LN(2)/25)*Calculateur!AQ126*Calculateur!AS126*VLOOKUP('Données projet'!$B$10,Paramètres!$A$1:$I$89,3,0)*0.475*44/12</f>
        <v>1.0791311999624484</v>
      </c>
      <c r="AW126" s="23">
        <f>EXP(-LN(2)/2)*AW125+(1-EXP(-LN(2)/2))/(LN(2)/2)*AQ126*AT126*VLOOKUP('Données projet'!$B$10,Paramètres!$A$1:$I$89,3,0)*0.475*44/12</f>
        <v>1.3338669144806676E-13</v>
      </c>
      <c r="AX126" s="23">
        <f t="shared" si="60"/>
        <v>2.7919838027677466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-5.3205440053716299E-14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310.95287409903602</v>
      </c>
      <c r="BJ126" s="62">
        <f t="shared" si="92"/>
        <v>224.10083380795163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287.69656598881124</v>
      </c>
      <c r="T127" s="62">
        <f t="shared" si="88"/>
        <v>221.9773436301067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0.4461745905192544</v>
      </c>
      <c r="AB127" s="23">
        <f>EXP(-LN(2)/2)*AB126+(1-EXP(-LN(2)/2))/(LN(2)/2)*V127*Y127*VLOOKUP('Données projet'!$B$9,Paramètres!$A$1:$I$89,3,0)*0.475*44/12</f>
        <v>1.010540740391613E-13</v>
      </c>
      <c r="AC127" s="24">
        <f t="shared" si="57"/>
        <v>0.44617459051935543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-2.2737367544323206E-13</v>
      </c>
      <c r="AJ127" s="14">
        <f>AI127*VLOOKUP('Données projet'!$B$10,Paramètres!$A$1:$I$89,3,0)*VLOOKUP('Données projet'!$B$10,Paramètres!$A$1:$I$89,5,0)</f>
        <v>-1.2710188457276673E-13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382.55387448074327</v>
      </c>
      <c r="AO127" s="62">
        <f t="shared" si="90"/>
        <v>476.29465646955543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1.679264608001084</v>
      </c>
      <c r="AV127" s="23">
        <f>EXP(-LN(2)/25)*AV126+(1-EXP(-LN(2)/25))/(LN(2)/25)*Calculateur!AQ127*Calculateur!AS127*VLOOKUP('Données projet'!$B$10,Paramètres!$A$1:$I$89,3,0)*0.475*44/12</f>
        <v>1.0496223005504319</v>
      </c>
      <c r="AW127" s="23">
        <f>EXP(-LN(2)/2)*AW126+(1-EXP(-LN(2)/2))/(LN(2)/2)*AQ127*AT127*VLOOKUP('Données projet'!$B$10,Paramètres!$A$1:$I$89,3,0)*0.475*44/12</f>
        <v>9.4318634042965671E-14</v>
      </c>
      <c r="AX127" s="23">
        <f t="shared" si="60"/>
        <v>2.7288869085516101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-5.3205440053716299E-14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310.95287409903602</v>
      </c>
      <c r="BJ127" s="62">
        <f t="shared" si="92"/>
        <v>224.10083380795163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287.69656598881124</v>
      </c>
      <c r="T128" s="62">
        <f t="shared" si="88"/>
        <v>221.9773436301067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0.43397392287820341</v>
      </c>
      <c r="AB128" s="23">
        <f>EXP(-LN(2)/2)*AB127+(1-EXP(-LN(2)/2))/(LN(2)/2)*V128*Y128*VLOOKUP('Données projet'!$B$9,Paramètres!$A$1:$I$89,3,0)*0.475*44/12</f>
        <v>7.1456021019618399E-14</v>
      </c>
      <c r="AC128" s="24">
        <f t="shared" si="57"/>
        <v>0.43397392287827485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-2.2737367544323206E-13</v>
      </c>
      <c r="AJ128" s="14">
        <f>AI128*VLOOKUP('Données projet'!$B$10,Paramètres!$A$1:$I$89,3,0)*VLOOKUP('Données projet'!$B$10,Paramètres!$A$1:$I$89,5,0)</f>
        <v>-1.2710188457276673E-13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382.55387448074327</v>
      </c>
      <c r="AO128" s="62">
        <f t="shared" si="90"/>
        <v>476.29465646955543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1.6463352532884574</v>
      </c>
      <c r="AV128" s="23">
        <f>EXP(-LN(2)/25)*AV127+(1-EXP(-LN(2)/25))/(LN(2)/25)*Calculateur!AQ128*Calculateur!AS128*VLOOKUP('Données projet'!$B$10,Paramètres!$A$1:$I$89,3,0)*0.475*44/12</f>
        <v>1.0209203235446425</v>
      </c>
      <c r="AW128" s="23">
        <f>EXP(-LN(2)/2)*AW127+(1-EXP(-LN(2)/2))/(LN(2)/2)*AQ128*AT128*VLOOKUP('Données projet'!$B$10,Paramètres!$A$1:$I$89,3,0)*0.475*44/12</f>
        <v>6.6693345724033378E-14</v>
      </c>
      <c r="AX128" s="23">
        <f t="shared" si="60"/>
        <v>2.6672555768331665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-5.3205440053716299E-14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310.95287409903602</v>
      </c>
      <c r="BJ128" s="62">
        <f t="shared" si="92"/>
        <v>224.10083380795163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287.69656598881124</v>
      </c>
      <c r="T129" s="62">
        <f t="shared" si="88"/>
        <v>221.9773436301067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0.42210688313540218</v>
      </c>
      <c r="AB129" s="23">
        <f>EXP(-LN(2)/2)*AB128+(1-EXP(-LN(2)/2))/(LN(2)/2)*V129*Y129*VLOOKUP('Données projet'!$B$9,Paramètres!$A$1:$I$89,3,0)*0.475*44/12</f>
        <v>5.0527037019580648E-14</v>
      </c>
      <c r="AC129" s="24">
        <f t="shared" si="57"/>
        <v>0.42210688313545269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-2.2737367544323206E-13</v>
      </c>
      <c r="AJ129" s="14">
        <f>AI129*VLOOKUP('Données projet'!$B$10,Paramètres!$A$1:$I$89,3,0)*VLOOKUP('Données projet'!$B$10,Paramètres!$A$1:$I$89,5,0)</f>
        <v>-1.2710188457276673E-13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382.55387448074327</v>
      </c>
      <c r="AO129" s="62">
        <f t="shared" si="90"/>
        <v>476.29465646955543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1.6140516231368223</v>
      </c>
      <c r="AV129" s="23">
        <f>EXP(-LN(2)/25)*AV128+(1-EXP(-LN(2)/25))/(LN(2)/25)*Calculateur!AQ129*Calculateur!AS129*VLOOKUP('Données projet'!$B$10,Paramètres!$A$1:$I$89,3,0)*0.475*44/12</f>
        <v>0.99300320360944772</v>
      </c>
      <c r="AW129" s="23">
        <f>EXP(-LN(2)/2)*AW128+(1-EXP(-LN(2)/2))/(LN(2)/2)*AQ129*AT129*VLOOKUP('Données projet'!$B$10,Paramètres!$A$1:$I$89,3,0)*0.475*44/12</f>
        <v>4.7159317021482835E-14</v>
      </c>
      <c r="AX129" s="23">
        <f t="shared" si="60"/>
        <v>2.6070548267463169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-5.3205440053716299E-14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310.95287409903602</v>
      </c>
      <c r="BJ129" s="62">
        <f t="shared" si="92"/>
        <v>224.10083380795163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287.69656598881124</v>
      </c>
      <c r="T130" s="62">
        <f t="shared" si="88"/>
        <v>221.9773436301067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0.41056434821842835</v>
      </c>
      <c r="AB130" s="23">
        <f>EXP(-LN(2)/2)*AB129+(1-EXP(-LN(2)/2))/(LN(2)/2)*V130*Y130*VLOOKUP('Données projet'!$B$9,Paramètres!$A$1:$I$89,3,0)*0.475*44/12</f>
        <v>3.5728010509809199E-14</v>
      </c>
      <c r="AC130" s="24">
        <f t="shared" si="57"/>
        <v>0.4105643482184641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-2.2737367544323206E-13</v>
      </c>
      <c r="AJ130" s="14">
        <f>AI130*VLOOKUP('Données projet'!$B$10,Paramètres!$A$1:$I$89,3,0)*VLOOKUP('Données projet'!$B$10,Paramètres!$A$1:$I$89,5,0)</f>
        <v>-1.2710188457276673E-13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382.55387448074327</v>
      </c>
      <c r="AO130" s="62">
        <f t="shared" si="90"/>
        <v>476.29465646955543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1.5824010552813905</v>
      </c>
      <c r="AV130" s="23">
        <f>EXP(-LN(2)/25)*AV129+(1-EXP(-LN(2)/25))/(LN(2)/25)*Calculateur!AQ130*Calculateur!AS130*VLOOKUP('Données projet'!$B$10,Paramètres!$A$1:$I$89,3,0)*0.475*44/12</f>
        <v>0.96584947878697847</v>
      </c>
      <c r="AW130" s="23">
        <f>EXP(-LN(2)/2)*AW129+(1-EXP(-LN(2)/2))/(LN(2)/2)*AQ130*AT130*VLOOKUP('Données projet'!$B$10,Paramètres!$A$1:$I$89,3,0)*0.475*44/12</f>
        <v>3.3346672862016689E-14</v>
      </c>
      <c r="AX130" s="23">
        <f t="shared" si="60"/>
        <v>2.5482505340684023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-5.3205440053716299E-14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310.95287409903602</v>
      </c>
      <c r="BJ130" s="62">
        <f t="shared" si="92"/>
        <v>224.10083380795163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287.69656598881124</v>
      </c>
      <c r="T131" s="62">
        <f t="shared" si="88"/>
        <v>221.9773436301067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0.3993374445257547</v>
      </c>
      <c r="AB131" s="23">
        <f>EXP(-LN(2)/2)*AB130+(1-EXP(-LN(2)/2))/(LN(2)/2)*V131*Y131*VLOOKUP('Données projet'!$B$9,Paramètres!$A$1:$I$89,3,0)*0.475*44/12</f>
        <v>2.5263518509790324E-14</v>
      </c>
      <c r="AC131" s="24">
        <f t="shared" si="57"/>
        <v>0.39933744452577996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-2.2737367544323206E-13</v>
      </c>
      <c r="AJ131" s="14">
        <f>AI131*VLOOKUP('Données projet'!$B$10,Paramètres!$A$1:$I$89,3,0)*VLOOKUP('Données projet'!$B$10,Paramètres!$A$1:$I$89,5,0)</f>
        <v>-1.2710188457276673E-13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382.55387448074327</v>
      </c>
      <c r="AO131" s="62">
        <f t="shared" si="90"/>
        <v>476.29465646955543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1.5513711357566635</v>
      </c>
      <c r="AV131" s="23">
        <f>EXP(-LN(2)/25)*AV130+(1-EXP(-LN(2)/25))/(LN(2)/25)*Calculateur!AQ131*Calculateur!AS131*VLOOKUP('Données projet'!$B$10,Paramètres!$A$1:$I$89,3,0)*0.475*44/12</f>
        <v>0.93943827399773194</v>
      </c>
      <c r="AW131" s="23">
        <f>EXP(-LN(2)/2)*AW130+(1-EXP(-LN(2)/2))/(LN(2)/2)*AQ131*AT131*VLOOKUP('Données projet'!$B$10,Paramètres!$A$1:$I$89,3,0)*0.475*44/12</f>
        <v>2.3579658510741418E-14</v>
      </c>
      <c r="AX131" s="23">
        <f t="shared" si="60"/>
        <v>2.4908094097544189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-5.3205440053716299E-14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310.95287409903602</v>
      </c>
      <c r="BJ131" s="62">
        <f t="shared" si="92"/>
        <v>224.10083380795163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287.69656598881124</v>
      </c>
      <c r="T132" s="62">
        <f t="shared" si="88"/>
        <v>221.9773436301067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0.38841754110495441</v>
      </c>
      <c r="AB132" s="23">
        <f>EXP(-LN(2)/2)*AB131+(1-EXP(-LN(2)/2))/(LN(2)/2)*V132*Y132*VLOOKUP('Données projet'!$B$9,Paramètres!$A$1:$I$89,3,0)*0.475*44/12</f>
        <v>1.78640052549046E-14</v>
      </c>
      <c r="AC132" s="24">
        <f t="shared" ref="AC132:AC153" si="111">SUM(Z132:AB132)</f>
        <v>0.38841754110497229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-2.2737367544323206E-13</v>
      </c>
      <c r="AJ132" s="14">
        <f>AI132*VLOOKUP('Données projet'!$B$10,Paramètres!$A$1:$I$89,3,0)*VLOOKUP('Données projet'!$B$10,Paramètres!$A$1:$I$89,5,0)</f>
        <v>-1.2710188457276673E-13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382.55387448074327</v>
      </c>
      <c r="AO132" s="62">
        <f t="shared" si="90"/>
        <v>476.29465646955543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1.5209496940274345</v>
      </c>
      <c r="AV132" s="23">
        <f>EXP(-LN(2)/25)*AV131+(1-EXP(-LN(2)/25))/(LN(2)/25)*Calculateur!AQ132*Calculateur!AS132*VLOOKUP('Données projet'!$B$10,Paramètres!$A$1:$I$89,3,0)*0.475*44/12</f>
        <v>0.9137492849923522</v>
      </c>
      <c r="AW132" s="23">
        <f>EXP(-LN(2)/2)*AW131+(1-EXP(-LN(2)/2))/(LN(2)/2)*AQ132*AT132*VLOOKUP('Données projet'!$B$10,Paramètres!$A$1:$I$89,3,0)*0.475*44/12</f>
        <v>1.6673336431008344E-14</v>
      </c>
      <c r="AX132" s="23">
        <f t="shared" ref="AX132:AX153" si="114">SUM(AU132:AW132)</f>
        <v>2.4346989790198035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-5.3205440053716299E-14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310.95287409903602</v>
      </c>
      <c r="BJ132" s="62">
        <f t="shared" si="92"/>
        <v>224.10083380795163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287.69656598881124</v>
      </c>
      <c r="T133" s="62">
        <f t="shared" ref="T133:T196" si="142">$T$3</f>
        <v>221.9773436301067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0.37779624301744869</v>
      </c>
      <c r="AB133" s="23">
        <f>EXP(-LN(2)/2)*AB132+(1-EXP(-LN(2)/2))/(LN(2)/2)*V133*Y133*VLOOKUP('Données projet'!$B$9,Paramètres!$A$1:$I$89,3,0)*0.475*44/12</f>
        <v>1.2631759254895162E-14</v>
      </c>
      <c r="AC133" s="24">
        <f t="shared" si="111"/>
        <v>0.37779624301746134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-2.2737367544323206E-13</v>
      </c>
      <c r="AJ133" s="14">
        <f>AI133*VLOOKUP('Données projet'!$B$10,Paramètres!$A$1:$I$89,3,0)*VLOOKUP('Données projet'!$B$10,Paramètres!$A$1:$I$89,5,0)</f>
        <v>-1.2710188457276673E-13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382.55387448074327</v>
      </c>
      <c r="AO133" s="62">
        <f t="shared" ref="AO133:AO196" si="144">$AO$3</f>
        <v>476.29465646955543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1.4911247982152682</v>
      </c>
      <c r="AV133" s="23">
        <f>EXP(-LN(2)/25)*AV132+(1-EXP(-LN(2)/25))/(LN(2)/25)*Calculateur!AQ133*Calculateur!AS133*VLOOKUP('Données projet'!$B$10,Paramètres!$A$1:$I$89,3,0)*0.475*44/12</f>
        <v>0.88876276274224986</v>
      </c>
      <c r="AW133" s="23">
        <f>EXP(-LN(2)/2)*AW132+(1-EXP(-LN(2)/2))/(LN(2)/2)*AQ133*AT133*VLOOKUP('Données projet'!$B$10,Paramètres!$A$1:$I$89,3,0)*0.475*44/12</f>
        <v>1.1789829255370709E-14</v>
      </c>
      <c r="AX133" s="23">
        <f t="shared" si="114"/>
        <v>2.3798875609575298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-5.3205440053716299E-14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310.95287409903602</v>
      </c>
      <c r="BJ133" s="62">
        <f t="shared" ref="BJ133:BJ196" si="146">$BJ$3</f>
        <v>224.10083380795163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287.69656598881124</v>
      </c>
      <c r="T134" s="62">
        <f t="shared" si="142"/>
        <v>221.9773436301067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0.3674653848846956</v>
      </c>
      <c r="AB134" s="23">
        <f>EXP(-LN(2)/2)*AB133+(1-EXP(-LN(2)/2))/(LN(2)/2)*V134*Y134*VLOOKUP('Données projet'!$B$9,Paramètres!$A$1:$I$89,3,0)*0.475*44/12</f>
        <v>8.9320026274522999E-15</v>
      </c>
      <c r="AC134" s="24">
        <f t="shared" si="111"/>
        <v>0.36746538488470454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-2.2737367544323206E-13</v>
      </c>
      <c r="AJ134" s="14">
        <f>AI134*VLOOKUP('Données projet'!$B$10,Paramètres!$A$1:$I$89,3,0)*VLOOKUP('Données projet'!$B$10,Paramètres!$A$1:$I$89,5,0)</f>
        <v>-1.2710188457276673E-13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382.55387448074327</v>
      </c>
      <c r="AO134" s="62">
        <f t="shared" si="144"/>
        <v>476.29465646955543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1.4618847504185883</v>
      </c>
      <c r="AV134" s="23">
        <f>EXP(-LN(2)/25)*AV133+(1-EXP(-LN(2)/25))/(LN(2)/25)*Calculateur!AQ134*Calculateur!AS134*VLOOKUP('Données projet'!$B$10,Paramètres!$A$1:$I$89,3,0)*0.475*44/12</f>
        <v>0.86445949825706059</v>
      </c>
      <c r="AW134" s="23">
        <f>EXP(-LN(2)/2)*AW133+(1-EXP(-LN(2)/2))/(LN(2)/2)*AQ134*AT134*VLOOKUP('Données projet'!$B$10,Paramètres!$A$1:$I$89,3,0)*0.475*44/12</f>
        <v>8.3366682155041722E-15</v>
      </c>
      <c r="AX134" s="23">
        <f t="shared" si="114"/>
        <v>2.3263442486756571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-5.3205440053716299E-14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310.95287409903602</v>
      </c>
      <c r="BJ134" s="62">
        <f t="shared" si="146"/>
        <v>224.10083380795163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287.69656598881124</v>
      </c>
      <c r="T135" s="62">
        <f t="shared" si="142"/>
        <v>221.9773436301067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0.35741702461085884</v>
      </c>
      <c r="AB135" s="23">
        <f>EXP(-LN(2)/2)*AB134+(1-EXP(-LN(2)/2))/(LN(2)/2)*V135*Y135*VLOOKUP('Données projet'!$B$9,Paramètres!$A$1:$I$89,3,0)*0.475*44/12</f>
        <v>6.315879627447581E-15</v>
      </c>
      <c r="AC135" s="24">
        <f t="shared" si="111"/>
        <v>0.35741702461086516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-2.2737367544323206E-13</v>
      </c>
      <c r="AJ135" s="14">
        <f>AI135*VLOOKUP('Données projet'!$B$10,Paramètres!$A$1:$I$89,3,0)*VLOOKUP('Données projet'!$B$10,Paramètres!$A$1:$I$89,5,0)</f>
        <v>-1.2710188457276673E-13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382.55387448074327</v>
      </c>
      <c r="AO135" s="62">
        <f t="shared" si="144"/>
        <v>476.29465646955543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1.4332180821245333</v>
      </c>
      <c r="AV135" s="23">
        <f>EXP(-LN(2)/25)*AV134+(1-EXP(-LN(2)/25))/(LN(2)/25)*Calculateur!AQ135*Calculateur!AS135*VLOOKUP('Données projet'!$B$10,Paramètres!$A$1:$I$89,3,0)*0.475*44/12</f>
        <v>0.84082080781727198</v>
      </c>
      <c r="AW135" s="23">
        <f>EXP(-LN(2)/2)*AW134+(1-EXP(-LN(2)/2))/(LN(2)/2)*AQ135*AT135*VLOOKUP('Données projet'!$B$10,Paramètres!$A$1:$I$89,3,0)*0.475*44/12</f>
        <v>5.8949146276853544E-15</v>
      </c>
      <c r="AX135" s="23">
        <f t="shared" si="114"/>
        <v>2.2740388899418109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-5.3205440053716299E-14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310.95287409903602</v>
      </c>
      <c r="BJ135" s="62">
        <f t="shared" si="146"/>
        <v>224.10083380795163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287.69656598881124</v>
      </c>
      <c r="T136" s="62">
        <f t="shared" si="142"/>
        <v>221.9773436301067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0.34764343727713048</v>
      </c>
      <c r="AB136" s="23">
        <f>EXP(-LN(2)/2)*AB135+(1-EXP(-LN(2)/2))/(LN(2)/2)*V136*Y136*VLOOKUP('Données projet'!$B$9,Paramètres!$A$1:$I$89,3,0)*0.475*44/12</f>
        <v>4.4660013137261499E-15</v>
      </c>
      <c r="AC136" s="24">
        <f t="shared" si="111"/>
        <v>0.34764343727713493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-2.2737367544323206E-13</v>
      </c>
      <c r="AJ136" s="14">
        <f>AI136*VLOOKUP('Données projet'!$B$10,Paramètres!$A$1:$I$89,3,0)*VLOOKUP('Données projet'!$B$10,Paramètres!$A$1:$I$89,5,0)</f>
        <v>-1.2710188457276673E-13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382.55387448074327</v>
      </c>
      <c r="AO136" s="62">
        <f t="shared" si="144"/>
        <v>476.29465646955543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1.4051135497107834</v>
      </c>
      <c r="AV136" s="23">
        <f>EXP(-LN(2)/25)*AV135+(1-EXP(-LN(2)/25))/(LN(2)/25)*Calculateur!AQ136*Calculateur!AS136*VLOOKUP('Données projet'!$B$10,Paramètres!$A$1:$I$89,3,0)*0.475*44/12</f>
        <v>0.81782851861066408</v>
      </c>
      <c r="AW136" s="23">
        <f>EXP(-LN(2)/2)*AW135+(1-EXP(-LN(2)/2))/(LN(2)/2)*AQ136*AT136*VLOOKUP('Données projet'!$B$10,Paramètres!$A$1:$I$89,3,0)*0.475*44/12</f>
        <v>4.1683341077520861E-15</v>
      </c>
      <c r="AX136" s="23">
        <f t="shared" si="114"/>
        <v>2.2229420683214514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-5.3205440053716299E-14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310.95287409903602</v>
      </c>
      <c r="BJ136" s="62">
        <f t="shared" si="146"/>
        <v>224.10083380795163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287.69656598881124</v>
      </c>
      <c r="T137" s="62">
        <f t="shared" si="142"/>
        <v>221.9773436301067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0.33813710920301354</v>
      </c>
      <c r="AB137" s="23">
        <f>EXP(-LN(2)/2)*AB136+(1-EXP(-LN(2)/2))/(LN(2)/2)*V137*Y137*VLOOKUP('Données projet'!$B$9,Paramètres!$A$1:$I$89,3,0)*0.475*44/12</f>
        <v>3.1579398137237905E-15</v>
      </c>
      <c r="AC137" s="24">
        <f t="shared" si="111"/>
        <v>0.33813710920301671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-2.2737367544323206E-13</v>
      </c>
      <c r="AJ137" s="14">
        <f>AI137*VLOOKUP('Données projet'!$B$10,Paramètres!$A$1:$I$89,3,0)*VLOOKUP('Données projet'!$B$10,Paramètres!$A$1:$I$89,5,0)</f>
        <v>-1.2710188457276673E-13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382.55387448074327</v>
      </c>
      <c r="AO137" s="62">
        <f t="shared" si="144"/>
        <v>476.29465646955543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1.3775601300355951</v>
      </c>
      <c r="AV137" s="23">
        <f>EXP(-LN(2)/25)*AV136+(1-EXP(-LN(2)/25))/(LN(2)/25)*Calculateur!AQ137*Calculateur!AS137*VLOOKUP('Données projet'!$B$10,Paramètres!$A$1:$I$89,3,0)*0.475*44/12</f>
        <v>0.7954649547615229</v>
      </c>
      <c r="AW137" s="23">
        <f>EXP(-LN(2)/2)*AW136+(1-EXP(-LN(2)/2))/(LN(2)/2)*AQ137*AT137*VLOOKUP('Données projet'!$B$10,Paramètres!$A$1:$I$89,3,0)*0.475*44/12</f>
        <v>2.9474573138426772E-15</v>
      </c>
      <c r="AX137" s="23">
        <f t="shared" si="114"/>
        <v>2.1730250847971209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-5.3205440053716299E-14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310.95287409903602</v>
      </c>
      <c r="BJ137" s="62">
        <f t="shared" si="146"/>
        <v>224.10083380795163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287.69656598881124</v>
      </c>
      <c r="T138" s="62">
        <f t="shared" si="142"/>
        <v>221.9773436301067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0.32889073216999937</v>
      </c>
      <c r="AB138" s="23">
        <f>EXP(-LN(2)/2)*AB137+(1-EXP(-LN(2)/2))/(LN(2)/2)*V138*Y138*VLOOKUP('Données projet'!$B$9,Paramètres!$A$1:$I$89,3,0)*0.475*44/12</f>
        <v>2.233000656863075E-15</v>
      </c>
      <c r="AC138" s="24">
        <f t="shared" si="111"/>
        <v>0.32889073217000159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-2.2737367544323206E-13</v>
      </c>
      <c r="AJ138" s="14">
        <f>AI138*VLOOKUP('Données projet'!$B$10,Paramètres!$A$1:$I$89,3,0)*VLOOKUP('Données projet'!$B$10,Paramètres!$A$1:$I$89,5,0)</f>
        <v>-1.2710188457276673E-13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382.55387448074327</v>
      </c>
      <c r="AO138" s="62">
        <f t="shared" si="144"/>
        <v>476.29465646955543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1.3505470161143107</v>
      </c>
      <c r="AV138" s="23">
        <f>EXP(-LN(2)/25)*AV137+(1-EXP(-LN(2)/25))/(LN(2)/25)*Calculateur!AQ138*Calculateur!AS138*VLOOKUP('Données projet'!$B$10,Paramètres!$A$1:$I$89,3,0)*0.475*44/12</f>
        <v>0.77371292374188516</v>
      </c>
      <c r="AW138" s="23">
        <f>EXP(-LN(2)/2)*AW137+(1-EXP(-LN(2)/2))/(LN(2)/2)*AQ138*AT138*VLOOKUP('Données projet'!$B$10,Paramètres!$A$1:$I$89,3,0)*0.475*44/12</f>
        <v>2.0841670538760431E-15</v>
      </c>
      <c r="AX138" s="23">
        <f t="shared" si="114"/>
        <v>2.1242599398561981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-5.3205440053716299E-14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310.95287409903602</v>
      </c>
      <c r="BJ138" s="62">
        <f t="shared" si="146"/>
        <v>224.10083380795163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287.69656598881124</v>
      </c>
      <c r="T139" s="62">
        <f t="shared" si="142"/>
        <v>221.9773436301067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0.31989719780319881</v>
      </c>
      <c r="AB139" s="23">
        <f>EXP(-LN(2)/2)*AB138+(1-EXP(-LN(2)/2))/(LN(2)/2)*V139*Y139*VLOOKUP('Données projet'!$B$9,Paramètres!$A$1:$I$89,3,0)*0.475*44/12</f>
        <v>1.5789699068618953E-15</v>
      </c>
      <c r="AC139" s="24">
        <f t="shared" si="111"/>
        <v>0.31989719780320036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-2.2737367544323206E-13</v>
      </c>
      <c r="AJ139" s="14">
        <f>AI139*VLOOKUP('Données projet'!$B$10,Paramètres!$A$1:$I$89,3,0)*VLOOKUP('Données projet'!$B$10,Paramètres!$A$1:$I$89,5,0)</f>
        <v>-1.2710188457276673E-13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382.55387448074327</v>
      </c>
      <c r="AO139" s="62">
        <f t="shared" si="144"/>
        <v>476.29465646955543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1.3240636128806502</v>
      </c>
      <c r="AV139" s="23">
        <f>EXP(-LN(2)/25)*AV138+(1-EXP(-LN(2)/25))/(LN(2)/25)*Calculateur!AQ139*Calculateur!AS139*VLOOKUP('Données projet'!$B$10,Paramètres!$A$1:$I$89,3,0)*0.475*44/12</f>
        <v>0.75255570315436904</v>
      </c>
      <c r="AW139" s="23">
        <f>EXP(-LN(2)/2)*AW138+(1-EXP(-LN(2)/2))/(LN(2)/2)*AQ139*AT139*VLOOKUP('Données projet'!$B$10,Paramètres!$A$1:$I$89,3,0)*0.475*44/12</f>
        <v>1.4737286569213386E-15</v>
      </c>
      <c r="AX139" s="23">
        <f t="shared" si="114"/>
        <v>2.0766193160350208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-5.3205440053716299E-14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310.95287409903602</v>
      </c>
      <c r="BJ139" s="62">
        <f t="shared" si="146"/>
        <v>224.10083380795163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287.69656598881124</v>
      </c>
      <c r="T140" s="62">
        <f t="shared" si="142"/>
        <v>221.9773436301067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0.31114959210660786</v>
      </c>
      <c r="AB140" s="23">
        <f>EXP(-LN(2)/2)*AB139+(1-EXP(-LN(2)/2))/(LN(2)/2)*V140*Y140*VLOOKUP('Données projet'!$B$9,Paramètres!$A$1:$I$89,3,0)*0.475*44/12</f>
        <v>1.1165003284315375E-15</v>
      </c>
      <c r="AC140" s="24">
        <f t="shared" si="111"/>
        <v>0.31114959210660897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-2.2737367544323206E-13</v>
      </c>
      <c r="AJ140" s="14">
        <f>AI140*VLOOKUP('Données projet'!$B$10,Paramètres!$A$1:$I$89,3,0)*VLOOKUP('Données projet'!$B$10,Paramètres!$A$1:$I$89,5,0)</f>
        <v>-1.2710188457276673E-13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382.55387448074327</v>
      </c>
      <c r="AO140" s="62">
        <f t="shared" si="144"/>
        <v>476.29465646955543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1.2980995330311207</v>
      </c>
      <c r="AV140" s="23">
        <f>EXP(-LN(2)/25)*AV139+(1-EXP(-LN(2)/25))/(LN(2)/25)*Calculateur!AQ140*Calculateur!AS140*VLOOKUP('Données projet'!$B$10,Paramètres!$A$1:$I$89,3,0)*0.475*44/12</f>
        <v>0.73197702787642838</v>
      </c>
      <c r="AW140" s="23">
        <f>EXP(-LN(2)/2)*AW139+(1-EXP(-LN(2)/2))/(LN(2)/2)*AQ140*AT140*VLOOKUP('Données projet'!$B$10,Paramètres!$A$1:$I$89,3,0)*0.475*44/12</f>
        <v>1.0420835269380215E-15</v>
      </c>
      <c r="AX140" s="23">
        <f t="shared" si="114"/>
        <v>2.03007656090755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-5.3205440053716299E-14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310.95287409903602</v>
      </c>
      <c r="BJ140" s="62">
        <f t="shared" si="146"/>
        <v>224.10083380795163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287.69656598881124</v>
      </c>
      <c r="T141" s="62">
        <f t="shared" si="142"/>
        <v>221.9773436301067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0.30264119014780677</v>
      </c>
      <c r="AB141" s="23">
        <f>EXP(-LN(2)/2)*AB140+(1-EXP(-LN(2)/2))/(LN(2)/2)*V141*Y141*VLOOKUP('Données projet'!$B$9,Paramètres!$A$1:$I$89,3,0)*0.475*44/12</f>
        <v>7.8948495343094763E-16</v>
      </c>
      <c r="AC141" s="24">
        <f t="shared" si="111"/>
        <v>0.30264119014780755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-2.2737367544323206E-13</v>
      </c>
      <c r="AJ141" s="14">
        <f>AI141*VLOOKUP('Données projet'!$B$10,Paramètres!$A$1:$I$89,3,0)*VLOOKUP('Données projet'!$B$10,Paramètres!$A$1:$I$89,5,0)</f>
        <v>-1.2710188457276673E-13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382.55387448074327</v>
      </c>
      <c r="AO141" s="62">
        <f t="shared" si="144"/>
        <v>476.29465646955543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1.2726445929509156</v>
      </c>
      <c r="AV141" s="23">
        <f>EXP(-LN(2)/25)*AV140+(1-EXP(-LN(2)/25))/(LN(2)/25)*Calculateur!AQ141*Calculateur!AS141*VLOOKUP('Données projet'!$B$10,Paramètres!$A$1:$I$89,3,0)*0.475*44/12</f>
        <v>0.71196107755614846</v>
      </c>
      <c r="AW141" s="23">
        <f>EXP(-LN(2)/2)*AW140+(1-EXP(-LN(2)/2))/(LN(2)/2)*AQ141*AT141*VLOOKUP('Données projet'!$B$10,Paramètres!$A$1:$I$89,3,0)*0.475*44/12</f>
        <v>7.368643284606693E-16</v>
      </c>
      <c r="AX141" s="23">
        <f t="shared" si="114"/>
        <v>1.9846056705070647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-5.3205440053716299E-14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310.95287409903602</v>
      </c>
      <c r="BJ141" s="62">
        <f t="shared" si="146"/>
        <v>224.10083380795163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287.69656598881124</v>
      </c>
      <c r="T142" s="62">
        <f t="shared" si="142"/>
        <v>221.9773436301067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0.29436545088800647</v>
      </c>
      <c r="AB142" s="23">
        <f>EXP(-LN(2)/2)*AB141+(1-EXP(-LN(2)/2))/(LN(2)/2)*V142*Y142*VLOOKUP('Données projet'!$B$9,Paramètres!$A$1:$I$89,3,0)*0.475*44/12</f>
        <v>5.5825016421576874E-16</v>
      </c>
      <c r="AC142" s="24">
        <f t="shared" si="111"/>
        <v>0.29436545088800703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-2.2737367544323206E-13</v>
      </c>
      <c r="AJ142" s="14">
        <f>AI142*VLOOKUP('Données projet'!$B$10,Paramètres!$A$1:$I$89,3,0)*VLOOKUP('Données projet'!$B$10,Paramètres!$A$1:$I$89,5,0)</f>
        <v>-1.2710188457276673E-13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382.55387448074327</v>
      </c>
      <c r="AO142" s="62">
        <f t="shared" si="144"/>
        <v>476.29465646955543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1.2476888087197029</v>
      </c>
      <c r="AV142" s="23">
        <f>EXP(-LN(2)/25)*AV141+(1-EXP(-LN(2)/25))/(LN(2)/25)*Calculateur!AQ142*Calculateur!AS142*VLOOKUP('Données projet'!$B$10,Paramètres!$A$1:$I$89,3,0)*0.475*44/12</f>
        <v>0.6924924644499697</v>
      </c>
      <c r="AW142" s="23">
        <f>EXP(-LN(2)/2)*AW141+(1-EXP(-LN(2)/2))/(LN(2)/2)*AQ142*AT142*VLOOKUP('Données projet'!$B$10,Paramètres!$A$1:$I$89,3,0)*0.475*44/12</f>
        <v>5.2104176346901076E-16</v>
      </c>
      <c r="AX142" s="23">
        <f t="shared" si="114"/>
        <v>1.940181273169673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-5.3205440053716299E-14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310.95287409903602</v>
      </c>
      <c r="BJ142" s="62">
        <f t="shared" si="146"/>
        <v>224.10083380795163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287.69656598881124</v>
      </c>
      <c r="T143" s="62">
        <f t="shared" si="142"/>
        <v>221.9773436301067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0.28631601215346764</v>
      </c>
      <c r="AB143" s="23">
        <f>EXP(-LN(2)/2)*AB142+(1-EXP(-LN(2)/2))/(LN(2)/2)*V143*Y143*VLOOKUP('Données projet'!$B$9,Paramètres!$A$1:$I$89,3,0)*0.475*44/12</f>
        <v>3.9474247671547381E-16</v>
      </c>
      <c r="AC143" s="24">
        <f t="shared" si="111"/>
        <v>0.28631601215346802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-2.2737367544323206E-13</v>
      </c>
      <c r="AJ143" s="14">
        <f>AI143*VLOOKUP('Données projet'!$B$10,Paramètres!$A$1:$I$89,3,0)*VLOOKUP('Données projet'!$B$10,Paramètres!$A$1:$I$89,5,0)</f>
        <v>-1.2710188457276673E-13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382.55387448074327</v>
      </c>
      <c r="AO143" s="62">
        <f t="shared" si="144"/>
        <v>476.29465646955543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1.2232223921957388</v>
      </c>
      <c r="AV143" s="23">
        <f>EXP(-LN(2)/25)*AV142+(1-EXP(-LN(2)/25))/(LN(2)/25)*Calculateur!AQ143*Calculateur!AS143*VLOOKUP('Données projet'!$B$10,Paramètres!$A$1:$I$89,3,0)*0.475*44/12</f>
        <v>0.67355622159298933</v>
      </c>
      <c r="AW143" s="23">
        <f>EXP(-LN(2)/2)*AW142+(1-EXP(-LN(2)/2))/(LN(2)/2)*AQ143*AT143*VLOOKUP('Données projet'!$B$10,Paramètres!$A$1:$I$89,3,0)*0.475*44/12</f>
        <v>3.6843216423033465E-16</v>
      </c>
      <c r="AX143" s="23">
        <f t="shared" si="114"/>
        <v>1.8967786137887286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-5.3205440053716299E-14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310.95287409903602</v>
      </c>
      <c r="BJ143" s="62">
        <f t="shared" si="146"/>
        <v>224.10083380795163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287.69656598881124</v>
      </c>
      <c r="T144" s="62">
        <f t="shared" si="142"/>
        <v>221.9773436301067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0.27848668574442637</v>
      </c>
      <c r="AB144" s="23">
        <f>EXP(-LN(2)/2)*AB143+(1-EXP(-LN(2)/2))/(LN(2)/2)*V144*Y144*VLOOKUP('Données projet'!$B$9,Paramètres!$A$1:$I$89,3,0)*0.475*44/12</f>
        <v>2.7912508210788437E-16</v>
      </c>
      <c r="AC144" s="24">
        <f t="shared" si="111"/>
        <v>0.27848668574442664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-2.2737367544323206E-13</v>
      </c>
      <c r="AJ144" s="14">
        <f>AI144*VLOOKUP('Données projet'!$B$10,Paramètres!$A$1:$I$89,3,0)*VLOOKUP('Données projet'!$B$10,Paramètres!$A$1:$I$89,5,0)</f>
        <v>-1.2710188457276673E-13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382.55387448074327</v>
      </c>
      <c r="AO144" s="62">
        <f t="shared" si="144"/>
        <v>476.29465646955543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1.1992357471767692</v>
      </c>
      <c r="AV144" s="23">
        <f>EXP(-LN(2)/25)*AV143+(1-EXP(-LN(2)/25))/(LN(2)/25)*Calculateur!AQ144*Calculateur!AS144*VLOOKUP('Données projet'!$B$10,Paramètres!$A$1:$I$89,3,0)*0.475*44/12</f>
        <v>0.65513779129274674</v>
      </c>
      <c r="AW144" s="23">
        <f>EXP(-LN(2)/2)*AW143+(1-EXP(-LN(2)/2))/(LN(2)/2)*AQ144*AT144*VLOOKUP('Données projet'!$B$10,Paramètres!$A$1:$I$89,3,0)*0.475*44/12</f>
        <v>2.6052088173450538E-16</v>
      </c>
      <c r="AX144" s="23">
        <f t="shared" si="114"/>
        <v>1.8543735384695161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-5.3205440053716299E-14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310.95287409903602</v>
      </c>
      <c r="BJ144" s="62">
        <f t="shared" si="146"/>
        <v>224.10083380795163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287.69656598881124</v>
      </c>
      <c r="T145" s="62">
        <f t="shared" si="142"/>
        <v>221.9773436301067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0.27087145267776669</v>
      </c>
      <c r="AB145" s="23">
        <f>EXP(-LN(2)/2)*AB144+(1-EXP(-LN(2)/2))/(LN(2)/2)*V145*Y145*VLOOKUP('Données projet'!$B$9,Paramètres!$A$1:$I$89,3,0)*0.475*44/12</f>
        <v>1.9737123835773691E-16</v>
      </c>
      <c r="AC145" s="24">
        <f t="shared" si="111"/>
        <v>0.27087145267776691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-2.2737367544323206E-13</v>
      </c>
      <c r="AJ145" s="14">
        <f>AI145*VLOOKUP('Données projet'!$B$10,Paramètres!$A$1:$I$89,3,0)*VLOOKUP('Données projet'!$B$10,Paramètres!$A$1:$I$89,5,0)</f>
        <v>-1.2710188457276673E-13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382.55387448074327</v>
      </c>
      <c r="AO145" s="62">
        <f t="shared" si="144"/>
        <v>476.29465646955543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1.1757194656362127</v>
      </c>
      <c r="AV145" s="23">
        <f>EXP(-LN(2)/25)*AV144+(1-EXP(-LN(2)/25))/(LN(2)/25)*Calculateur!AQ145*Calculateur!AS145*VLOOKUP('Données projet'!$B$10,Paramètres!$A$1:$I$89,3,0)*0.475*44/12</f>
        <v>0.63722301393764746</v>
      </c>
      <c r="AW145" s="23">
        <f>EXP(-LN(2)/2)*AW144+(1-EXP(-LN(2)/2))/(LN(2)/2)*AQ145*AT145*VLOOKUP('Données projet'!$B$10,Paramètres!$A$1:$I$89,3,0)*0.475*44/12</f>
        <v>1.8421608211516733E-16</v>
      </c>
      <c r="AX145" s="23">
        <f t="shared" si="114"/>
        <v>1.8129424795738605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-5.3205440053716299E-14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310.95287409903602</v>
      </c>
      <c r="BJ145" s="62">
        <f t="shared" si="146"/>
        <v>224.10083380795163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287.69656598881124</v>
      </c>
      <c r="T146" s="62">
        <f t="shared" si="142"/>
        <v>221.9773436301067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0.26346445855978257</v>
      </c>
      <c r="AB146" s="23">
        <f>EXP(-LN(2)/2)*AB145+(1-EXP(-LN(2)/2))/(LN(2)/2)*V146*Y146*VLOOKUP('Données projet'!$B$9,Paramètres!$A$1:$I$89,3,0)*0.475*44/12</f>
        <v>1.3956254105394219E-16</v>
      </c>
      <c r="AC146" s="24">
        <f t="shared" si="111"/>
        <v>0.26346445855978273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-2.2737367544323206E-13</v>
      </c>
      <c r="AJ146" s="14">
        <f>AI146*VLOOKUP('Données projet'!$B$10,Paramètres!$A$1:$I$89,3,0)*VLOOKUP('Données projet'!$B$10,Paramètres!$A$1:$I$89,5,0)</f>
        <v>-1.2710188457276673E-13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382.55387448074327</v>
      </c>
      <c r="AO146" s="62">
        <f t="shared" si="144"/>
        <v>476.29465646955543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1.1526643240331511</v>
      </c>
      <c r="AV146" s="23">
        <f>EXP(-LN(2)/25)*AV145+(1-EXP(-LN(2)/25))/(LN(2)/25)*Calculateur!AQ146*Calculateur!AS146*VLOOKUP('Données projet'!$B$10,Paramètres!$A$1:$I$89,3,0)*0.475*44/12</f>
        <v>0.61979811711142063</v>
      </c>
      <c r="AW146" s="23">
        <f>EXP(-LN(2)/2)*AW145+(1-EXP(-LN(2)/2))/(LN(2)/2)*AQ146*AT146*VLOOKUP('Données projet'!$B$10,Paramètres!$A$1:$I$89,3,0)*0.475*44/12</f>
        <v>1.3026044086725269E-16</v>
      </c>
      <c r="AX146" s="23">
        <f t="shared" si="114"/>
        <v>1.772462441144572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-5.3205440053716299E-14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310.95287409903602</v>
      </c>
      <c r="BJ146" s="62">
        <f t="shared" si="146"/>
        <v>224.10083380795163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287.69656598881124</v>
      </c>
      <c r="T147" s="62">
        <f t="shared" si="142"/>
        <v>221.9773436301067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0.25626000908547159</v>
      </c>
      <c r="AB147" s="23">
        <f>EXP(-LN(2)/2)*AB146+(1-EXP(-LN(2)/2))/(LN(2)/2)*V147*Y147*VLOOKUP('Données projet'!$B$9,Paramètres!$A$1:$I$89,3,0)*0.475*44/12</f>
        <v>9.8685619178868454E-17</v>
      </c>
      <c r="AC147" s="24">
        <f t="shared" si="111"/>
        <v>0.2562600090854717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-2.2737367544323206E-13</v>
      </c>
      <c r="AJ147" s="14">
        <f>AI147*VLOOKUP('Données projet'!$B$10,Paramètres!$A$1:$I$89,3,0)*VLOOKUP('Données projet'!$B$10,Paramètres!$A$1:$I$89,5,0)</f>
        <v>-1.2710188457276673E-13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382.55387448074327</v>
      </c>
      <c r="AO147" s="62">
        <f t="shared" si="144"/>
        <v>476.29465646955543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1.1300612796946776</v>
      </c>
      <c r="AV147" s="23">
        <f>EXP(-LN(2)/25)*AV146+(1-EXP(-LN(2)/25))/(LN(2)/25)*Calculateur!AQ147*Calculateur!AS147*VLOOKUP('Données projet'!$B$10,Paramètres!$A$1:$I$89,3,0)*0.475*44/12</f>
        <v>0.60284970500524238</v>
      </c>
      <c r="AW147" s="23">
        <f>EXP(-LN(2)/2)*AW146+(1-EXP(-LN(2)/2))/(LN(2)/2)*AQ147*AT147*VLOOKUP('Données projet'!$B$10,Paramètres!$A$1:$I$89,3,0)*0.475*44/12</f>
        <v>9.2108041057583663E-17</v>
      </c>
      <c r="AX147" s="23">
        <f t="shared" si="114"/>
        <v>1.73291098469992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-5.3205440053716299E-14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310.95287409903602</v>
      </c>
      <c r="BJ147" s="62">
        <f t="shared" si="146"/>
        <v>224.10083380795163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287.69656598881124</v>
      </c>
      <c r="T148" s="62">
        <f t="shared" si="142"/>
        <v>221.9773436301067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0.24925256566090118</v>
      </c>
      <c r="AB148" s="23">
        <f>EXP(-LN(2)/2)*AB147+(1-EXP(-LN(2)/2))/(LN(2)/2)*V148*Y148*VLOOKUP('Données projet'!$B$9,Paramètres!$A$1:$I$89,3,0)*0.475*44/12</f>
        <v>6.9781270526971093E-17</v>
      </c>
      <c r="AC148" s="24">
        <f t="shared" si="111"/>
        <v>0.24925256566090126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-2.2737367544323206E-13</v>
      </c>
      <c r="AJ148" s="14">
        <f>AI148*VLOOKUP('Données projet'!$B$10,Paramètres!$A$1:$I$89,3,0)*VLOOKUP('Données projet'!$B$10,Paramètres!$A$1:$I$89,5,0)</f>
        <v>-1.2710188457276673E-13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382.55387448074327</v>
      </c>
      <c r="AO148" s="62">
        <f t="shared" si="144"/>
        <v>476.29465646955543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1.1079014672691858</v>
      </c>
      <c r="AV148" s="23">
        <f>EXP(-LN(2)/25)*AV147+(1-EXP(-LN(2)/25))/(LN(2)/25)*Calculateur!AQ148*Calculateur!AS148*VLOOKUP('Données projet'!$B$10,Paramètres!$A$1:$I$89,3,0)*0.475*44/12</f>
        <v>0.58636474811938588</v>
      </c>
      <c r="AW148" s="23">
        <f>EXP(-LN(2)/2)*AW147+(1-EXP(-LN(2)/2))/(LN(2)/2)*AQ148*AT148*VLOOKUP('Données projet'!$B$10,Paramètres!$A$1:$I$89,3,0)*0.475*44/12</f>
        <v>6.5130220433626345E-17</v>
      </c>
      <c r="AX148" s="23">
        <f t="shared" si="114"/>
        <v>1.6942662153885717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-5.3205440053716299E-14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310.95287409903602</v>
      </c>
      <c r="BJ148" s="62">
        <f t="shared" si="146"/>
        <v>224.10083380795163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287.69656598881124</v>
      </c>
      <c r="T149" s="62">
        <f t="shared" si="142"/>
        <v>221.9773436301067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0.24243674114528108</v>
      </c>
      <c r="AB149" s="23">
        <f>EXP(-LN(2)/2)*AB148+(1-EXP(-LN(2)/2))/(LN(2)/2)*V149*Y149*VLOOKUP('Données projet'!$B$9,Paramètres!$A$1:$I$89,3,0)*0.475*44/12</f>
        <v>4.9342809589434227E-17</v>
      </c>
      <c r="AC149" s="24">
        <f t="shared" si="111"/>
        <v>0.24243674114528113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-2.2737367544323206E-13</v>
      </c>
      <c r="AJ149" s="14">
        <f>AI149*VLOOKUP('Données projet'!$B$10,Paramètres!$A$1:$I$89,3,0)*VLOOKUP('Données projet'!$B$10,Paramètres!$A$1:$I$89,5,0)</f>
        <v>-1.2710188457276673E-13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382.55387448074327</v>
      </c>
      <c r="AO149" s="62">
        <f t="shared" si="144"/>
        <v>476.29465646955543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1.0861761952492071</v>
      </c>
      <c r="AV149" s="23">
        <f>EXP(-LN(2)/25)*AV148+(1-EXP(-LN(2)/25))/(LN(2)/25)*Calculateur!AQ149*Calculateur!AS149*VLOOKUP('Données projet'!$B$10,Paramètres!$A$1:$I$89,3,0)*0.475*44/12</f>
        <v>0.57033057324647929</v>
      </c>
      <c r="AW149" s="23">
        <f>EXP(-LN(2)/2)*AW148+(1-EXP(-LN(2)/2))/(LN(2)/2)*AQ149*AT149*VLOOKUP('Données projet'!$B$10,Paramètres!$A$1:$I$89,3,0)*0.475*44/12</f>
        <v>4.6054020528791832E-17</v>
      </c>
      <c r="AX149" s="23">
        <f t="shared" si="114"/>
        <v>1.6565067684956865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-5.3205440053716299E-14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310.95287409903602</v>
      </c>
      <c r="BJ149" s="62">
        <f t="shared" si="146"/>
        <v>224.10083380795163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287.69656598881124</v>
      </c>
      <c r="T150" s="62">
        <f t="shared" si="142"/>
        <v>221.9773436301067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0.23580729570946923</v>
      </c>
      <c r="AB150" s="23">
        <f>EXP(-LN(2)/2)*AB149+(1-EXP(-LN(2)/2))/(LN(2)/2)*V150*Y150*VLOOKUP('Données projet'!$B$9,Paramètres!$A$1:$I$89,3,0)*0.475*44/12</f>
        <v>3.4890635263485546E-17</v>
      </c>
      <c r="AC150" s="24">
        <f t="shared" si="111"/>
        <v>0.23580729570946926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-2.2737367544323206E-13</v>
      </c>
      <c r="AJ150" s="14">
        <f>AI150*VLOOKUP('Données projet'!$B$10,Paramètres!$A$1:$I$89,3,0)*VLOOKUP('Données projet'!$B$10,Paramètres!$A$1:$I$89,5,0)</f>
        <v>-1.2710188457276673E-13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382.55387448074327</v>
      </c>
      <c r="AO150" s="62">
        <f t="shared" si="144"/>
        <v>476.29465646955543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1.0648769425624325</v>
      </c>
      <c r="AV150" s="23">
        <f>EXP(-LN(2)/25)*AV149+(1-EXP(-LN(2)/25))/(LN(2)/25)*Calculateur!AQ150*Calculateur!AS150*VLOOKUP('Données projet'!$B$10,Paramètres!$A$1:$I$89,3,0)*0.475*44/12</f>
        <v>0.55473485372867293</v>
      </c>
      <c r="AW150" s="23">
        <f>EXP(-LN(2)/2)*AW149+(1-EXP(-LN(2)/2))/(LN(2)/2)*AQ150*AT150*VLOOKUP('Données projet'!$B$10,Paramètres!$A$1:$I$89,3,0)*0.475*44/12</f>
        <v>3.2565110216813173E-17</v>
      </c>
      <c r="AX150" s="23">
        <f t="shared" si="114"/>
        <v>1.6196117962911054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-5.3205440053716299E-14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310.95287409903602</v>
      </c>
      <c r="BJ150" s="62">
        <f t="shared" si="146"/>
        <v>224.10083380795163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287.69656598881124</v>
      </c>
      <c r="T151" s="62">
        <f t="shared" si="142"/>
        <v>221.9773436301067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0.22935913280772707</v>
      </c>
      <c r="AB151" s="23">
        <f>EXP(-LN(2)/2)*AB150+(1-EXP(-LN(2)/2))/(LN(2)/2)*V151*Y151*VLOOKUP('Données projet'!$B$9,Paramètres!$A$1:$I$89,3,0)*0.475*44/12</f>
        <v>2.4671404794717113E-17</v>
      </c>
      <c r="AC151" s="24">
        <f t="shared" si="111"/>
        <v>0.2293591328077271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-2.2737367544323206E-13</v>
      </c>
      <c r="AJ151" s="14">
        <f>AI151*VLOOKUP('Données projet'!$B$10,Paramètres!$A$1:$I$89,3,0)*VLOOKUP('Données projet'!$B$10,Paramètres!$A$1:$I$89,5,0)</f>
        <v>-1.2710188457276673E-13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382.55387448074327</v>
      </c>
      <c r="AO151" s="62">
        <f t="shared" si="144"/>
        <v>476.29465646955543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1.0439953552295842</v>
      </c>
      <c r="AV151" s="23">
        <f>EXP(-LN(2)/25)*AV150+(1-EXP(-LN(2)/25))/(LN(2)/25)*Calculateur!AQ151*Calculateur!AS151*VLOOKUP('Données projet'!$B$10,Paramètres!$A$1:$I$89,3,0)*0.475*44/12</f>
        <v>0.53956559998122422</v>
      </c>
      <c r="AW151" s="23">
        <f>EXP(-LN(2)/2)*AW150+(1-EXP(-LN(2)/2))/(LN(2)/2)*AQ151*AT151*VLOOKUP('Données projet'!$B$10,Paramètres!$A$1:$I$89,3,0)*0.475*44/12</f>
        <v>2.3027010264395916E-17</v>
      </c>
      <c r="AX151" s="23">
        <f t="shared" si="114"/>
        <v>1.5835609552108085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-5.3205440053716299E-14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310.95287409903602</v>
      </c>
      <c r="BJ151" s="62">
        <f t="shared" si="146"/>
        <v>224.10083380795163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287.69656598881124</v>
      </c>
      <c r="T152" s="62">
        <f t="shared" si="142"/>
        <v>221.9773436301067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0.2230872952596272</v>
      </c>
      <c r="AB152" s="23">
        <f>EXP(-LN(2)/2)*AB151+(1-EXP(-LN(2)/2))/(LN(2)/2)*V152*Y152*VLOOKUP('Données projet'!$B$9,Paramètres!$A$1:$I$89,3,0)*0.475*44/12</f>
        <v>1.7445317631742773E-17</v>
      </c>
      <c r="AC152" s="24">
        <f t="shared" si="111"/>
        <v>0.22308729525962723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-2.2737367544323206E-13</v>
      </c>
      <c r="AJ152" s="14">
        <f>AI152*VLOOKUP('Données projet'!$B$10,Paramètres!$A$1:$I$89,3,0)*VLOOKUP('Données projet'!$B$10,Paramètres!$A$1:$I$89,5,0)</f>
        <v>-1.2710188457276673E-13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382.55387448074327</v>
      </c>
      <c r="AO152" s="62">
        <f t="shared" si="144"/>
        <v>476.29465646955543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1.0235232430878225</v>
      </c>
      <c r="AV152" s="23">
        <f>EXP(-LN(2)/25)*AV151+(1-EXP(-LN(2)/25))/(LN(2)/25)*Calculateur!AQ152*Calculateur!AS152*VLOOKUP('Données projet'!$B$10,Paramètres!$A$1:$I$89,3,0)*0.475*44/12</f>
        <v>0.52481115027521597</v>
      </c>
      <c r="AW152" s="23">
        <f>EXP(-LN(2)/2)*AW151+(1-EXP(-LN(2)/2))/(LN(2)/2)*AQ152*AT152*VLOOKUP('Données projet'!$B$10,Paramètres!$A$1:$I$89,3,0)*0.475*44/12</f>
        <v>1.6282555108406586E-17</v>
      </c>
      <c r="AX152" s="23">
        <f t="shared" si="114"/>
        <v>1.5483343933630385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-5.3205440053716299E-14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310.95287409903602</v>
      </c>
      <c r="BJ152" s="62">
        <f t="shared" si="146"/>
        <v>224.10083380795163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287.69656598881124</v>
      </c>
      <c r="T153" s="62">
        <f t="shared" si="142"/>
        <v>221.9773436301067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0.21698696143910171</v>
      </c>
      <c r="AB153" s="23">
        <f>EXP(-LN(2)/2)*AB152+(1-EXP(-LN(2)/2))/(LN(2)/2)*V153*Y153*VLOOKUP('Données projet'!$B$9,Paramètres!$A$1:$I$89,3,0)*0.475*44/12</f>
        <v>1.2335702397358557E-17</v>
      </c>
      <c r="AC153" s="24">
        <f t="shared" si="111"/>
        <v>0.21698696143910171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-2.2737367544323206E-13</v>
      </c>
      <c r="AJ153" s="14">
        <f>AI153*VLOOKUP('Données projet'!$B$10,Paramètres!$A$1:$I$89,3,0)*VLOOKUP('Données projet'!$B$10,Paramètres!$A$1:$I$89,5,0)</f>
        <v>-1.2710188457276673E-13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382.55387448074327</v>
      </c>
      <c r="AO153" s="62">
        <f t="shared" si="144"/>
        <v>476.29465646955543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1.0034525765784053</v>
      </c>
      <c r="AV153" s="23">
        <f>EXP(-LN(2)/25)*AV152+(1-EXP(-LN(2)/25))/(LN(2)/25)*Calculateur!AQ153*Calculateur!AS153*VLOOKUP('Données projet'!$B$10,Paramètres!$A$1:$I$89,3,0)*0.475*44/12</f>
        <v>0.51046016177232123</v>
      </c>
      <c r="AW153" s="23">
        <f>EXP(-LN(2)/2)*AW152+(1-EXP(-LN(2)/2))/(LN(2)/2)*AQ153*AT153*VLOOKUP('Données projet'!$B$10,Paramètres!$A$1:$I$89,3,0)*0.475*44/12</f>
        <v>1.1513505132197958E-17</v>
      </c>
      <c r="AX153" s="23">
        <f t="shared" si="114"/>
        <v>1.5139127383507265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-5.3205440053716299E-14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310.95287409903602</v>
      </c>
      <c r="BJ153" s="62">
        <f t="shared" si="146"/>
        <v>224.10083380795163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287.69656598881124</v>
      </c>
      <c r="T154" s="62">
        <f t="shared" si="142"/>
        <v>221.9773436301067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0.21105344156770109</v>
      </c>
      <c r="AB154" s="23">
        <f>EXP(-LN(2)/2)*AB153+(1-EXP(-LN(2)/2))/(LN(2)/2)*V154*Y154*VLOOKUP('Données projet'!$B$9,Paramètres!$A$1:$I$89,3,0)*0.475*44/12</f>
        <v>8.7226588158713866E-18</v>
      </c>
      <c r="AC154" s="24">
        <f t="shared" ref="AC154:AC203" si="163">SUM(Z154:AB154)</f>
        <v>0.21105344156770109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-2.2737367544323206E-13</v>
      </c>
      <c r="AJ154" s="14">
        <f>AI154*VLOOKUP('Données projet'!$B$10,Paramètres!$A$1:$I$89,3,0)*VLOOKUP('Données projet'!$B$10,Paramètres!$A$1:$I$89,5,0)</f>
        <v>-1.2710188457276673E-13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382.55387448074327</v>
      </c>
      <c r="AO154" s="62">
        <f t="shared" si="144"/>
        <v>476.29465646955543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0.98377548359733991</v>
      </c>
      <c r="AV154" s="23">
        <f>EXP(-LN(2)/25)*AV153+(1-EXP(-LN(2)/25))/(LN(2)/25)*Calculateur!AQ154*Calculateur!AS154*VLOOKUP('Données projet'!$B$10,Paramètres!$A$1:$I$89,3,0)*0.475*44/12</f>
        <v>0.49650160180472386</v>
      </c>
      <c r="AW154" s="23">
        <f>EXP(-LN(2)/2)*AW153+(1-EXP(-LN(2)/2))/(LN(2)/2)*AQ154*AT154*VLOOKUP('Données projet'!$B$10,Paramètres!$A$1:$I$89,3,0)*0.475*44/12</f>
        <v>8.1412775542032932E-18</v>
      </c>
      <c r="AX154" s="23">
        <f t="shared" ref="AX154:AX203" si="166">SUM(AU154:AW154)</f>
        <v>1.4802770854020637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-5.3205440053716299E-14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310.95287409903602</v>
      </c>
      <c r="BJ154" s="62">
        <f t="shared" si="146"/>
        <v>224.10083380795163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287.69656598881124</v>
      </c>
      <c r="T155" s="62">
        <f t="shared" si="142"/>
        <v>221.9773436301067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0.20528217410921418</v>
      </c>
      <c r="AB155" s="23">
        <f>EXP(-LN(2)/2)*AB154+(1-EXP(-LN(2)/2))/(LN(2)/2)*V155*Y155*VLOOKUP('Données projet'!$B$9,Paramètres!$A$1:$I$89,3,0)*0.475*44/12</f>
        <v>6.1678511986792784E-18</v>
      </c>
      <c r="AC155" s="24">
        <f t="shared" si="163"/>
        <v>0.20528217410921418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-2.2737367544323206E-13</v>
      </c>
      <c r="AJ155" s="14">
        <f>AI155*VLOOKUP('Données projet'!$B$10,Paramètres!$A$1:$I$89,3,0)*VLOOKUP('Données projet'!$B$10,Paramètres!$A$1:$I$89,5,0)</f>
        <v>-1.2710188457276673E-13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382.55387448074327</v>
      </c>
      <c r="AO155" s="62">
        <f t="shared" si="144"/>
        <v>476.29465646955543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0.96448424640779162</v>
      </c>
      <c r="AV155" s="23">
        <f>EXP(-LN(2)/25)*AV154+(1-EXP(-LN(2)/25))/(LN(2)/25)*Calculateur!AQ155*Calculateur!AS155*VLOOKUP('Données projet'!$B$10,Paramètres!$A$1:$I$89,3,0)*0.475*44/12</f>
        <v>0.48292473939348923</v>
      </c>
      <c r="AW155" s="23">
        <f>EXP(-LN(2)/2)*AW154+(1-EXP(-LN(2)/2))/(LN(2)/2)*AQ155*AT155*VLOOKUP('Données projet'!$B$10,Paramètres!$A$1:$I$89,3,0)*0.475*44/12</f>
        <v>5.7567525660989789E-18</v>
      </c>
      <c r="AX155" s="23">
        <f t="shared" si="166"/>
        <v>1.4474089858012809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-5.3205440053716299E-14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310.95287409903602</v>
      </c>
      <c r="BJ155" s="62">
        <f t="shared" si="146"/>
        <v>224.10083380795163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287.69656598881124</v>
      </c>
      <c r="T156" s="62">
        <f t="shared" si="142"/>
        <v>221.9773436301067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0.19966872226287735</v>
      </c>
      <c r="AB156" s="23">
        <f>EXP(-LN(2)/2)*AB155+(1-EXP(-LN(2)/2))/(LN(2)/2)*V156*Y156*VLOOKUP('Données projet'!$B$9,Paramètres!$A$1:$I$89,3,0)*0.475*44/12</f>
        <v>4.3613294079356933E-18</v>
      </c>
      <c r="AC156" s="24">
        <f t="shared" si="163"/>
        <v>0.19966872226287735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-2.2737367544323206E-13</v>
      </c>
      <c r="AJ156" s="14">
        <f>AI156*VLOOKUP('Données projet'!$B$10,Paramètres!$A$1:$I$89,3,0)*VLOOKUP('Données projet'!$B$10,Paramètres!$A$1:$I$89,5,0)</f>
        <v>-1.2710188457276673E-13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382.55387448074327</v>
      </c>
      <c r="AO156" s="62">
        <f t="shared" si="144"/>
        <v>476.29465646955543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0.94557129861303757</v>
      </c>
      <c r="AV156" s="23">
        <f>EXP(-LN(2)/25)*AV155+(1-EXP(-LN(2)/25))/(LN(2)/25)*Calculateur!AQ156*Calculateur!AS156*VLOOKUP('Données projet'!$B$10,Paramètres!$A$1:$I$89,3,0)*0.475*44/12</f>
        <v>0.46971913699886597</v>
      </c>
      <c r="AW156" s="23">
        <f>EXP(-LN(2)/2)*AW155+(1-EXP(-LN(2)/2))/(LN(2)/2)*AQ156*AT156*VLOOKUP('Données projet'!$B$10,Paramètres!$A$1:$I$89,3,0)*0.475*44/12</f>
        <v>4.0706387771016466E-18</v>
      </c>
      <c r="AX156" s="23">
        <f t="shared" si="166"/>
        <v>1.4152904356119036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-5.3205440053716299E-14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310.95287409903602</v>
      </c>
      <c r="BJ156" s="62">
        <f t="shared" si="146"/>
        <v>224.10083380795163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287.69656598881124</v>
      </c>
      <c r="T157" s="62">
        <f t="shared" si="142"/>
        <v>221.9773436301067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0.19420877055247721</v>
      </c>
      <c r="AB157" s="23">
        <f>EXP(-LN(2)/2)*AB156+(1-EXP(-LN(2)/2))/(LN(2)/2)*V157*Y157*VLOOKUP('Données projet'!$B$9,Paramètres!$A$1:$I$89,3,0)*0.475*44/12</f>
        <v>3.0839255993396392E-18</v>
      </c>
      <c r="AC157" s="24">
        <f t="shared" si="163"/>
        <v>0.19420877055247721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-2.2737367544323206E-13</v>
      </c>
      <c r="AJ157" s="14">
        <f>AI157*VLOOKUP('Données projet'!$B$10,Paramètres!$A$1:$I$89,3,0)*VLOOKUP('Données projet'!$B$10,Paramètres!$A$1:$I$89,5,0)</f>
        <v>-1.2710188457276673E-13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382.55387448074327</v>
      </c>
      <c r="AO157" s="62">
        <f t="shared" si="144"/>
        <v>476.29465646955543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0.92702922218877959</v>
      </c>
      <c r="AV157" s="23">
        <f>EXP(-LN(2)/25)*AV156+(1-EXP(-LN(2)/25))/(LN(2)/25)*Calculateur!AQ157*Calculateur!AS157*VLOOKUP('Données projet'!$B$10,Paramètres!$A$1:$I$89,3,0)*0.475*44/12</f>
        <v>0.4568746424961761</v>
      </c>
      <c r="AW157" s="23">
        <f>EXP(-LN(2)/2)*AW156+(1-EXP(-LN(2)/2))/(LN(2)/2)*AQ157*AT157*VLOOKUP('Données projet'!$B$10,Paramètres!$A$1:$I$89,3,0)*0.475*44/12</f>
        <v>2.8783762830494895E-18</v>
      </c>
      <c r="AX157" s="23">
        <f t="shared" si="166"/>
        <v>1.3839038646849557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-5.3205440053716299E-14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310.95287409903602</v>
      </c>
      <c r="BJ157" s="62">
        <f t="shared" si="146"/>
        <v>224.10083380795163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287.69656598881124</v>
      </c>
      <c r="T158" s="62">
        <f t="shared" si="142"/>
        <v>221.9773436301067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0.18889812150872434</v>
      </c>
      <c r="AB158" s="23">
        <f>EXP(-LN(2)/2)*AB157+(1-EXP(-LN(2)/2))/(LN(2)/2)*V158*Y158*VLOOKUP('Données projet'!$B$9,Paramètres!$A$1:$I$89,3,0)*0.475*44/12</f>
        <v>2.1806647039678466E-18</v>
      </c>
      <c r="AC158" s="24">
        <f t="shared" si="163"/>
        <v>0.18889812150872434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-2.2737367544323206E-13</v>
      </c>
      <c r="AJ158" s="14">
        <f>AI158*VLOOKUP('Données projet'!$B$10,Paramètres!$A$1:$I$89,3,0)*VLOOKUP('Données projet'!$B$10,Paramètres!$A$1:$I$89,5,0)</f>
        <v>-1.2710188457276673E-13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382.55387448074327</v>
      </c>
      <c r="AO158" s="62">
        <f t="shared" si="144"/>
        <v>476.29465646955543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0.90885074457365134</v>
      </c>
      <c r="AV158" s="23">
        <f>EXP(-LN(2)/25)*AV157+(1-EXP(-LN(2)/25))/(LN(2)/25)*Calculateur!AQ158*Calculateur!AS158*VLOOKUP('Données projet'!$B$10,Paramètres!$A$1:$I$89,3,0)*0.475*44/12</f>
        <v>0.44438138137112493</v>
      </c>
      <c r="AW158" s="23">
        <f>EXP(-LN(2)/2)*AW157+(1-EXP(-LN(2)/2))/(LN(2)/2)*AQ158*AT158*VLOOKUP('Données projet'!$B$10,Paramètres!$A$1:$I$89,3,0)*0.475*44/12</f>
        <v>2.0353193885508233E-18</v>
      </c>
      <c r="AX158" s="23">
        <f t="shared" si="166"/>
        <v>1.3532321259447762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-5.3205440053716299E-14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310.95287409903602</v>
      </c>
      <c r="BJ158" s="62">
        <f t="shared" si="146"/>
        <v>224.10083380795163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287.69656598881124</v>
      </c>
      <c r="T159" s="62">
        <f t="shared" si="142"/>
        <v>221.9773436301067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0.1837326924423478</v>
      </c>
      <c r="AB159" s="23">
        <f>EXP(-LN(2)/2)*AB158+(1-EXP(-LN(2)/2))/(LN(2)/2)*V159*Y159*VLOOKUP('Données projet'!$B$9,Paramètres!$A$1:$I$89,3,0)*0.475*44/12</f>
        <v>1.5419627996698196E-18</v>
      </c>
      <c r="AC159" s="24">
        <f t="shared" si="163"/>
        <v>0.1837326924423478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-2.2737367544323206E-13</v>
      </c>
      <c r="AJ159" s="14">
        <f>AI159*VLOOKUP('Données projet'!$B$10,Paramètres!$A$1:$I$89,3,0)*VLOOKUP('Données projet'!$B$10,Paramètres!$A$1:$I$89,5,0)</f>
        <v>-1.2710188457276673E-13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382.55387448074327</v>
      </c>
      <c r="AO159" s="62">
        <f t="shared" si="144"/>
        <v>476.29465646955543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0.89102873581677933</v>
      </c>
      <c r="AV159" s="23">
        <f>EXP(-LN(2)/25)*AV158+(1-EXP(-LN(2)/25))/(LN(2)/25)*Calculateur!AQ159*Calculateur!AS159*VLOOKUP('Données projet'!$B$10,Paramètres!$A$1:$I$89,3,0)*0.475*44/12</f>
        <v>0.43222974912853029</v>
      </c>
      <c r="AW159" s="23">
        <f>EXP(-LN(2)/2)*AW158+(1-EXP(-LN(2)/2))/(LN(2)/2)*AQ159*AT159*VLOOKUP('Données projet'!$B$10,Paramètres!$A$1:$I$89,3,0)*0.475*44/12</f>
        <v>1.4391881415247447E-18</v>
      </c>
      <c r="AX159" s="23">
        <f t="shared" si="166"/>
        <v>1.3232584849453097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-5.3205440053716299E-14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310.95287409903602</v>
      </c>
      <c r="BJ159" s="62">
        <f t="shared" si="146"/>
        <v>224.10083380795163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287.69656598881124</v>
      </c>
      <c r="T160" s="62">
        <f t="shared" si="142"/>
        <v>221.9773436301067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0.17870851230542942</v>
      </c>
      <c r="AB160" s="23">
        <f>EXP(-LN(2)/2)*AB159+(1-EXP(-LN(2)/2))/(LN(2)/2)*V160*Y160*VLOOKUP('Données projet'!$B$9,Paramètres!$A$1:$I$89,3,0)*0.475*44/12</f>
        <v>1.0903323519839233E-18</v>
      </c>
      <c r="AC160" s="24">
        <f t="shared" si="163"/>
        <v>0.17870851230542942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-2.2737367544323206E-13</v>
      </c>
      <c r="AJ160" s="14">
        <f>AI160*VLOOKUP('Données projet'!$B$10,Paramètres!$A$1:$I$89,3,0)*VLOOKUP('Données projet'!$B$10,Paramètres!$A$1:$I$89,5,0)</f>
        <v>-1.2710188457276673E-13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382.55387448074327</v>
      </c>
      <c r="AO160" s="62">
        <f t="shared" si="144"/>
        <v>476.29465646955543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0.87355620578127757</v>
      </c>
      <c r="AV160" s="23">
        <f>EXP(-LN(2)/25)*AV159+(1-EXP(-LN(2)/25))/(LN(2)/25)*Calculateur!AQ160*Calculateur!AS160*VLOOKUP('Données projet'!$B$10,Paramètres!$A$1:$I$89,3,0)*0.475*44/12</f>
        <v>0.42041040390863599</v>
      </c>
      <c r="AW160" s="23">
        <f>EXP(-LN(2)/2)*AW159+(1-EXP(-LN(2)/2))/(LN(2)/2)*AQ160*AT160*VLOOKUP('Données projet'!$B$10,Paramètres!$A$1:$I$89,3,0)*0.475*44/12</f>
        <v>1.0176596942754116E-18</v>
      </c>
      <c r="AX160" s="23">
        <f t="shared" si="166"/>
        <v>1.2939666096899136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-5.3205440053716299E-14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310.95287409903602</v>
      </c>
      <c r="BJ160" s="62">
        <f t="shared" si="146"/>
        <v>224.10083380795163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287.69656598881124</v>
      </c>
      <c r="T161" s="62">
        <f t="shared" si="142"/>
        <v>221.9773436301067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0.17382171863856524</v>
      </c>
      <c r="AB161" s="23">
        <f>EXP(-LN(2)/2)*AB160+(1-EXP(-LN(2)/2))/(LN(2)/2)*V161*Y161*VLOOKUP('Données projet'!$B$9,Paramètres!$A$1:$I$89,3,0)*0.475*44/12</f>
        <v>7.7098139983490979E-19</v>
      </c>
      <c r="AC161" s="24">
        <f t="shared" si="163"/>
        <v>0.17382171863856524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-2.2737367544323206E-13</v>
      </c>
      <c r="AJ161" s="14">
        <f>AI161*VLOOKUP('Données projet'!$B$10,Paramètres!$A$1:$I$89,3,0)*VLOOKUP('Données projet'!$B$10,Paramètres!$A$1:$I$89,5,0)</f>
        <v>-1.2710188457276673E-13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382.55387448074327</v>
      </c>
      <c r="AO161" s="62">
        <f t="shared" si="144"/>
        <v>476.29465646955543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0.85642630140258091</v>
      </c>
      <c r="AV161" s="23">
        <f>EXP(-LN(2)/25)*AV160+(1-EXP(-LN(2)/25))/(LN(2)/25)*Calculateur!AQ161*Calculateur!AS161*VLOOKUP('Données projet'!$B$10,Paramètres!$A$1:$I$89,3,0)*0.475*44/12</f>
        <v>0.40891425930533204</v>
      </c>
      <c r="AW161" s="23">
        <f>EXP(-LN(2)/2)*AW160+(1-EXP(-LN(2)/2))/(LN(2)/2)*AQ161*AT161*VLOOKUP('Données projet'!$B$10,Paramètres!$A$1:$I$89,3,0)*0.475*44/12</f>
        <v>7.1959407076237237E-19</v>
      </c>
      <c r="AX161" s="23">
        <f t="shared" si="166"/>
        <v>1.2653405607079129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-5.3205440053716299E-14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310.95287409903602</v>
      </c>
      <c r="BJ161" s="62">
        <f t="shared" si="146"/>
        <v>224.10083380795163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287.69656598881124</v>
      </c>
      <c r="T162" s="62">
        <f t="shared" si="142"/>
        <v>221.9773436301067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0.16906855460150677</v>
      </c>
      <c r="AB162" s="23">
        <f>EXP(-LN(2)/2)*AB161+(1-EXP(-LN(2)/2))/(LN(2)/2)*V162*Y162*VLOOKUP('Données projet'!$B$9,Paramètres!$A$1:$I$89,3,0)*0.475*44/12</f>
        <v>5.4516617599196166E-19</v>
      </c>
      <c r="AC162" s="24">
        <f t="shared" si="163"/>
        <v>0.16906855460150677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-2.2737367544323206E-13</v>
      </c>
      <c r="AJ162" s="14">
        <f>AI162*VLOOKUP('Données projet'!$B$10,Paramètres!$A$1:$I$89,3,0)*VLOOKUP('Données projet'!$B$10,Paramètres!$A$1:$I$89,5,0)</f>
        <v>-1.2710188457276673E-13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382.55387448074327</v>
      </c>
      <c r="AO162" s="62">
        <f t="shared" si="144"/>
        <v>476.29465646955543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0.83963230400054056</v>
      </c>
      <c r="AV162" s="23">
        <f>EXP(-LN(2)/25)*AV161+(1-EXP(-LN(2)/25))/(LN(2)/25)*Calculateur!AQ162*Calculateur!AS162*VLOOKUP('Données projet'!$B$10,Paramètres!$A$1:$I$89,3,0)*0.475*44/12</f>
        <v>0.39773247738076145</v>
      </c>
      <c r="AW162" s="23">
        <f>EXP(-LN(2)/2)*AW161+(1-EXP(-LN(2)/2))/(LN(2)/2)*AQ162*AT162*VLOOKUP('Données projet'!$B$10,Paramètres!$A$1:$I$89,3,0)*0.475*44/12</f>
        <v>5.0882984713770582E-19</v>
      </c>
      <c r="AX162" s="23">
        <f t="shared" si="166"/>
        <v>1.237364781381302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-5.3205440053716299E-14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310.95287409903602</v>
      </c>
      <c r="BJ162" s="62">
        <f t="shared" si="146"/>
        <v>224.10083380795163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287.69656598881124</v>
      </c>
      <c r="T163" s="62">
        <f t="shared" si="142"/>
        <v>221.9773436301067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0.16444536608499968</v>
      </c>
      <c r="AB163" s="23">
        <f>EXP(-LN(2)/2)*AB162+(1-EXP(-LN(2)/2))/(LN(2)/2)*V163*Y163*VLOOKUP('Données projet'!$B$9,Paramètres!$A$1:$I$89,3,0)*0.475*44/12</f>
        <v>3.854906999174549E-19</v>
      </c>
      <c r="AC163" s="24">
        <f t="shared" si="163"/>
        <v>0.16444536608499968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-2.2737367544323206E-13</v>
      </c>
      <c r="AJ163" s="14">
        <f>AI163*VLOOKUP('Données projet'!$B$10,Paramètres!$A$1:$I$89,3,0)*VLOOKUP('Données projet'!$B$10,Paramètres!$A$1:$I$89,5,0)</f>
        <v>-1.2710188457276673E-13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382.55387448074327</v>
      </c>
      <c r="AO163" s="62">
        <f t="shared" si="144"/>
        <v>476.29465646955543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0.82316762664422727</v>
      </c>
      <c r="AV163" s="23">
        <f>EXP(-LN(2)/25)*AV162+(1-EXP(-LN(2)/25))/(LN(2)/25)*Calculateur!AQ163*Calculateur!AS163*VLOOKUP('Données projet'!$B$10,Paramètres!$A$1:$I$89,3,0)*0.475*44/12</f>
        <v>0.38685646187094258</v>
      </c>
      <c r="AW163" s="23">
        <f>EXP(-LN(2)/2)*AW162+(1-EXP(-LN(2)/2))/(LN(2)/2)*AQ163*AT163*VLOOKUP('Données projet'!$B$10,Paramètres!$A$1:$I$89,3,0)*0.475*44/12</f>
        <v>3.5979703538118618E-19</v>
      </c>
      <c r="AX163" s="23">
        <f t="shared" si="166"/>
        <v>1.2100240885151698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-5.3205440053716299E-14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310.95287409903602</v>
      </c>
      <c r="BJ163" s="62">
        <f t="shared" si="146"/>
        <v>224.10083380795163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287.69656598881124</v>
      </c>
      <c r="T164" s="62">
        <f t="shared" si="142"/>
        <v>221.9773436301067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0.1599485989015994</v>
      </c>
      <c r="AB164" s="23">
        <f>EXP(-LN(2)/2)*AB163+(1-EXP(-LN(2)/2))/(LN(2)/2)*V164*Y164*VLOOKUP('Données projet'!$B$9,Paramètres!$A$1:$I$89,3,0)*0.475*44/12</f>
        <v>2.7258308799598083E-19</v>
      </c>
      <c r="AC164" s="24">
        <f t="shared" si="163"/>
        <v>0.1599485989015994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-2.2737367544323206E-13</v>
      </c>
      <c r="AJ164" s="14">
        <f>AI164*VLOOKUP('Données projet'!$B$10,Paramètres!$A$1:$I$89,3,0)*VLOOKUP('Données projet'!$B$10,Paramètres!$A$1:$I$89,5,0)</f>
        <v>-1.2710188457276673E-13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382.55387448074327</v>
      </c>
      <c r="AO164" s="62">
        <f t="shared" si="144"/>
        <v>476.29465646955543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0.80702581156840969</v>
      </c>
      <c r="AV164" s="23">
        <f>EXP(-LN(2)/25)*AV163+(1-EXP(-LN(2)/25))/(LN(2)/25)*Calculateur!AQ164*Calculateur!AS164*VLOOKUP('Données projet'!$B$10,Paramètres!$A$1:$I$89,3,0)*0.475*44/12</f>
        <v>0.37627785157718452</v>
      </c>
      <c r="AW164" s="23">
        <f>EXP(-LN(2)/2)*AW163+(1-EXP(-LN(2)/2))/(LN(2)/2)*AQ164*AT164*VLOOKUP('Données projet'!$B$10,Paramètres!$A$1:$I$89,3,0)*0.475*44/12</f>
        <v>2.5441492356885291E-19</v>
      </c>
      <c r="AX164" s="23">
        <f t="shared" si="166"/>
        <v>1.1833036631455942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-5.3205440053716299E-14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310.95287409903602</v>
      </c>
      <c r="BJ164" s="62">
        <f t="shared" si="146"/>
        <v>224.10083380795163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287.69656598881124</v>
      </c>
      <c r="T165" s="62">
        <f t="shared" si="142"/>
        <v>221.9773436301067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0.15557479605330393</v>
      </c>
      <c r="AB165" s="23">
        <f>EXP(-LN(2)/2)*AB164+(1-EXP(-LN(2)/2))/(LN(2)/2)*V165*Y165*VLOOKUP('Données projet'!$B$9,Paramètres!$A$1:$I$89,3,0)*0.475*44/12</f>
        <v>1.9274534995872745E-19</v>
      </c>
      <c r="AC165" s="24">
        <f t="shared" si="163"/>
        <v>0.15557479605330393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-2.2737367544323206E-13</v>
      </c>
      <c r="AJ165" s="14">
        <f>AI165*VLOOKUP('Données projet'!$B$10,Paramètres!$A$1:$I$89,3,0)*VLOOKUP('Données projet'!$B$10,Paramètres!$A$1:$I$89,5,0)</f>
        <v>-1.2710188457276673E-13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382.55387448074327</v>
      </c>
      <c r="AO165" s="62">
        <f t="shared" si="144"/>
        <v>476.29465646955543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0.79120052764069382</v>
      </c>
      <c r="AV165" s="23">
        <f>EXP(-LN(2)/25)*AV164+(1-EXP(-LN(2)/25))/(LN(2)/25)*Calculateur!AQ165*Calculateur!AS165*VLOOKUP('Données projet'!$B$10,Paramètres!$A$1:$I$89,3,0)*0.475*44/12</f>
        <v>0.36598851393821419</v>
      </c>
      <c r="AW165" s="23">
        <f>EXP(-LN(2)/2)*AW164+(1-EXP(-LN(2)/2))/(LN(2)/2)*AQ165*AT165*VLOOKUP('Données projet'!$B$10,Paramètres!$A$1:$I$89,3,0)*0.475*44/12</f>
        <v>1.7989851769059309E-19</v>
      </c>
      <c r="AX165" s="23">
        <f t="shared" si="166"/>
        <v>1.1571890415789081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-5.3205440053716299E-14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310.95287409903602</v>
      </c>
      <c r="BJ165" s="62">
        <f t="shared" si="146"/>
        <v>224.10083380795163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287.69656598881124</v>
      </c>
      <c r="T166" s="62">
        <f t="shared" si="142"/>
        <v>221.9773436301067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0.15132059507390339</v>
      </c>
      <c r="AB166" s="23">
        <f>EXP(-LN(2)/2)*AB165+(1-EXP(-LN(2)/2))/(LN(2)/2)*V166*Y166*VLOOKUP('Données projet'!$B$9,Paramètres!$A$1:$I$89,3,0)*0.475*44/12</f>
        <v>1.3629154399799042E-19</v>
      </c>
      <c r="AC166" s="24">
        <f t="shared" si="163"/>
        <v>0.15132059507390339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-2.2737367544323206E-13</v>
      </c>
      <c r="AJ166" s="14">
        <f>AI166*VLOOKUP('Données projet'!$B$10,Paramètres!$A$1:$I$89,3,0)*VLOOKUP('Données projet'!$B$10,Paramètres!$A$1:$I$89,5,0)</f>
        <v>-1.2710188457276673E-13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382.55387448074327</v>
      </c>
      <c r="AO166" s="62">
        <f t="shared" si="144"/>
        <v>476.29465646955543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0.77568556787833043</v>
      </c>
      <c r="AV166" s="23">
        <f>EXP(-LN(2)/25)*AV165+(1-EXP(-LN(2)/25))/(LN(2)/25)*Calculateur!AQ166*Calculateur!AS166*VLOOKUP('Données projet'!$B$10,Paramètres!$A$1:$I$89,3,0)*0.475*44/12</f>
        <v>0.35598053877807423</v>
      </c>
      <c r="AW166" s="23">
        <f>EXP(-LN(2)/2)*AW165+(1-EXP(-LN(2)/2))/(LN(2)/2)*AQ166*AT166*VLOOKUP('Données projet'!$B$10,Paramètres!$A$1:$I$89,3,0)*0.475*44/12</f>
        <v>1.2720746178442646E-19</v>
      </c>
      <c r="AX166" s="23">
        <f t="shared" si="166"/>
        <v>1.1316661066564047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-5.3205440053716299E-14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310.95287409903602</v>
      </c>
      <c r="BJ166" s="62">
        <f t="shared" si="146"/>
        <v>224.10083380795163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287.69656598881124</v>
      </c>
      <c r="T167" s="62">
        <f t="shared" si="142"/>
        <v>221.9773436301067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0.14718272544400324</v>
      </c>
      <c r="AB167" s="23">
        <f>EXP(-LN(2)/2)*AB166+(1-EXP(-LN(2)/2))/(LN(2)/2)*V167*Y167*VLOOKUP('Données projet'!$B$9,Paramètres!$A$1:$I$89,3,0)*0.475*44/12</f>
        <v>9.6372674979363724E-20</v>
      </c>
      <c r="AC167" s="24">
        <f t="shared" si="163"/>
        <v>0.14718272544400324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-2.2737367544323206E-13</v>
      </c>
      <c r="AJ167" s="14">
        <f>AI167*VLOOKUP('Données projet'!$B$10,Paramètres!$A$1:$I$89,3,0)*VLOOKUP('Données projet'!$B$10,Paramètres!$A$1:$I$89,5,0)</f>
        <v>-1.2710188457276673E-13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382.55387448074327</v>
      </c>
      <c r="AO167" s="62">
        <f t="shared" si="144"/>
        <v>476.29465646955543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0.76047484701371593</v>
      </c>
      <c r="AV167" s="23">
        <f>EXP(-LN(2)/25)*AV166+(1-EXP(-LN(2)/25))/(LN(2)/25)*Calculateur!AQ167*Calculateur!AS167*VLOOKUP('Données projet'!$B$10,Paramètres!$A$1:$I$89,3,0)*0.475*44/12</f>
        <v>0.34624623222498485</v>
      </c>
      <c r="AW167" s="23">
        <f>EXP(-LN(2)/2)*AW166+(1-EXP(-LN(2)/2))/(LN(2)/2)*AQ167*AT167*VLOOKUP('Données projet'!$B$10,Paramètres!$A$1:$I$89,3,0)*0.475*44/12</f>
        <v>8.9949258845296546E-20</v>
      </c>
      <c r="AX167" s="23">
        <f t="shared" si="166"/>
        <v>1.1067210792387008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-5.3205440053716299E-14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310.95287409903602</v>
      </c>
      <c r="BJ167" s="62">
        <f t="shared" si="146"/>
        <v>224.10083380795163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287.69656598881124</v>
      </c>
      <c r="T168" s="62">
        <f t="shared" si="142"/>
        <v>221.9773436301067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0.14315800607673382</v>
      </c>
      <c r="AB168" s="23">
        <f>EXP(-LN(2)/2)*AB167+(1-EXP(-LN(2)/2))/(LN(2)/2)*V168*Y168*VLOOKUP('Données projet'!$B$9,Paramètres!$A$1:$I$89,3,0)*0.475*44/12</f>
        <v>6.8145771998995208E-20</v>
      </c>
      <c r="AC168" s="24">
        <f t="shared" si="163"/>
        <v>0.14315800607673382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-2.2737367544323206E-13</v>
      </c>
      <c r="AJ168" s="14">
        <f>AI168*VLOOKUP('Données projet'!$B$10,Paramètres!$A$1:$I$89,3,0)*VLOOKUP('Données projet'!$B$10,Paramètres!$A$1:$I$89,5,0)</f>
        <v>-1.2710188457276673E-13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382.55387448074327</v>
      </c>
      <c r="AO168" s="62">
        <f t="shared" si="144"/>
        <v>476.29465646955543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0.74556239910763289</v>
      </c>
      <c r="AV168" s="23">
        <f>EXP(-LN(2)/25)*AV167+(1-EXP(-LN(2)/25))/(LN(2)/25)*Calculateur!AQ168*Calculateur!AS168*VLOOKUP('Données projet'!$B$10,Paramètres!$A$1:$I$89,3,0)*0.475*44/12</f>
        <v>0.33677811079649467</v>
      </c>
      <c r="AW168" s="23">
        <f>EXP(-LN(2)/2)*AW167+(1-EXP(-LN(2)/2))/(LN(2)/2)*AQ168*AT168*VLOOKUP('Données projet'!$B$10,Paramètres!$A$1:$I$89,3,0)*0.475*44/12</f>
        <v>6.3603730892213228E-20</v>
      </c>
      <c r="AX168" s="23">
        <f t="shared" si="166"/>
        <v>1.0823405099041277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-5.3205440053716299E-14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310.95287409903602</v>
      </c>
      <c r="BJ168" s="62">
        <f t="shared" si="146"/>
        <v>224.10083380795163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287.69656598881124</v>
      </c>
      <c r="T169" s="62">
        <f t="shared" si="142"/>
        <v>221.9773436301067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0.13924334287221318</v>
      </c>
      <c r="AB169" s="23">
        <f>EXP(-LN(2)/2)*AB168+(1-EXP(-LN(2)/2))/(LN(2)/2)*V169*Y169*VLOOKUP('Données projet'!$B$9,Paramètres!$A$1:$I$89,3,0)*0.475*44/12</f>
        <v>4.8186337489681862E-20</v>
      </c>
      <c r="AC169" s="24">
        <f t="shared" si="163"/>
        <v>0.13924334287221318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-2.2737367544323206E-13</v>
      </c>
      <c r="AJ169" s="14">
        <f>AI169*VLOOKUP('Données projet'!$B$10,Paramètres!$A$1:$I$89,3,0)*VLOOKUP('Données projet'!$B$10,Paramètres!$A$1:$I$89,5,0)</f>
        <v>-1.2710188457276673E-13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382.55387448074327</v>
      </c>
      <c r="AO169" s="62">
        <f t="shared" si="144"/>
        <v>476.29465646955543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0.73094237520929306</v>
      </c>
      <c r="AV169" s="23">
        <f>EXP(-LN(2)/25)*AV168+(1-EXP(-LN(2)/25))/(LN(2)/25)*Calculateur!AQ169*Calculateur!AS169*VLOOKUP('Données projet'!$B$10,Paramètres!$A$1:$I$89,3,0)*0.475*44/12</f>
        <v>0.32756889564637337</v>
      </c>
      <c r="AW169" s="23">
        <f>EXP(-LN(2)/2)*AW168+(1-EXP(-LN(2)/2))/(LN(2)/2)*AQ169*AT169*VLOOKUP('Données projet'!$B$10,Paramètres!$A$1:$I$89,3,0)*0.475*44/12</f>
        <v>4.4974629422648273E-20</v>
      </c>
      <c r="AX169" s="23">
        <f t="shared" si="166"/>
        <v>1.0585112708556665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-5.3205440053716299E-14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310.95287409903602</v>
      </c>
      <c r="BJ169" s="62">
        <f t="shared" si="146"/>
        <v>224.10083380795163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287.69656598881124</v>
      </c>
      <c r="T170" s="62">
        <f t="shared" si="142"/>
        <v>221.9773436301067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0.13543572633888334</v>
      </c>
      <c r="AB170" s="23">
        <f>EXP(-LN(2)/2)*AB169+(1-EXP(-LN(2)/2))/(LN(2)/2)*V170*Y170*VLOOKUP('Données projet'!$B$9,Paramètres!$A$1:$I$89,3,0)*0.475*44/12</f>
        <v>3.4072885999497604E-20</v>
      </c>
      <c r="AC170" s="24">
        <f t="shared" si="163"/>
        <v>0.13543572633888334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-2.2737367544323206E-13</v>
      </c>
      <c r="AJ170" s="14">
        <f>AI170*VLOOKUP('Données projet'!$B$10,Paramètres!$A$1:$I$89,3,0)*VLOOKUP('Données projet'!$B$10,Paramètres!$A$1:$I$89,5,0)</f>
        <v>-1.2710188457276673E-13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382.55387448074327</v>
      </c>
      <c r="AO170" s="62">
        <f t="shared" si="144"/>
        <v>476.29465646955543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0.71660904106226553</v>
      </c>
      <c r="AV170" s="23">
        <f>EXP(-LN(2)/25)*AV169+(1-EXP(-LN(2)/25))/(LN(2)/25)*Calculateur!AQ170*Calculateur!AS170*VLOOKUP('Données projet'!$B$10,Paramètres!$A$1:$I$89,3,0)*0.475*44/12</f>
        <v>0.31861150696882373</v>
      </c>
      <c r="AW170" s="23">
        <f>EXP(-LN(2)/2)*AW169+(1-EXP(-LN(2)/2))/(LN(2)/2)*AQ170*AT170*VLOOKUP('Données projet'!$B$10,Paramètres!$A$1:$I$89,3,0)*0.475*44/12</f>
        <v>3.1801865446106614E-20</v>
      </c>
      <c r="AX170" s="23">
        <f t="shared" si="166"/>
        <v>1.0352205480310892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-5.3205440053716299E-14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310.95287409903602</v>
      </c>
      <c r="BJ170" s="62">
        <f t="shared" si="146"/>
        <v>224.10083380795163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287.69656598881124</v>
      </c>
      <c r="T171" s="62">
        <f t="shared" si="142"/>
        <v>221.9773436301067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0.13173222927989128</v>
      </c>
      <c r="AB171" s="23">
        <f>EXP(-LN(2)/2)*AB170+(1-EXP(-LN(2)/2))/(LN(2)/2)*V171*Y171*VLOOKUP('Données projet'!$B$9,Paramètres!$A$1:$I$89,3,0)*0.475*44/12</f>
        <v>2.4093168744840931E-20</v>
      </c>
      <c r="AC171" s="24">
        <f t="shared" si="163"/>
        <v>0.13173222927989128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-2.2737367544323206E-13</v>
      </c>
      <c r="AJ171" s="14">
        <f>AI171*VLOOKUP('Données projet'!$B$10,Paramètres!$A$1:$I$89,3,0)*VLOOKUP('Données projet'!$B$10,Paramètres!$A$1:$I$89,5,0)</f>
        <v>-1.2710188457276673E-13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382.55387448074327</v>
      </c>
      <c r="AO171" s="62">
        <f t="shared" si="144"/>
        <v>476.29465646955543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0.7025567748553907</v>
      </c>
      <c r="AV171" s="23">
        <f>EXP(-LN(2)/25)*AV170+(1-EXP(-LN(2)/25))/(LN(2)/25)*Calculateur!AQ171*Calculateur!AS171*VLOOKUP('Données projet'!$B$10,Paramètres!$A$1:$I$89,3,0)*0.475*44/12</f>
        <v>0.30989905855571032</v>
      </c>
      <c r="AW171" s="23">
        <f>EXP(-LN(2)/2)*AW170+(1-EXP(-LN(2)/2))/(LN(2)/2)*AQ171*AT171*VLOOKUP('Données projet'!$B$10,Paramètres!$A$1:$I$89,3,0)*0.475*44/12</f>
        <v>2.2487314711324136E-20</v>
      </c>
      <c r="AX171" s="23">
        <f t="shared" si="166"/>
        <v>1.0124558334111011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-5.3205440053716299E-14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310.95287409903602</v>
      </c>
      <c r="BJ171" s="62">
        <f t="shared" si="146"/>
        <v>224.10083380795163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287.69656598881124</v>
      </c>
      <c r="T172" s="62">
        <f t="shared" si="142"/>
        <v>221.9773436301067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0.12813000454273579</v>
      </c>
      <c r="AB172" s="23">
        <f>EXP(-LN(2)/2)*AB171+(1-EXP(-LN(2)/2))/(LN(2)/2)*V172*Y172*VLOOKUP('Données projet'!$B$9,Paramètres!$A$1:$I$89,3,0)*0.475*44/12</f>
        <v>1.7036442999748802E-20</v>
      </c>
      <c r="AC172" s="24">
        <f t="shared" si="163"/>
        <v>0.12813000454273579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-2.2737367544323206E-13</v>
      </c>
      <c r="AJ172" s="14">
        <f>AI172*VLOOKUP('Données projet'!$B$10,Paramètres!$A$1:$I$89,3,0)*VLOOKUP('Données projet'!$B$10,Paramètres!$A$1:$I$89,5,0)</f>
        <v>-1.2710188457276673E-13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382.55387448074327</v>
      </c>
      <c r="AO172" s="62">
        <f t="shared" si="144"/>
        <v>476.29465646955543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0.68878006501779654</v>
      </c>
      <c r="AV172" s="23">
        <f>EXP(-LN(2)/25)*AV171+(1-EXP(-LN(2)/25))/(LN(2)/25)*Calculateur!AQ172*Calculateur!AS172*VLOOKUP('Données projet'!$B$10,Paramètres!$A$1:$I$89,3,0)*0.475*44/12</f>
        <v>0.30142485250262119</v>
      </c>
      <c r="AW172" s="23">
        <f>EXP(-LN(2)/2)*AW171+(1-EXP(-LN(2)/2))/(LN(2)/2)*AQ172*AT172*VLOOKUP('Données projet'!$B$10,Paramètres!$A$1:$I$89,3,0)*0.475*44/12</f>
        <v>1.5900932723053307E-20</v>
      </c>
      <c r="AX172" s="23">
        <f t="shared" si="166"/>
        <v>0.99020491752041773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-5.3205440053716299E-14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310.95287409903602</v>
      </c>
      <c r="BJ172" s="62">
        <f t="shared" si="146"/>
        <v>224.10083380795163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287.69656598881124</v>
      </c>
      <c r="T173" s="62">
        <f t="shared" si="142"/>
        <v>221.9773436301067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0.12462628283045059</v>
      </c>
      <c r="AB173" s="23">
        <f>EXP(-LN(2)/2)*AB172+(1-EXP(-LN(2)/2))/(LN(2)/2)*V173*Y173*VLOOKUP('Données projet'!$B$9,Paramètres!$A$1:$I$89,3,0)*0.475*44/12</f>
        <v>1.2046584372420466E-20</v>
      </c>
      <c r="AC173" s="24">
        <f t="shared" si="163"/>
        <v>0.12462628283045059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-2.2737367544323206E-13</v>
      </c>
      <c r="AJ173" s="14">
        <f>AI173*VLOOKUP('Données projet'!$B$10,Paramètres!$A$1:$I$89,3,0)*VLOOKUP('Données projet'!$B$10,Paramètres!$A$1:$I$89,5,0)</f>
        <v>-1.2710188457276673E-13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382.55387448074327</v>
      </c>
      <c r="AO173" s="62">
        <f t="shared" si="144"/>
        <v>476.29465646955543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0.67527350805715436</v>
      </c>
      <c r="AV173" s="23">
        <f>EXP(-LN(2)/25)*AV172+(1-EXP(-LN(2)/25))/(LN(2)/25)*Calculateur!AQ173*Calculateur!AS173*VLOOKUP('Données projet'!$B$10,Paramètres!$A$1:$I$89,3,0)*0.475*44/12</f>
        <v>0.29318237405969294</v>
      </c>
      <c r="AW173" s="23">
        <f>EXP(-LN(2)/2)*AW172+(1-EXP(-LN(2)/2))/(LN(2)/2)*AQ173*AT173*VLOOKUP('Données projet'!$B$10,Paramètres!$A$1:$I$89,3,0)*0.475*44/12</f>
        <v>1.1243657355662068E-20</v>
      </c>
      <c r="AX173" s="23">
        <f t="shared" si="166"/>
        <v>0.9684558821168473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-5.3205440053716299E-14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310.95287409903602</v>
      </c>
      <c r="BJ173" s="62">
        <f t="shared" si="146"/>
        <v>224.10083380795163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287.69656598881124</v>
      </c>
      <c r="T174" s="62">
        <f t="shared" si="142"/>
        <v>221.9773436301067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0.12121837057264054</v>
      </c>
      <c r="AB174" s="23">
        <f>EXP(-LN(2)/2)*AB173+(1-EXP(-LN(2)/2))/(LN(2)/2)*V174*Y174*VLOOKUP('Données projet'!$B$9,Paramètres!$A$1:$I$89,3,0)*0.475*44/12</f>
        <v>8.518221499874401E-21</v>
      </c>
      <c r="AC174" s="24">
        <f t="shared" si="163"/>
        <v>0.12121837057264054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-2.2737367544323206E-13</v>
      </c>
      <c r="AJ174" s="14">
        <f>AI174*VLOOKUP('Données projet'!$B$10,Paramètres!$A$1:$I$89,3,0)*VLOOKUP('Données projet'!$B$10,Paramètres!$A$1:$I$89,5,0)</f>
        <v>-1.2710188457276673E-13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382.55387448074327</v>
      </c>
      <c r="AO174" s="62">
        <f t="shared" si="144"/>
        <v>476.29465646955543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0.66203180644032411</v>
      </c>
      <c r="AV174" s="23">
        <f>EXP(-LN(2)/25)*AV173+(1-EXP(-LN(2)/25))/(LN(2)/25)*Calculateur!AQ174*Calculateur!AS174*VLOOKUP('Données projet'!$B$10,Paramètres!$A$1:$I$89,3,0)*0.475*44/12</f>
        <v>0.28516528662323964</v>
      </c>
      <c r="AW174" s="23">
        <f>EXP(-LN(2)/2)*AW173+(1-EXP(-LN(2)/2))/(LN(2)/2)*AQ174*AT174*VLOOKUP('Données projet'!$B$10,Paramètres!$A$1:$I$89,3,0)*0.475*44/12</f>
        <v>7.9504663615266535E-21</v>
      </c>
      <c r="AX174" s="23">
        <f t="shared" si="166"/>
        <v>0.94719709306356381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-5.3205440053716299E-14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310.95287409903602</v>
      </c>
      <c r="BJ174" s="62">
        <f t="shared" si="146"/>
        <v>224.10083380795163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287.69656598881124</v>
      </c>
      <c r="T175" s="62">
        <f t="shared" si="142"/>
        <v>221.9773436301067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0.11790364785473462</v>
      </c>
      <c r="AB175" s="23">
        <f>EXP(-LN(2)/2)*AB174+(1-EXP(-LN(2)/2))/(LN(2)/2)*V175*Y175*VLOOKUP('Données projet'!$B$9,Paramètres!$A$1:$I$89,3,0)*0.475*44/12</f>
        <v>6.0232921862102328E-21</v>
      </c>
      <c r="AC175" s="24">
        <f t="shared" si="163"/>
        <v>0.11790364785473462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-2.2737367544323206E-13</v>
      </c>
      <c r="AJ175" s="14">
        <f>AI175*VLOOKUP('Données projet'!$B$10,Paramètres!$A$1:$I$89,3,0)*VLOOKUP('Données projet'!$B$10,Paramètres!$A$1:$I$89,5,0)</f>
        <v>-1.2710188457276673E-13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382.55387448074327</v>
      </c>
      <c r="AO175" s="62">
        <f t="shared" si="144"/>
        <v>476.29465646955543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0.64904976651555935</v>
      </c>
      <c r="AV175" s="23">
        <f>EXP(-LN(2)/25)*AV174+(1-EXP(-LN(2)/25))/(LN(2)/25)*Calculateur!AQ175*Calculateur!AS175*VLOOKUP('Données projet'!$B$10,Paramètres!$A$1:$I$89,3,0)*0.475*44/12</f>
        <v>0.27736742686433646</v>
      </c>
      <c r="AW175" s="23">
        <f>EXP(-LN(2)/2)*AW174+(1-EXP(-LN(2)/2))/(LN(2)/2)*AQ175*AT175*VLOOKUP('Données projet'!$B$10,Paramètres!$A$1:$I$89,3,0)*0.475*44/12</f>
        <v>5.6218286778310341E-21</v>
      </c>
      <c r="AX175" s="23">
        <f t="shared" si="166"/>
        <v>0.92641719337989581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-5.3205440053716299E-14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310.95287409903602</v>
      </c>
      <c r="BJ175" s="62">
        <f t="shared" si="146"/>
        <v>224.10083380795163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287.69656598881124</v>
      </c>
      <c r="T176" s="62">
        <f t="shared" si="142"/>
        <v>221.9773436301067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0.11467956640386354</v>
      </c>
      <c r="AB176" s="23">
        <f>EXP(-LN(2)/2)*AB175+(1-EXP(-LN(2)/2))/(LN(2)/2)*V176*Y176*VLOOKUP('Données projet'!$B$9,Paramètres!$A$1:$I$89,3,0)*0.475*44/12</f>
        <v>4.2591107499372005E-21</v>
      </c>
      <c r="AC176" s="24">
        <f t="shared" si="163"/>
        <v>0.11467956640386354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-2.2737367544323206E-13</v>
      </c>
      <c r="AJ176" s="14">
        <f>AI176*VLOOKUP('Données projet'!$B$10,Paramètres!$A$1:$I$89,3,0)*VLOOKUP('Données projet'!$B$10,Paramètres!$A$1:$I$89,5,0)</f>
        <v>-1.2710188457276673E-13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382.55387448074327</v>
      </c>
      <c r="AO176" s="62">
        <f t="shared" si="144"/>
        <v>476.29465646955543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0.63632229647545679</v>
      </c>
      <c r="AV176" s="23">
        <f>EXP(-LN(2)/25)*AV175+(1-EXP(-LN(2)/25))/(LN(2)/25)*Calculateur!AQ176*Calculateur!AS176*VLOOKUP('Données projet'!$B$10,Paramètres!$A$1:$I$89,3,0)*0.475*44/12</f>
        <v>0.26978279999061211</v>
      </c>
      <c r="AW176" s="23">
        <f>EXP(-LN(2)/2)*AW175+(1-EXP(-LN(2)/2))/(LN(2)/2)*AQ176*AT176*VLOOKUP('Données projet'!$B$10,Paramètres!$A$1:$I$89,3,0)*0.475*44/12</f>
        <v>3.9752331807633267E-21</v>
      </c>
      <c r="AX176" s="23">
        <f t="shared" si="166"/>
        <v>0.90610509646606885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-5.3205440053716299E-14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310.95287409903602</v>
      </c>
      <c r="BJ176" s="62">
        <f t="shared" si="146"/>
        <v>224.10083380795163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287.69656598881124</v>
      </c>
      <c r="T177" s="62">
        <f t="shared" si="142"/>
        <v>221.9773436301067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0.1115436476298136</v>
      </c>
      <c r="AB177" s="23">
        <f>EXP(-LN(2)/2)*AB176+(1-EXP(-LN(2)/2))/(LN(2)/2)*V177*Y177*VLOOKUP('Données projet'!$B$9,Paramètres!$A$1:$I$89,3,0)*0.475*44/12</f>
        <v>3.0116460931051164E-21</v>
      </c>
      <c r="AC177" s="24">
        <f t="shared" si="163"/>
        <v>0.1115436476298136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-2.2737367544323206E-13</v>
      </c>
      <c r="AJ177" s="14">
        <f>AI177*VLOOKUP('Données projet'!$B$10,Paramètres!$A$1:$I$89,3,0)*VLOOKUP('Données projet'!$B$10,Paramètres!$A$1:$I$89,5,0)</f>
        <v>-1.2710188457276673E-13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382.55387448074327</v>
      </c>
      <c r="AO177" s="62">
        <f t="shared" si="144"/>
        <v>476.29465646955543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0.62384440435985045</v>
      </c>
      <c r="AV177" s="23">
        <f>EXP(-LN(2)/25)*AV176+(1-EXP(-LN(2)/25))/(LN(2)/25)*Calculateur!AQ177*Calculateur!AS177*VLOOKUP('Données projet'!$B$10,Paramètres!$A$1:$I$89,3,0)*0.475*44/12</f>
        <v>0.26240557513760798</v>
      </c>
      <c r="AW177" s="23">
        <f>EXP(-LN(2)/2)*AW176+(1-EXP(-LN(2)/2))/(LN(2)/2)*AQ177*AT177*VLOOKUP('Données projet'!$B$10,Paramètres!$A$1:$I$89,3,0)*0.475*44/12</f>
        <v>2.8109143389155171E-21</v>
      </c>
      <c r="AX177" s="23">
        <f t="shared" si="166"/>
        <v>0.88624997949745843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-5.3205440053716299E-14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310.95287409903602</v>
      </c>
      <c r="BJ177" s="62">
        <f t="shared" si="146"/>
        <v>224.10083380795163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287.69656598881124</v>
      </c>
      <c r="T178" s="62">
        <f t="shared" si="142"/>
        <v>221.9773436301067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0.10849348071955085</v>
      </c>
      <c r="AB178" s="23">
        <f>EXP(-LN(2)/2)*AB177+(1-EXP(-LN(2)/2))/(LN(2)/2)*V178*Y178*VLOOKUP('Données projet'!$B$9,Paramètres!$A$1:$I$89,3,0)*0.475*44/12</f>
        <v>2.1295553749686002E-21</v>
      </c>
      <c r="AC178" s="24">
        <f t="shared" si="163"/>
        <v>0.10849348071955085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-2.2737367544323206E-13</v>
      </c>
      <c r="AJ178" s="14">
        <f>AI178*VLOOKUP('Données projet'!$B$10,Paramètres!$A$1:$I$89,3,0)*VLOOKUP('Données projet'!$B$10,Paramètres!$A$1:$I$89,5,0)</f>
        <v>-1.2710188457276673E-13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382.55387448074327</v>
      </c>
      <c r="AO178" s="62">
        <f t="shared" si="144"/>
        <v>476.29465646955543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0.6116111960978684</v>
      </c>
      <c r="AV178" s="23">
        <f>EXP(-LN(2)/25)*AV177+(1-EXP(-LN(2)/25))/(LN(2)/25)*Calculateur!AQ178*Calculateur!AS178*VLOOKUP('Données projet'!$B$10,Paramètres!$A$1:$I$89,3,0)*0.475*44/12</f>
        <v>0.25523008088616062</v>
      </c>
      <c r="AW178" s="23">
        <f>EXP(-LN(2)/2)*AW177+(1-EXP(-LN(2)/2))/(LN(2)/2)*AQ178*AT178*VLOOKUP('Données projet'!$B$10,Paramètres!$A$1:$I$89,3,0)*0.475*44/12</f>
        <v>1.9876165903816634E-21</v>
      </c>
      <c r="AX178" s="23">
        <f t="shared" si="166"/>
        <v>0.86684127698402902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-5.3205440053716299E-14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310.95287409903602</v>
      </c>
      <c r="BJ178" s="62">
        <f t="shared" si="146"/>
        <v>224.10083380795163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287.69656598881124</v>
      </c>
      <c r="T179" s="62">
        <f t="shared" si="142"/>
        <v>221.9773436301067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0.10552672078385054</v>
      </c>
      <c r="AB179" s="23">
        <f>EXP(-LN(2)/2)*AB178+(1-EXP(-LN(2)/2))/(LN(2)/2)*V179*Y179*VLOOKUP('Données projet'!$B$9,Paramètres!$A$1:$I$89,3,0)*0.475*44/12</f>
        <v>1.5058230465525582E-21</v>
      </c>
      <c r="AC179" s="24">
        <f t="shared" si="163"/>
        <v>0.10552672078385054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-2.2737367544323206E-13</v>
      </c>
      <c r="AJ179" s="14">
        <f>AI179*VLOOKUP('Données projet'!$B$10,Paramètres!$A$1:$I$89,3,0)*VLOOKUP('Données projet'!$B$10,Paramètres!$A$1:$I$89,5,0)</f>
        <v>-1.2710188457276673E-13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382.55387448074327</v>
      </c>
      <c r="AO179" s="62">
        <f t="shared" si="144"/>
        <v>476.29465646955543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0.59961787358838359</v>
      </c>
      <c r="AV179" s="23">
        <f>EXP(-LN(2)/25)*AV178+(1-EXP(-LN(2)/25))/(LN(2)/25)*Calculateur!AQ179*Calculateur!AS179*VLOOKUP('Données projet'!$B$10,Paramètres!$A$1:$I$89,3,0)*0.475*44/12</f>
        <v>0.24825080090236193</v>
      </c>
      <c r="AW179" s="23">
        <f>EXP(-LN(2)/2)*AW178+(1-EXP(-LN(2)/2))/(LN(2)/2)*AQ179*AT179*VLOOKUP('Données projet'!$B$10,Paramètres!$A$1:$I$89,3,0)*0.475*44/12</f>
        <v>1.4054571694577585E-21</v>
      </c>
      <c r="AX179" s="23">
        <f t="shared" si="166"/>
        <v>0.84786867449074554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-5.3205440053716299E-14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310.95287409903602</v>
      </c>
      <c r="BJ179" s="62">
        <f t="shared" si="146"/>
        <v>224.10083380795163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287.69656598881124</v>
      </c>
      <c r="T180" s="62">
        <f t="shared" si="142"/>
        <v>221.9773436301067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0.10264108705460709</v>
      </c>
      <c r="AB180" s="23">
        <f>EXP(-LN(2)/2)*AB179+(1-EXP(-LN(2)/2))/(LN(2)/2)*V180*Y180*VLOOKUP('Données projet'!$B$9,Paramètres!$A$1:$I$89,3,0)*0.475*44/12</f>
        <v>1.0647776874843001E-21</v>
      </c>
      <c r="AC180" s="24">
        <f t="shared" si="163"/>
        <v>0.10264108705460709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-2.2737367544323206E-13</v>
      </c>
      <c r="AJ180" s="14">
        <f>AI180*VLOOKUP('Données projet'!$B$10,Paramètres!$A$1:$I$89,3,0)*VLOOKUP('Données projet'!$B$10,Paramètres!$A$1:$I$89,5,0)</f>
        <v>-1.2710188457276673E-13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382.55387448074327</v>
      </c>
      <c r="AO180" s="62">
        <f t="shared" si="144"/>
        <v>476.29465646955543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0.58785973281810533</v>
      </c>
      <c r="AV180" s="23">
        <f>EXP(-LN(2)/25)*AV179+(1-EXP(-LN(2)/25))/(LN(2)/25)*Calculateur!AQ180*Calculateur!AS180*VLOOKUP('Données projet'!$B$10,Paramètres!$A$1:$I$89,3,0)*0.475*44/12</f>
        <v>0.24146236969674462</v>
      </c>
      <c r="AW180" s="23">
        <f>EXP(-LN(2)/2)*AW179+(1-EXP(-LN(2)/2))/(LN(2)/2)*AQ180*AT180*VLOOKUP('Données projet'!$B$10,Paramètres!$A$1:$I$89,3,0)*0.475*44/12</f>
        <v>9.9380829519083169E-22</v>
      </c>
      <c r="AX180" s="23">
        <f t="shared" si="166"/>
        <v>0.82932210251484995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-5.3205440053716299E-14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310.95287409903602</v>
      </c>
      <c r="BJ180" s="62">
        <f t="shared" si="146"/>
        <v>224.10083380795163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287.69656598881124</v>
      </c>
      <c r="T181" s="62">
        <f t="shared" si="142"/>
        <v>221.9773436301067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9.9834361131438676E-2</v>
      </c>
      <c r="AB181" s="23">
        <f>EXP(-LN(2)/2)*AB180+(1-EXP(-LN(2)/2))/(LN(2)/2)*V181*Y181*VLOOKUP('Données projet'!$B$9,Paramètres!$A$1:$I$89,3,0)*0.475*44/12</f>
        <v>7.529115232762791E-22</v>
      </c>
      <c r="AC181" s="24">
        <f t="shared" si="163"/>
        <v>9.9834361131438676E-2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-2.2737367544323206E-13</v>
      </c>
      <c r="AJ181" s="14">
        <f>AI181*VLOOKUP('Données projet'!$B$10,Paramètres!$A$1:$I$89,3,0)*VLOOKUP('Données projet'!$B$10,Paramètres!$A$1:$I$89,5,0)</f>
        <v>-1.2710188457276673E-13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382.55387448074327</v>
      </c>
      <c r="AO181" s="62">
        <f t="shared" si="144"/>
        <v>476.29465646955543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0.57633216201657456</v>
      </c>
      <c r="AV181" s="23">
        <f>EXP(-LN(2)/25)*AV180+(1-EXP(-LN(2)/25))/(LN(2)/25)*Calculateur!AQ181*Calculateur!AS181*VLOOKUP('Données projet'!$B$10,Paramètres!$A$1:$I$89,3,0)*0.475*44/12</f>
        <v>0.23485956849943299</v>
      </c>
      <c r="AW181" s="23">
        <f>EXP(-LN(2)/2)*AW180+(1-EXP(-LN(2)/2))/(LN(2)/2)*AQ181*AT181*VLOOKUP('Données projet'!$B$10,Paramètres!$A$1:$I$89,3,0)*0.475*44/12</f>
        <v>7.0272858472887927E-22</v>
      </c>
      <c r="AX181" s="23">
        <f t="shared" si="166"/>
        <v>0.81119173051600757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-5.3205440053716299E-14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310.95287409903602</v>
      </c>
      <c r="BJ181" s="62">
        <f t="shared" si="146"/>
        <v>224.10083380795163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287.69656598881124</v>
      </c>
      <c r="T182" s="62">
        <f t="shared" si="142"/>
        <v>221.9773436301067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9.7104385276238603E-2</v>
      </c>
      <c r="AB182" s="23">
        <f>EXP(-LN(2)/2)*AB181+(1-EXP(-LN(2)/2))/(LN(2)/2)*V182*Y182*VLOOKUP('Données projet'!$B$9,Paramètres!$A$1:$I$89,3,0)*0.475*44/12</f>
        <v>5.3238884374215006E-22</v>
      </c>
      <c r="AC182" s="24">
        <f t="shared" si="163"/>
        <v>9.7104385276238603E-2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-2.2737367544323206E-13</v>
      </c>
      <c r="AJ182" s="14">
        <f>AI182*VLOOKUP('Données projet'!$B$10,Paramètres!$A$1:$I$89,3,0)*VLOOKUP('Données projet'!$B$10,Paramètres!$A$1:$I$89,5,0)</f>
        <v>-1.2710188457276673E-13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382.55387448074327</v>
      </c>
      <c r="AO182" s="62">
        <f t="shared" si="144"/>
        <v>476.29465646955543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0.56503063984733781</v>
      </c>
      <c r="AV182" s="23">
        <f>EXP(-LN(2)/25)*AV181+(1-EXP(-LN(2)/25))/(LN(2)/25)*Calculateur!AQ182*Calculateur!AS182*VLOOKUP('Données projet'!$B$10,Paramètres!$A$1:$I$89,3,0)*0.475*44/12</f>
        <v>0.22843732124808805</v>
      </c>
      <c r="AW182" s="23">
        <f>EXP(-LN(2)/2)*AW181+(1-EXP(-LN(2)/2))/(LN(2)/2)*AQ182*AT182*VLOOKUP('Données projet'!$B$10,Paramètres!$A$1:$I$89,3,0)*0.475*44/12</f>
        <v>4.9690414759541584E-22</v>
      </c>
      <c r="AX182" s="23">
        <f t="shared" si="166"/>
        <v>0.79346796109542583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-5.3205440053716299E-14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310.95287409903602</v>
      </c>
      <c r="BJ182" s="62">
        <f t="shared" si="146"/>
        <v>224.10083380795163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287.69656598881124</v>
      </c>
      <c r="T183" s="62">
        <f t="shared" si="142"/>
        <v>221.9773436301067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9.4449060754362171E-2</v>
      </c>
      <c r="AB183" s="23">
        <f>EXP(-LN(2)/2)*AB182+(1-EXP(-LN(2)/2))/(LN(2)/2)*V183*Y183*VLOOKUP('Données projet'!$B$9,Paramètres!$A$1:$I$89,3,0)*0.475*44/12</f>
        <v>3.7645576163813955E-22</v>
      </c>
      <c r="AC183" s="24">
        <f t="shared" si="163"/>
        <v>9.4449060754362171E-2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-2.2737367544323206E-13</v>
      </c>
      <c r="AJ183" s="14">
        <f>AI183*VLOOKUP('Données projet'!$B$10,Paramètres!$A$1:$I$89,3,0)*VLOOKUP('Données projet'!$B$10,Paramètres!$A$1:$I$89,5,0)</f>
        <v>-1.2710188457276673E-13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382.55387448074327</v>
      </c>
      <c r="AO183" s="62">
        <f t="shared" si="144"/>
        <v>476.29465646955543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0.55395073363459202</v>
      </c>
      <c r="AV183" s="23">
        <f>EXP(-LN(2)/25)*AV182+(1-EXP(-LN(2)/25))/(LN(2)/25)*Calculateur!AQ183*Calculateur!AS183*VLOOKUP('Données projet'!$B$10,Paramètres!$A$1:$I$89,3,0)*0.475*44/12</f>
        <v>0.22219069068556246</v>
      </c>
      <c r="AW183" s="23">
        <f>EXP(-LN(2)/2)*AW182+(1-EXP(-LN(2)/2))/(LN(2)/2)*AQ183*AT183*VLOOKUP('Données projet'!$B$10,Paramètres!$A$1:$I$89,3,0)*0.475*44/12</f>
        <v>3.5136429236443963E-22</v>
      </c>
      <c r="AX183" s="23">
        <f t="shared" si="166"/>
        <v>0.77614142432015454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-5.3205440053716299E-14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310.95287409903602</v>
      </c>
      <c r="BJ183" s="62">
        <f t="shared" si="146"/>
        <v>224.10083380795163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287.69656598881124</v>
      </c>
      <c r="T184" s="62">
        <f t="shared" si="142"/>
        <v>221.9773436301067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9.18663462211739E-2</v>
      </c>
      <c r="AB184" s="23">
        <f>EXP(-LN(2)/2)*AB183+(1-EXP(-LN(2)/2))/(LN(2)/2)*V184*Y184*VLOOKUP('Données projet'!$B$9,Paramètres!$A$1:$I$89,3,0)*0.475*44/12</f>
        <v>2.6619442187107503E-22</v>
      </c>
      <c r="AC184" s="24">
        <f t="shared" si="163"/>
        <v>9.18663462211739E-2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-2.2737367544323206E-13</v>
      </c>
      <c r="AJ184" s="14">
        <f>AI184*VLOOKUP('Données projet'!$B$10,Paramètres!$A$1:$I$89,3,0)*VLOOKUP('Données projet'!$B$10,Paramètres!$A$1:$I$89,5,0)</f>
        <v>-1.2710188457276673E-13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382.55387448074327</v>
      </c>
      <c r="AO184" s="62">
        <f t="shared" si="144"/>
        <v>476.29465646955543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0.54308809762460264</v>
      </c>
      <c r="AV184" s="23">
        <f>EXP(-LN(2)/25)*AV183+(1-EXP(-LN(2)/25))/(LN(2)/25)*Calculateur!AQ184*Calculateur!AS184*VLOOKUP('Données projet'!$B$10,Paramètres!$A$1:$I$89,3,0)*0.475*44/12</f>
        <v>0.21611487456426515</v>
      </c>
      <c r="AW184" s="23">
        <f>EXP(-LN(2)/2)*AW183+(1-EXP(-LN(2)/2))/(LN(2)/2)*AQ184*AT184*VLOOKUP('Données projet'!$B$10,Paramètres!$A$1:$I$89,3,0)*0.475*44/12</f>
        <v>2.4845207379770792E-22</v>
      </c>
      <c r="AX184" s="23">
        <f t="shared" si="166"/>
        <v>0.75920297218886779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-5.3205440053716299E-14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310.95287409903602</v>
      </c>
      <c r="BJ184" s="62">
        <f t="shared" si="146"/>
        <v>224.10083380795163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287.69656598881124</v>
      </c>
      <c r="T185" s="62">
        <f t="shared" si="142"/>
        <v>221.9773436301067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8.9354256152714709E-2</v>
      </c>
      <c r="AB185" s="23">
        <f>EXP(-LN(2)/2)*AB184+(1-EXP(-LN(2)/2))/(LN(2)/2)*V185*Y185*VLOOKUP('Données projet'!$B$9,Paramètres!$A$1:$I$89,3,0)*0.475*44/12</f>
        <v>1.8822788081906977E-22</v>
      </c>
      <c r="AC185" s="24">
        <f t="shared" si="163"/>
        <v>8.9354256152714709E-2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-2.2737367544323206E-13</v>
      </c>
      <c r="AJ185" s="14">
        <f>AI185*VLOOKUP('Données projet'!$B$10,Paramètres!$A$1:$I$89,3,0)*VLOOKUP('Données projet'!$B$10,Paramètres!$A$1:$I$89,5,0)</f>
        <v>-1.2710188457276673E-13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382.55387448074327</v>
      </c>
      <c r="AO185" s="62">
        <f t="shared" si="144"/>
        <v>476.29465646955543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0.53243847128121546</v>
      </c>
      <c r="AV185" s="23">
        <f>EXP(-LN(2)/25)*AV184+(1-EXP(-LN(2)/25))/(LN(2)/25)*Calculateur!AQ185*Calculateur!AS185*VLOOKUP('Données projet'!$B$10,Paramètres!$A$1:$I$89,3,0)*0.475*44/12</f>
        <v>0.21020520195431799</v>
      </c>
      <c r="AW185" s="23">
        <f>EXP(-LN(2)/2)*AW184+(1-EXP(-LN(2)/2))/(LN(2)/2)*AQ185*AT185*VLOOKUP('Données projet'!$B$10,Paramètres!$A$1:$I$89,3,0)*0.475*44/12</f>
        <v>1.7568214618221982E-22</v>
      </c>
      <c r="AX185" s="23">
        <f t="shared" si="166"/>
        <v>0.74264367323553349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-5.3205440053716299E-14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310.95287409903602</v>
      </c>
      <c r="BJ185" s="62">
        <f t="shared" si="146"/>
        <v>224.10083380795163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287.69656598881124</v>
      </c>
      <c r="T186" s="62">
        <f t="shared" si="142"/>
        <v>221.9773436301067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8.6910859319282621E-2</v>
      </c>
      <c r="AB186" s="23">
        <f>EXP(-LN(2)/2)*AB185+(1-EXP(-LN(2)/2))/(LN(2)/2)*V186*Y186*VLOOKUP('Données projet'!$B$9,Paramètres!$A$1:$I$89,3,0)*0.475*44/12</f>
        <v>1.3309721093553751E-22</v>
      </c>
      <c r="AC186" s="24">
        <f t="shared" si="163"/>
        <v>8.6910859319282621E-2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-2.2737367544323206E-13</v>
      </c>
      <c r="AJ186" s="14">
        <f>AI186*VLOOKUP('Données projet'!$B$10,Paramètres!$A$1:$I$89,3,0)*VLOOKUP('Données projet'!$B$10,Paramètres!$A$1:$I$89,5,0)</f>
        <v>-1.2710188457276673E-13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382.55387448074327</v>
      </c>
      <c r="AO186" s="62">
        <f t="shared" si="144"/>
        <v>476.29465646955543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0.52199767761479143</v>
      </c>
      <c r="AV186" s="23">
        <f>EXP(-LN(2)/25)*AV185+(1-EXP(-LN(2)/25))/(LN(2)/25)*Calculateur!AQ186*Calculateur!AS186*VLOOKUP('Données projet'!$B$10,Paramètres!$A$1:$I$89,3,0)*0.475*44/12</f>
        <v>0.20445712965266602</v>
      </c>
      <c r="AW186" s="23">
        <f>EXP(-LN(2)/2)*AW185+(1-EXP(-LN(2)/2))/(LN(2)/2)*AQ186*AT186*VLOOKUP('Données projet'!$B$10,Paramètres!$A$1:$I$89,3,0)*0.475*44/12</f>
        <v>1.2422603689885396E-22</v>
      </c>
      <c r="AX186" s="23">
        <f t="shared" si="166"/>
        <v>0.72645480726745748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-5.3205440053716299E-14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310.95287409903602</v>
      </c>
      <c r="BJ186" s="62">
        <f t="shared" si="146"/>
        <v>224.10083380795163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287.69656598881124</v>
      </c>
      <c r="T187" s="62">
        <f t="shared" si="142"/>
        <v>221.9773436301067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8.4534277300753385E-2</v>
      </c>
      <c r="AB187" s="23">
        <f>EXP(-LN(2)/2)*AB186+(1-EXP(-LN(2)/2))/(LN(2)/2)*V187*Y187*VLOOKUP('Données projet'!$B$9,Paramètres!$A$1:$I$89,3,0)*0.475*44/12</f>
        <v>9.4113940409534887E-23</v>
      </c>
      <c r="AC187" s="24">
        <f t="shared" si="163"/>
        <v>8.4534277300753385E-2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-2.2737367544323206E-13</v>
      </c>
      <c r="AJ187" s="14">
        <f>AI187*VLOOKUP('Données projet'!$B$10,Paramètres!$A$1:$I$89,3,0)*VLOOKUP('Données projet'!$B$10,Paramètres!$A$1:$I$89,5,0)</f>
        <v>-1.2710188457276673E-13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382.55387448074327</v>
      </c>
      <c r="AO187" s="62">
        <f t="shared" si="144"/>
        <v>476.29465646955543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0.51176162154391058</v>
      </c>
      <c r="AV187" s="23">
        <f>EXP(-LN(2)/25)*AV186+(1-EXP(-LN(2)/25))/(LN(2)/25)*Calculateur!AQ187*Calculateur!AS187*VLOOKUP('Données projet'!$B$10,Paramètres!$A$1:$I$89,3,0)*0.475*44/12</f>
        <v>0.19886623869038073</v>
      </c>
      <c r="AW187" s="23">
        <f>EXP(-LN(2)/2)*AW186+(1-EXP(-LN(2)/2))/(LN(2)/2)*AQ187*AT187*VLOOKUP('Données projet'!$B$10,Paramètres!$A$1:$I$89,3,0)*0.475*44/12</f>
        <v>8.7841073091109908E-23</v>
      </c>
      <c r="AX187" s="23">
        <f t="shared" si="166"/>
        <v>0.71062786023429125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-5.3205440053716299E-14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310.95287409903602</v>
      </c>
      <c r="BJ187" s="62">
        <f t="shared" si="146"/>
        <v>224.10083380795163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287.69656598881124</v>
      </c>
      <c r="T188" s="62">
        <f t="shared" si="142"/>
        <v>221.9773436301067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8.2222683042499842E-2</v>
      </c>
      <c r="AB188" s="23">
        <f>EXP(-LN(2)/2)*AB187+(1-EXP(-LN(2)/2))/(LN(2)/2)*V188*Y188*VLOOKUP('Données projet'!$B$9,Paramètres!$A$1:$I$89,3,0)*0.475*44/12</f>
        <v>6.6548605467768757E-23</v>
      </c>
      <c r="AC188" s="24">
        <f t="shared" si="163"/>
        <v>8.2222683042499842E-2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-2.2737367544323206E-13</v>
      </c>
      <c r="AJ188" s="14">
        <f>AI188*VLOOKUP('Données projet'!$B$10,Paramètres!$A$1:$I$89,3,0)*VLOOKUP('Données projet'!$B$10,Paramètres!$A$1:$I$89,5,0)</f>
        <v>-1.2710188457276673E-13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382.55387448074327</v>
      </c>
      <c r="AO188" s="62">
        <f t="shared" si="144"/>
        <v>476.29465646955543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0.50172628828920196</v>
      </c>
      <c r="AV188" s="23">
        <f>EXP(-LN(2)/25)*AV187+(1-EXP(-LN(2)/25))/(LN(2)/25)*Calculateur!AQ188*Calculateur!AS188*VLOOKUP('Données projet'!$B$10,Paramètres!$A$1:$I$89,3,0)*0.475*44/12</f>
        <v>0.19342823093547129</v>
      </c>
      <c r="AW188" s="23">
        <f>EXP(-LN(2)/2)*AW187+(1-EXP(-LN(2)/2))/(LN(2)/2)*AQ188*AT188*VLOOKUP('Données projet'!$B$10,Paramètres!$A$1:$I$89,3,0)*0.475*44/12</f>
        <v>6.211301844942698E-23</v>
      </c>
      <c r="AX188" s="23">
        <f t="shared" si="166"/>
        <v>0.69515451922467331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-5.3205440053716299E-14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310.95287409903602</v>
      </c>
      <c r="BJ188" s="62">
        <f t="shared" si="146"/>
        <v>224.10083380795163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287.69656598881124</v>
      </c>
      <c r="T189" s="62">
        <f t="shared" si="142"/>
        <v>221.9773436301067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7.9974299450799702E-2</v>
      </c>
      <c r="AB189" s="23">
        <f>EXP(-LN(2)/2)*AB188+(1-EXP(-LN(2)/2))/(LN(2)/2)*V189*Y189*VLOOKUP('Données projet'!$B$9,Paramètres!$A$1:$I$89,3,0)*0.475*44/12</f>
        <v>4.7056970204767444E-23</v>
      </c>
      <c r="AC189" s="24">
        <f t="shared" si="163"/>
        <v>7.9974299450799702E-2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-2.2737367544323206E-13</v>
      </c>
      <c r="AJ189" s="14">
        <f>AI189*VLOOKUP('Données projet'!$B$10,Paramètres!$A$1:$I$89,3,0)*VLOOKUP('Données projet'!$B$10,Paramètres!$A$1:$I$89,5,0)</f>
        <v>-1.2710188457276673E-13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382.55387448074327</v>
      </c>
      <c r="AO189" s="62">
        <f t="shared" si="144"/>
        <v>476.29465646955543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0.49188774179866934</v>
      </c>
      <c r="AV189" s="23">
        <f>EXP(-LN(2)/25)*AV188+(1-EXP(-LN(2)/25))/(LN(2)/25)*Calculateur!AQ189*Calculateur!AS189*VLOOKUP('Données projet'!$B$10,Paramètres!$A$1:$I$89,3,0)*0.475*44/12</f>
        <v>0.18813892578859226</v>
      </c>
      <c r="AW189" s="23">
        <f>EXP(-LN(2)/2)*AW188+(1-EXP(-LN(2)/2))/(LN(2)/2)*AQ189*AT189*VLOOKUP('Données projet'!$B$10,Paramètres!$A$1:$I$89,3,0)*0.475*44/12</f>
        <v>4.3920536545554954E-23</v>
      </c>
      <c r="AX189" s="23">
        <f t="shared" si="166"/>
        <v>0.6800266675872616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-5.3205440053716299E-14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310.95287409903602</v>
      </c>
      <c r="BJ189" s="62">
        <f t="shared" si="146"/>
        <v>224.10083380795163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287.69656598881124</v>
      </c>
      <c r="T190" s="62">
        <f t="shared" si="142"/>
        <v>221.9773436301067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7.7787398026651966E-2</v>
      </c>
      <c r="AB190" s="23">
        <f>EXP(-LN(2)/2)*AB189+(1-EXP(-LN(2)/2))/(LN(2)/2)*V190*Y190*VLOOKUP('Données projet'!$B$9,Paramètres!$A$1:$I$89,3,0)*0.475*44/12</f>
        <v>3.3274302733884379E-23</v>
      </c>
      <c r="AC190" s="24">
        <f t="shared" si="163"/>
        <v>7.7787398026651966E-2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-2.2737367544323206E-13</v>
      </c>
      <c r="AJ190" s="14">
        <f>AI190*VLOOKUP('Données projet'!$B$10,Paramètres!$A$1:$I$89,3,0)*VLOOKUP('Données projet'!$B$10,Paramètres!$A$1:$I$89,5,0)</f>
        <v>-1.2710188457276673E-13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382.55387448074327</v>
      </c>
      <c r="AO190" s="62">
        <f t="shared" si="144"/>
        <v>476.29465646955543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0.48224212320389526</v>
      </c>
      <c r="AV190" s="23">
        <f>EXP(-LN(2)/25)*AV189+(1-EXP(-LN(2)/25))/(LN(2)/25)*Calculateur!AQ190*Calculateur!AS190*VLOOKUP('Données projet'!$B$10,Paramètres!$A$1:$I$89,3,0)*0.475*44/12</f>
        <v>0.18299425696910709</v>
      </c>
      <c r="AW190" s="23">
        <f>EXP(-LN(2)/2)*AW189+(1-EXP(-LN(2)/2))/(LN(2)/2)*AQ190*AT190*VLOOKUP('Données projet'!$B$10,Paramètres!$A$1:$I$89,3,0)*0.475*44/12</f>
        <v>3.105650922471349E-23</v>
      </c>
      <c r="AX190" s="23">
        <f t="shared" si="166"/>
        <v>0.66523638017300235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-5.3205440053716299E-14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310.95287409903602</v>
      </c>
      <c r="BJ190" s="62">
        <f t="shared" si="146"/>
        <v>224.10083380795163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287.69656598881124</v>
      </c>
      <c r="T191" s="62">
        <f t="shared" si="142"/>
        <v>221.9773436301067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7.5660297536951693E-2</v>
      </c>
      <c r="AB191" s="23">
        <f>EXP(-LN(2)/2)*AB190+(1-EXP(-LN(2)/2))/(LN(2)/2)*V191*Y191*VLOOKUP('Données projet'!$B$9,Paramètres!$A$1:$I$89,3,0)*0.475*44/12</f>
        <v>2.3528485102383722E-23</v>
      </c>
      <c r="AC191" s="24">
        <f t="shared" si="163"/>
        <v>7.5660297536951693E-2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-2.2737367544323206E-13</v>
      </c>
      <c r="AJ191" s="14">
        <f>AI191*VLOOKUP('Données projet'!$B$10,Paramètres!$A$1:$I$89,3,0)*VLOOKUP('Données projet'!$B$10,Paramètres!$A$1:$I$89,5,0)</f>
        <v>-1.2710188457276673E-13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382.55387448074327</v>
      </c>
      <c r="AO191" s="62">
        <f t="shared" si="144"/>
        <v>476.29465646955543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0.47278564930651823</v>
      </c>
      <c r="AV191" s="23">
        <f>EXP(-LN(2)/25)*AV190+(1-EXP(-LN(2)/25))/(LN(2)/25)*Calculateur!AQ191*Calculateur!AS191*VLOOKUP('Données projet'!$B$10,Paramètres!$A$1:$I$89,3,0)*0.475*44/12</f>
        <v>0.17799026938903711</v>
      </c>
      <c r="AW191" s="23">
        <f>EXP(-LN(2)/2)*AW190+(1-EXP(-LN(2)/2))/(LN(2)/2)*AQ191*AT191*VLOOKUP('Données projet'!$B$10,Paramètres!$A$1:$I$89,3,0)*0.475*44/12</f>
        <v>2.1960268272777477E-23</v>
      </c>
      <c r="AX191" s="23">
        <f t="shared" si="166"/>
        <v>0.65077591869555529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-5.3205440053716299E-14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310.95287409903602</v>
      </c>
      <c r="BJ191" s="62">
        <f t="shared" si="146"/>
        <v>224.10083380795163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287.69656598881124</v>
      </c>
      <c r="T192" s="62">
        <f t="shared" si="142"/>
        <v>221.9773436301067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7.3591362722001619E-2</v>
      </c>
      <c r="AB192" s="23">
        <f>EXP(-LN(2)/2)*AB191+(1-EXP(-LN(2)/2))/(LN(2)/2)*V192*Y192*VLOOKUP('Données projet'!$B$9,Paramètres!$A$1:$I$89,3,0)*0.475*44/12</f>
        <v>1.6637151366942189E-23</v>
      </c>
      <c r="AC192" s="24">
        <f t="shared" si="163"/>
        <v>7.3591362722001619E-2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-2.2737367544323206E-13</v>
      </c>
      <c r="AJ192" s="14">
        <f>AI192*VLOOKUP('Données projet'!$B$10,Paramètres!$A$1:$I$89,3,0)*VLOOKUP('Données projet'!$B$10,Paramètres!$A$1:$I$89,5,0)</f>
        <v>-1.2710188457276673E-13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382.55387448074327</v>
      </c>
      <c r="AO192" s="62">
        <f t="shared" si="144"/>
        <v>476.29465646955543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0.46351461109438924</v>
      </c>
      <c r="AV192" s="23">
        <f>EXP(-LN(2)/25)*AV191+(1-EXP(-LN(2)/25))/(LN(2)/25)*Calculateur!AQ192*Calculateur!AS192*VLOOKUP('Données projet'!$B$10,Paramètres!$A$1:$I$89,3,0)*0.475*44/12</f>
        <v>0.17312311611249243</v>
      </c>
      <c r="AW192" s="23">
        <f>EXP(-LN(2)/2)*AW191+(1-EXP(-LN(2)/2))/(LN(2)/2)*AQ192*AT192*VLOOKUP('Données projet'!$B$10,Paramètres!$A$1:$I$89,3,0)*0.475*44/12</f>
        <v>1.5528254612356745E-23</v>
      </c>
      <c r="AX192" s="23">
        <f t="shared" si="166"/>
        <v>0.63663772720688172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-5.3205440053716299E-14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310.95287409903602</v>
      </c>
      <c r="BJ192" s="62">
        <f t="shared" si="146"/>
        <v>224.10083380795163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287.69656598881124</v>
      </c>
      <c r="T193" s="62">
        <f t="shared" si="142"/>
        <v>221.9773436301067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7.1579003038366909E-2</v>
      </c>
      <c r="AB193" s="23">
        <f>EXP(-LN(2)/2)*AB192+(1-EXP(-LN(2)/2))/(LN(2)/2)*V193*Y193*VLOOKUP('Données projet'!$B$9,Paramètres!$A$1:$I$89,3,0)*0.475*44/12</f>
        <v>1.1764242551191861E-23</v>
      </c>
      <c r="AC193" s="24">
        <f t="shared" si="163"/>
        <v>7.1579003038366909E-2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-2.2737367544323206E-13</v>
      </c>
      <c r="AJ193" s="14">
        <f>AI193*VLOOKUP('Données projet'!$B$10,Paramètres!$A$1:$I$89,3,0)*VLOOKUP('Données projet'!$B$10,Paramètres!$A$1:$I$89,5,0)</f>
        <v>-1.2710188457276673E-13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382.55387448074327</v>
      </c>
      <c r="AO193" s="62">
        <f t="shared" si="144"/>
        <v>476.29465646955543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0.45442537228682517</v>
      </c>
      <c r="AV193" s="23">
        <f>EXP(-LN(2)/25)*AV192+(1-EXP(-LN(2)/25))/(LN(2)/25)*Calculateur!AQ193*Calculateur!AS193*VLOOKUP('Données projet'!$B$10,Paramètres!$A$1:$I$89,3,0)*0.475*44/12</f>
        <v>0.16838905539824733</v>
      </c>
      <c r="AW193" s="23">
        <f>EXP(-LN(2)/2)*AW192+(1-EXP(-LN(2)/2))/(LN(2)/2)*AQ193*AT193*VLOOKUP('Données projet'!$B$10,Paramètres!$A$1:$I$89,3,0)*0.475*44/12</f>
        <v>1.0980134136388739E-23</v>
      </c>
      <c r="AX193" s="23">
        <f t="shared" si="166"/>
        <v>0.62281442768507245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-5.3205440053716299E-14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310.95287409903602</v>
      </c>
      <c r="BJ193" s="62">
        <f t="shared" si="146"/>
        <v>224.10083380795163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287.69656598881124</v>
      </c>
      <c r="T194" s="62">
        <f t="shared" si="142"/>
        <v>221.9773436301067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6.9621671436106591E-2</v>
      </c>
      <c r="AB194" s="23">
        <f>EXP(-LN(2)/2)*AB193+(1-EXP(-LN(2)/2))/(LN(2)/2)*V194*Y194*VLOOKUP('Données projet'!$B$9,Paramètres!$A$1:$I$89,3,0)*0.475*44/12</f>
        <v>8.3185756834710947E-24</v>
      </c>
      <c r="AC194" s="24">
        <f t="shared" si="163"/>
        <v>6.9621671436106591E-2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-2.2737367544323206E-13</v>
      </c>
      <c r="AJ194" s="14">
        <f>AI194*VLOOKUP('Données projet'!$B$10,Paramètres!$A$1:$I$89,3,0)*VLOOKUP('Données projet'!$B$10,Paramètres!$A$1:$I$89,5,0)</f>
        <v>-1.2710188457276673E-13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382.55387448074327</v>
      </c>
      <c r="AO194" s="62">
        <f t="shared" si="144"/>
        <v>476.29465646955543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0.44551436790838916</v>
      </c>
      <c r="AV194" s="23">
        <f>EXP(-LN(2)/25)*AV193+(1-EXP(-LN(2)/25))/(LN(2)/25)*Calculateur!AQ194*Calculateur!AS194*VLOOKUP('Données projet'!$B$10,Paramètres!$A$1:$I$89,3,0)*0.475*44/12</f>
        <v>0.16378444782318669</v>
      </c>
      <c r="AW194" s="23">
        <f>EXP(-LN(2)/2)*AW193+(1-EXP(-LN(2)/2))/(LN(2)/2)*AQ194*AT194*VLOOKUP('Données projet'!$B$10,Paramètres!$A$1:$I$89,3,0)*0.475*44/12</f>
        <v>7.7641273061783725E-24</v>
      </c>
      <c r="AX194" s="23">
        <f t="shared" si="166"/>
        <v>0.60929881573157585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-5.3205440053716299E-14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310.95287409903602</v>
      </c>
      <c r="BJ194" s="62">
        <f t="shared" si="146"/>
        <v>224.10083380795163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287.69656598881124</v>
      </c>
      <c r="T195" s="62">
        <f t="shared" si="142"/>
        <v>221.9773436301067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6.7717863169441672E-2</v>
      </c>
      <c r="AB195" s="23">
        <f>EXP(-LN(2)/2)*AB194+(1-EXP(-LN(2)/2))/(LN(2)/2)*V195*Y195*VLOOKUP('Données projet'!$B$9,Paramètres!$A$1:$I$89,3,0)*0.475*44/12</f>
        <v>5.8821212755959304E-24</v>
      </c>
      <c r="AC195" s="24">
        <f t="shared" si="163"/>
        <v>6.7717863169441672E-2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-2.2737367544323206E-13</v>
      </c>
      <c r="AJ195" s="14">
        <f>AI195*VLOOKUP('Données projet'!$B$10,Paramètres!$A$1:$I$89,3,0)*VLOOKUP('Données projet'!$B$10,Paramètres!$A$1:$I$89,5,0)</f>
        <v>-1.2710188457276673E-13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382.55387448074327</v>
      </c>
      <c r="AO195" s="62">
        <f t="shared" si="144"/>
        <v>476.29465646955543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0.43677810289063829</v>
      </c>
      <c r="AV195" s="23">
        <f>EXP(-LN(2)/25)*AV194+(1-EXP(-LN(2)/25))/(LN(2)/25)*Calculateur!AQ195*Calculateur!AS195*VLOOKUP('Données projet'!$B$10,Paramètres!$A$1:$I$89,3,0)*0.475*44/12</f>
        <v>0.15930575348441187</v>
      </c>
      <c r="AW195" s="23">
        <f>EXP(-LN(2)/2)*AW194+(1-EXP(-LN(2)/2))/(LN(2)/2)*AQ195*AT195*VLOOKUP('Données projet'!$B$10,Paramètres!$A$1:$I$89,3,0)*0.475*44/12</f>
        <v>5.4900670681943693E-24</v>
      </c>
      <c r="AX195" s="23">
        <f t="shared" si="166"/>
        <v>0.59608385637505013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-5.3205440053716299E-14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310.95287409903602</v>
      </c>
      <c r="BJ195" s="62">
        <f t="shared" si="146"/>
        <v>224.10083380795163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287.69656598881124</v>
      </c>
      <c r="T196" s="62">
        <f t="shared" si="142"/>
        <v>221.9773436301067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6.5866114639945642E-2</v>
      </c>
      <c r="AB196" s="23">
        <f>EXP(-LN(2)/2)*AB195+(1-EXP(-LN(2)/2))/(LN(2)/2)*V196*Y196*VLOOKUP('Données projet'!$B$9,Paramètres!$A$1:$I$89,3,0)*0.475*44/12</f>
        <v>4.1592878417355473E-24</v>
      </c>
      <c r="AC196" s="24">
        <f t="shared" si="163"/>
        <v>6.5866114639945642E-2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-2.2737367544323206E-13</v>
      </c>
      <c r="AJ196" s="14">
        <f>AI196*VLOOKUP('Données projet'!$B$10,Paramètres!$A$1:$I$89,3,0)*VLOOKUP('Données projet'!$B$10,Paramètres!$A$1:$I$89,5,0)</f>
        <v>-1.2710188457276673E-13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382.55387448074327</v>
      </c>
      <c r="AO196" s="62">
        <f t="shared" si="144"/>
        <v>476.29465646955543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0.42821315070129001</v>
      </c>
      <c r="AV196" s="23">
        <f>EXP(-LN(2)/25)*AV195+(1-EXP(-LN(2)/25))/(LN(2)/25)*Calculateur!AQ196*Calculateur!AS196*VLOOKUP('Données projet'!$B$10,Paramètres!$A$1:$I$89,3,0)*0.475*44/12</f>
        <v>0.15494952927785516</v>
      </c>
      <c r="AW196" s="23">
        <f>EXP(-LN(2)/2)*AW195+(1-EXP(-LN(2)/2))/(LN(2)/2)*AQ196*AT196*VLOOKUP('Données projet'!$B$10,Paramètres!$A$1:$I$89,3,0)*0.475*44/12</f>
        <v>3.8820636530891863E-24</v>
      </c>
      <c r="AX196" s="23">
        <f t="shared" si="166"/>
        <v>0.58316267997914517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-5.3205440053716299E-14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310.95287409903602</v>
      </c>
      <c r="BJ196" s="62">
        <f t="shared" si="146"/>
        <v>224.10083380795163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287.69656598881124</v>
      </c>
      <c r="T197" s="62">
        <f t="shared" ref="T197:T203" si="204">$T$3</f>
        <v>221.9773436301067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6.4065002271367896E-2</v>
      </c>
      <c r="AB197" s="23">
        <f>EXP(-LN(2)/2)*AB196+(1-EXP(-LN(2)/2))/(LN(2)/2)*V197*Y197*VLOOKUP('Données projet'!$B$9,Paramètres!$A$1:$I$89,3,0)*0.475*44/12</f>
        <v>2.9410606377979652E-24</v>
      </c>
      <c r="AC197" s="24">
        <f t="shared" si="163"/>
        <v>6.4065002271367896E-2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-2.2737367544323206E-13</v>
      </c>
      <c r="AJ197" s="14">
        <f>AI197*VLOOKUP('Données projet'!$B$10,Paramètres!$A$1:$I$89,3,0)*VLOOKUP('Données projet'!$B$10,Paramètres!$A$1:$I$89,5,0)</f>
        <v>-1.2710188457276673E-13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382.55387448074327</v>
      </c>
      <c r="AO197" s="62">
        <f t="shared" ref="AO197:AO203" si="205">$AO$3</f>
        <v>476.29465646955543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0.41981615200026984</v>
      </c>
      <c r="AV197" s="23">
        <f>EXP(-LN(2)/25)*AV196+(1-EXP(-LN(2)/25))/(LN(2)/25)*Calculateur!AQ197*Calculateur!AS197*VLOOKUP('Données projet'!$B$10,Paramètres!$A$1:$I$89,3,0)*0.475*44/12</f>
        <v>0.15071242625131059</v>
      </c>
      <c r="AW197" s="23">
        <f>EXP(-LN(2)/2)*AW196+(1-EXP(-LN(2)/2))/(LN(2)/2)*AQ197*AT197*VLOOKUP('Données projet'!$B$10,Paramètres!$A$1:$I$89,3,0)*0.475*44/12</f>
        <v>2.7450335340971846E-24</v>
      </c>
      <c r="AX197" s="23">
        <f t="shared" si="166"/>
        <v>0.57052857825158043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-5.3205440053716299E-14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310.95287409903602</v>
      </c>
      <c r="BJ197" s="62">
        <f t="shared" ref="BJ197:BJ203" si="206">$BJ$3</f>
        <v>224.10083380795163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287.69656598881124</v>
      </c>
      <c r="T198" s="62">
        <f t="shared" si="204"/>
        <v>221.9773436301067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6.2313141415225294E-2</v>
      </c>
      <c r="AB198" s="23">
        <f>EXP(-LN(2)/2)*AB197+(1-EXP(-LN(2)/2))/(LN(2)/2)*V198*Y198*VLOOKUP('Données projet'!$B$9,Paramètres!$A$1:$I$89,3,0)*0.475*44/12</f>
        <v>2.0796439208677737E-24</v>
      </c>
      <c r="AC198" s="24">
        <f t="shared" si="163"/>
        <v>6.2313141415225294E-2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-2.2737367544323206E-13</v>
      </c>
      <c r="AJ198" s="14">
        <f>AI198*VLOOKUP('Données projet'!$B$10,Paramètres!$A$1:$I$89,3,0)*VLOOKUP('Données projet'!$B$10,Paramètres!$A$1:$I$89,5,0)</f>
        <v>-1.2710188457276673E-13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382.55387448074327</v>
      </c>
      <c r="AO198" s="62">
        <f t="shared" si="205"/>
        <v>476.29465646955543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0.41158381332211319</v>
      </c>
      <c r="AV198" s="23">
        <f>EXP(-LN(2)/25)*AV197+(1-EXP(-LN(2)/25))/(LN(2)/25)*Calculateur!AQ198*Calculateur!AS198*VLOOKUP('Données projet'!$B$10,Paramètres!$A$1:$I$89,3,0)*0.475*44/12</f>
        <v>0.14659118702984647</v>
      </c>
      <c r="AW198" s="23">
        <f>EXP(-LN(2)/2)*AW197+(1-EXP(-LN(2)/2))/(LN(2)/2)*AQ198*AT198*VLOOKUP('Données projet'!$B$10,Paramètres!$A$1:$I$89,3,0)*0.475*44/12</f>
        <v>1.9410318265445931E-24</v>
      </c>
      <c r="AX198" s="23">
        <f t="shared" si="166"/>
        <v>0.55817500035195966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-5.3205440053716299E-14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310.95287409903602</v>
      </c>
      <c r="BJ198" s="62">
        <f t="shared" si="206"/>
        <v>224.10083380795163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287.69656598881124</v>
      </c>
      <c r="T199" s="62">
        <f t="shared" si="204"/>
        <v>221.9773436301067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6.0609185286320269E-2</v>
      </c>
      <c r="AB199" s="23">
        <f>EXP(-LN(2)/2)*AB198+(1-EXP(-LN(2)/2))/(LN(2)/2)*V199*Y199*VLOOKUP('Données projet'!$B$9,Paramètres!$A$1:$I$89,3,0)*0.475*44/12</f>
        <v>1.4705303188989826E-24</v>
      </c>
      <c r="AC199" s="24">
        <f t="shared" si="163"/>
        <v>6.0609185286320269E-2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-2.2737367544323206E-13</v>
      </c>
      <c r="AJ199" s="14">
        <f>AI199*VLOOKUP('Données projet'!$B$10,Paramètres!$A$1:$I$89,3,0)*VLOOKUP('Données projet'!$B$10,Paramètres!$A$1:$I$89,5,0)</f>
        <v>-1.2710188457276673E-13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382.55387448074327</v>
      </c>
      <c r="AO199" s="62">
        <f t="shared" si="205"/>
        <v>476.29465646955543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0.4035129057842044</v>
      </c>
      <c r="AV199" s="23">
        <f>EXP(-LN(2)/25)*AV198+(1-EXP(-LN(2)/25))/(LN(2)/25)*Calculateur!AQ199*Calculateur!AS199*VLOOKUP('Données projet'!$B$10,Paramètres!$A$1:$I$89,3,0)*0.475*44/12</f>
        <v>0.14258264331161982</v>
      </c>
      <c r="AW199" s="23">
        <f>EXP(-LN(2)/2)*AW198+(1-EXP(-LN(2)/2))/(LN(2)/2)*AQ199*AT199*VLOOKUP('Données projet'!$B$10,Paramètres!$A$1:$I$89,3,0)*0.475*44/12</f>
        <v>1.3725167670485923E-24</v>
      </c>
      <c r="AX199" s="23">
        <f t="shared" si="166"/>
        <v>0.54609554909582425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-5.3205440053716299E-14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310.95287409903602</v>
      </c>
      <c r="BJ199" s="62">
        <f t="shared" si="206"/>
        <v>224.10083380795163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287.69656598881124</v>
      </c>
      <c r="T200" s="62">
        <f t="shared" si="204"/>
        <v>221.9773436301067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5.8951823927367308E-2</v>
      </c>
      <c r="AB200" s="23">
        <f>EXP(-LN(2)/2)*AB199+(1-EXP(-LN(2)/2))/(LN(2)/2)*V200*Y200*VLOOKUP('Données projet'!$B$9,Paramètres!$A$1:$I$89,3,0)*0.475*44/12</f>
        <v>1.0398219604338868E-24</v>
      </c>
      <c r="AC200" s="24">
        <f t="shared" si="163"/>
        <v>5.8951823927367308E-2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-2.2737367544323206E-13</v>
      </c>
      <c r="AJ200" s="14">
        <f>AI200*VLOOKUP('Données projet'!$B$10,Paramètres!$A$1:$I$89,3,0)*VLOOKUP('Données projet'!$B$10,Paramètres!$A$1:$I$89,5,0)</f>
        <v>-1.2710188457276673E-13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382.55387448074327</v>
      </c>
      <c r="AO200" s="62">
        <f t="shared" si="205"/>
        <v>476.29465646955543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0.39560026382034646</v>
      </c>
      <c r="AV200" s="23">
        <f>EXP(-LN(2)/25)*AV199+(1-EXP(-LN(2)/25))/(LN(2)/25)*Calculateur!AQ200*Calculateur!AS200*VLOOKUP('Données projet'!$B$10,Paramètres!$A$1:$I$89,3,0)*0.475*44/12</f>
        <v>0.13868371343216823</v>
      </c>
      <c r="AW200" s="23">
        <f>EXP(-LN(2)/2)*AW199+(1-EXP(-LN(2)/2))/(LN(2)/2)*AQ200*AT200*VLOOKUP('Données projet'!$B$10,Paramètres!$A$1:$I$89,3,0)*0.475*44/12</f>
        <v>9.7051591327229657E-25</v>
      </c>
      <c r="AX200" s="23">
        <f t="shared" si="166"/>
        <v>0.53428397725251475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-5.3205440053716299E-14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310.95287409903602</v>
      </c>
      <c r="BJ200" s="62">
        <f t="shared" si="206"/>
        <v>224.10083380795163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287.69656598881124</v>
      </c>
      <c r="T201" s="62">
        <f t="shared" si="204"/>
        <v>221.9773436301067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5.7339783201931768E-2</v>
      </c>
      <c r="AB201" s="23">
        <f>EXP(-LN(2)/2)*AB200+(1-EXP(-LN(2)/2))/(LN(2)/2)*V201*Y201*VLOOKUP('Données projet'!$B$9,Paramètres!$A$1:$I$89,3,0)*0.475*44/12</f>
        <v>7.3526515944949131E-25</v>
      </c>
      <c r="AC201" s="24">
        <f t="shared" si="163"/>
        <v>5.7339783201931768E-2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-2.2737367544323206E-13</v>
      </c>
      <c r="AJ201" s="14">
        <f>AI201*VLOOKUP('Données projet'!$B$10,Paramètres!$A$1:$I$89,3,0)*VLOOKUP('Données projet'!$B$10,Paramètres!$A$1:$I$89,5,0)</f>
        <v>-1.2710188457276673E-13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382.55387448074327</v>
      </c>
      <c r="AO201" s="62">
        <f t="shared" si="205"/>
        <v>476.29465646955543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0.38784278393916477</v>
      </c>
      <c r="AV201" s="23">
        <f>EXP(-LN(2)/25)*AV200+(1-EXP(-LN(2)/25))/(LN(2)/25)*Calculateur!AQ201*Calculateur!AS201*VLOOKUP('Données projet'!$B$10,Paramètres!$A$1:$I$89,3,0)*0.475*44/12</f>
        <v>0.13489139999530605</v>
      </c>
      <c r="AW201" s="23">
        <f>EXP(-LN(2)/2)*AW200+(1-EXP(-LN(2)/2))/(LN(2)/2)*AQ201*AT201*VLOOKUP('Données projet'!$B$10,Paramètres!$A$1:$I$89,3,0)*0.475*44/12</f>
        <v>6.8625838352429616E-25</v>
      </c>
      <c r="AX201" s="23">
        <f t="shared" si="166"/>
        <v>0.5227341839344708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-5.3205440053716299E-14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310.95287409903602</v>
      </c>
      <c r="BJ201" s="62">
        <f t="shared" si="206"/>
        <v>224.10083380795163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287.69656598881124</v>
      </c>
      <c r="T202" s="62">
        <f t="shared" si="204"/>
        <v>221.9773436301067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5.57718238149068E-2</v>
      </c>
      <c r="AB202" s="23">
        <f>EXP(-LN(2)/2)*AB201+(1-EXP(-LN(2)/2))/(LN(2)/2)*V202*Y202*VLOOKUP('Données projet'!$B$9,Paramètres!$A$1:$I$89,3,0)*0.475*44/12</f>
        <v>5.1991098021694342E-25</v>
      </c>
      <c r="AC202" s="24">
        <f t="shared" si="163"/>
        <v>5.57718238149068E-2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-2.2737367544323206E-13</v>
      </c>
      <c r="AJ202" s="14">
        <f>AI202*VLOOKUP('Données projet'!$B$10,Paramètres!$A$1:$I$89,3,0)*VLOOKUP('Données projet'!$B$10,Paramètres!$A$1:$I$89,5,0)</f>
        <v>-1.2710188457276673E-13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382.55387448074327</v>
      </c>
      <c r="AO202" s="62">
        <f t="shared" si="205"/>
        <v>476.29465646955543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0.38023742350685752</v>
      </c>
      <c r="AV202" s="23">
        <f>EXP(-LN(2)/25)*AV201+(1-EXP(-LN(2)/25))/(LN(2)/25)*Calculateur!AQ202*Calculateur!AS202*VLOOKUP('Données projet'!$B$10,Paramètres!$A$1:$I$89,3,0)*0.475*44/12</f>
        <v>0.13120278756880399</v>
      </c>
      <c r="AW202" s="23">
        <f>EXP(-LN(2)/2)*AW201+(1-EXP(-LN(2)/2))/(LN(2)/2)*AQ202*AT202*VLOOKUP('Données projet'!$B$10,Paramètres!$A$1:$I$89,3,0)*0.475*44/12</f>
        <v>4.8525795663614828E-25</v>
      </c>
      <c r="AX202" s="23">
        <f t="shared" si="166"/>
        <v>0.51144021107566151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-5.3205440053716299E-14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310.95287409903602</v>
      </c>
      <c r="BJ202" s="62">
        <f t="shared" si="206"/>
        <v>224.10083380795163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287.69656598881124</v>
      </c>
      <c r="T203" s="62">
        <f t="shared" si="204"/>
        <v>221.9773436301067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5.4246740359775426E-2</v>
      </c>
      <c r="AB203" s="23">
        <f>EXP(-LN(2)/2)*AB202+(1-EXP(-LN(2)/2))/(LN(2)/2)*V203*Y203*VLOOKUP('Données projet'!$B$9,Paramètres!$A$1:$I$89,3,0)*0.475*44/12</f>
        <v>3.6763257972474565E-25</v>
      </c>
      <c r="AC203" s="24">
        <f t="shared" si="163"/>
        <v>5.4246740359775426E-2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-2.2737367544323206E-13</v>
      </c>
      <c r="AJ203" s="14">
        <f>AI203*VLOOKUP('Données projet'!$B$10,Paramètres!$A$1:$I$89,3,0)*VLOOKUP('Données projet'!$B$10,Paramètres!$A$1:$I$89,5,0)</f>
        <v>-1.2710188457276673E-13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382.55387448074327</v>
      </c>
      <c r="AO203" s="62">
        <f t="shared" si="205"/>
        <v>476.29465646955543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0.372781199553816</v>
      </c>
      <c r="AV203" s="23">
        <f>EXP(-LN(2)/25)*AV202+(1-EXP(-LN(2)/25))/(LN(2)/25)*Calculateur!AQ203*Calculateur!AS203*VLOOKUP('Données projet'!$B$10,Paramètres!$A$1:$I$89,3,0)*0.475*44/12</f>
        <v>0.12761504044308031</v>
      </c>
      <c r="AW203" s="23">
        <f>EXP(-LN(2)/2)*AW202+(1-EXP(-LN(2)/2))/(LN(2)/2)*AQ203*AT203*VLOOKUP('Données projet'!$B$10,Paramètres!$A$1:$I$89,3,0)*0.475*44/12</f>
        <v>3.4312919176214808E-25</v>
      </c>
      <c r="AX203" s="23">
        <f t="shared" si="166"/>
        <v>0.50039623999689631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-5.3205440053716299E-14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310.95287409903602</v>
      </c>
      <c r="BJ203" s="62">
        <f t="shared" si="206"/>
        <v>224.10083380795163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1.244502252163008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1.3070441688874561</v>
      </c>
      <c r="BA205" s="88">
        <f>EXP(LN('Données projet'!B88)/'Données projet'!A88)</f>
        <v>1.2880503926580862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A16" sqref="A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laricio</v>
      </c>
      <c r="B6" s="155">
        <f>'Données projet'!D9</f>
        <v>0.77899999999999991</v>
      </c>
      <c r="C6" s="156">
        <f ca="1">IF(OR('Données projet'!B9="",'Données projet'!C9="",'Données projet'!C9=0%),0,Calculateur!S3)</f>
        <v>287.69656598881124</v>
      </c>
      <c r="D6" s="156">
        <f>IF(OR('Données projet'!B9="",'Données projet'!C9="",'Données projet'!C9=0%),0,Calculateur!T3)</f>
        <v>221.9773436301067</v>
      </c>
      <c r="E6" s="156">
        <f ca="1">MIN(C6,D6)</f>
        <v>221.9773436301067</v>
      </c>
      <c r="F6" s="156">
        <f ca="1">E6*B6</f>
        <v>172.9203506878531</v>
      </c>
      <c r="G6" s="156">
        <f ca="1">F6*(100%-'Données projet'!$C$24)*(100%-'Données projet'!$C$25)*(100%-'Données projet'!$C$26)*(100%-'Données projet'!$C$27)</f>
        <v>132.28406827620762</v>
      </c>
      <c r="H6" s="157">
        <f>IF(OR('Données projet'!B9="",'Données projet'!C9="",'Données projet'!C9=0%),0,AVERAGE(Calculateur!$AC$3:$AC$33)*B6)</f>
        <v>2.1936006537342214</v>
      </c>
      <c r="I6" s="158">
        <f>H6*(100%-'Données projet'!$C$24)*(100%-'Données projet'!$C$25)*(100%-'Données projet'!$C$26)*(100%-'Données projet'!$C$27)</f>
        <v>1.6781045001066794</v>
      </c>
      <c r="J6" s="159">
        <f>IF(OR('Données projet'!B9="",'Données projet'!C9="",'Données projet'!C9=0%),0,SUM(Calculateur!$V$3:$V$33)*VLOOKUP('Données projet'!$B$9,Paramètres!$A$1:$I$89,9,0)*B6)</f>
        <v>22.442989999999998</v>
      </c>
      <c r="K6" s="160">
        <f>J6*(100%-'Données projet'!$C$24)*(100%-'Données projet'!$C$25)*(100%-'Données projet'!$C$26)*(100%-'Données projet'!$C$27)</f>
        <v>17.168887349999999</v>
      </c>
      <c r="L6" s="161">
        <f ca="1">G6+I6+K6</f>
        <v>151.13106012631431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Douglas</v>
      </c>
      <c r="B7" s="163">
        <f>'Données projet'!D10</f>
        <v>1.6604999999999999</v>
      </c>
      <c r="C7" s="156">
        <f ca="1">IF(OR('Données projet'!B10="",'Données projet'!C10="",'Données projet'!C10=0%),0,Calculateur!AN3)</f>
        <v>382.55387448074327</v>
      </c>
      <c r="D7" s="156">
        <f>IF(OR('Données projet'!B10="",'Données projet'!C10="",'Données projet'!C10=0%),0,Calculateur!AO3)</f>
        <v>476.29465646955543</v>
      </c>
      <c r="E7" s="156">
        <f t="shared" ref="E7:E15" ca="1" si="0">MIN(C7,D7)</f>
        <v>382.55387448074327</v>
      </c>
      <c r="F7" s="156">
        <f t="shared" ref="F7:F15" ca="1" si="1">E7*B7</f>
        <v>635.23070857527421</v>
      </c>
      <c r="G7" s="156">
        <f ca="1">F7*(100%-'Données projet'!$C$24)*(100%-'Données projet'!$C$25)*(100%-'Données projet'!$C$26)*(100%-'Données projet'!$C$27)</f>
        <v>485.95149206008477</v>
      </c>
      <c r="H7" s="164">
        <f>IF(OR('Données projet'!B10="",'Données projet'!C10="",'Données projet'!C10=0%),0,AVERAGE(Calculateur!$AX$3:$AX$33)*B7)</f>
        <v>7.4164277328826707</v>
      </c>
      <c r="I7" s="158">
        <f>H7*(100%-'Données projet'!$C$24)*(100%-'Données projet'!$C$25)*(100%-'Données projet'!$C$26)*(100%-'Données projet'!$C$27)</f>
        <v>5.6735672156552432</v>
      </c>
      <c r="J7" s="159">
        <f>IF(OR('Données projet'!B10="",'Données projet'!C10="",'Données projet'!C10=0%),0,SUM(Calculateur!$AQ$3:$AQ$33)*VLOOKUP('Données projet'!$B$10,Paramètres!$A$1:$I$89,9,0)*B7)</f>
        <v>77.113619999999983</v>
      </c>
      <c r="K7" s="160">
        <f>J7*(100%-'Données projet'!$C$24)*(100%-'Données projet'!$C$25)*(100%-'Données projet'!$C$26)*(100%-'Données projet'!$C$27)</f>
        <v>58.991919299999992</v>
      </c>
      <c r="L7" s="161">
        <f t="shared" ref="L7:L15" ca="1" si="2">G7+I7+K7</f>
        <v>550.61697857573995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Cèdre de l'Atlas</v>
      </c>
      <c r="B8" s="163">
        <f>'Données projet'!D11</f>
        <v>1.6604999999999999</v>
      </c>
      <c r="C8" s="156">
        <f ca="1">IF(OR('Données projet'!B11="",'Données projet'!C11="",'Données projet'!C11=0%),0,Calculateur!BI3)</f>
        <v>310.95287409903602</v>
      </c>
      <c r="D8" s="156">
        <f>IF(OR('Données projet'!B11="",'Données projet'!C11="",'Données projet'!C11=0%),0,Calculateur!BJ3)</f>
        <v>224.10083380795163</v>
      </c>
      <c r="E8" s="156">
        <f t="shared" ca="1" si="0"/>
        <v>224.10083380795163</v>
      </c>
      <c r="F8" s="156">
        <f t="shared" ca="1" si="1"/>
        <v>372.11943453810363</v>
      </c>
      <c r="G8" s="156">
        <f ca="1">F8*(100%-'Données projet'!$C$24)*(100%-'Données projet'!$C$25)*(100%-'Données projet'!$C$26)*(100%-'Données projet'!$C$27)</f>
        <v>284.67136742164928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284.67136742164928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1180.2704938012309</v>
      </c>
      <c r="G16" s="175">
        <f t="shared" ca="1" si="3"/>
        <v>902.90692775794162</v>
      </c>
      <c r="H16" s="176">
        <f t="shared" si="3"/>
        <v>9.610028386616893</v>
      </c>
      <c r="I16" s="176">
        <f t="shared" si="3"/>
        <v>7.3516717157619222</v>
      </c>
      <c r="J16" s="177">
        <f t="shared" si="3"/>
        <v>99.556609999999978</v>
      </c>
      <c r="K16" s="177">
        <f t="shared" si="3"/>
        <v>76.160806649999984</v>
      </c>
      <c r="L16" s="178">
        <f t="shared" ca="1" si="3"/>
        <v>986.41940612370354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laricio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Douglas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Cèdre de l'Atlas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1" zoomScale="90" zoomScaleNormal="90" workbookViewId="0">
      <selection activeCell="M30" sqref="M3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laricio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1997.5625420038677</v>
      </c>
      <c r="U10" s="190">
        <f>'Données projet'!D9</f>
        <v>0.77899999999999991</v>
      </c>
      <c r="V10" s="189">
        <f>U10*T10</f>
        <v>1556.1012202210129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Douglas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5533.9148149875973</v>
      </c>
      <c r="U11" s="190">
        <f>'Données projet'!D10</f>
        <v>1.6604999999999999</v>
      </c>
      <c r="V11" s="189">
        <f t="shared" ref="V11" si="0">U11*T11</f>
        <v>9189.0655502869049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Cèdre de l'Atlas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1073.3775350824558</v>
      </c>
      <c r="U12" s="190">
        <f>'Données projet'!D11</f>
        <v>1.6604999999999999</v>
      </c>
      <c r="V12" s="189">
        <f t="shared" ref="V12:V19" si="1">U12*T12</f>
        <v>1782.3433970044177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laricio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70.000000000000114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>
        <v>30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2100.0000000000036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v>3818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650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530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22</v>
      </c>
      <c r="B23" s="193">
        <f>'Données projet'!D36</f>
        <v>16</v>
      </c>
      <c r="C23" s="292">
        <v>12</v>
      </c>
      <c r="D23" s="194">
        <f>B23*C23</f>
        <v>192</v>
      </c>
      <c r="E23" s="206"/>
      <c r="F23" s="261"/>
      <c r="H23" s="203">
        <v>3</v>
      </c>
      <c r="I23" s="204">
        <v>710</v>
      </c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-13088.124425171462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17</v>
      </c>
      <c r="C24" s="292">
        <v>12</v>
      </c>
      <c r="D24" s="194">
        <f t="shared" ref="D24:D42" si="2">B24*C24</f>
        <v>204</v>
      </c>
      <c r="E24" s="206"/>
      <c r="F24" s="264"/>
      <c r="H24" s="203">
        <v>4</v>
      </c>
      <c r="I24" s="204">
        <v>835</v>
      </c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395.24175602392648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34</v>
      </c>
      <c r="C25" s="292">
        <v>15</v>
      </c>
      <c r="D25" s="194">
        <f t="shared" si="2"/>
        <v>510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7">
        <f ca="1">T23-T24</f>
        <v>-13483.366181195388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41</v>
      </c>
      <c r="C26" s="292">
        <v>17</v>
      </c>
      <c r="D26" s="194">
        <f t="shared" si="2"/>
        <v>697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41</v>
      </c>
      <c r="C27" s="292">
        <v>17</v>
      </c>
      <c r="D27" s="194">
        <f t="shared" si="2"/>
        <v>697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53</v>
      </c>
      <c r="C28" s="292">
        <v>17</v>
      </c>
      <c r="D28" s="194">
        <f t="shared" si="2"/>
        <v>901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53</v>
      </c>
      <c r="C29" s="292">
        <v>20</v>
      </c>
      <c r="D29" s="194">
        <f t="shared" si="2"/>
        <v>1060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58</v>
      </c>
      <c r="B30" s="193">
        <f>'Données projet'!D43</f>
        <v>78</v>
      </c>
      <c r="C30" s="292">
        <v>25</v>
      </c>
      <c r="D30" s="194">
        <f t="shared" si="2"/>
        <v>1950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66</v>
      </c>
      <c r="B31" s="193">
        <f>'Données projet'!D44</f>
        <v>65</v>
      </c>
      <c r="C31" s="292">
        <v>30</v>
      </c>
      <c r="D31" s="194">
        <f t="shared" si="2"/>
        <v>1950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74</v>
      </c>
      <c r="B32" s="193">
        <f>'Données projet'!D45</f>
        <v>37</v>
      </c>
      <c r="C32" s="292">
        <v>35</v>
      </c>
      <c r="D32" s="194">
        <f t="shared" si="2"/>
        <v>1295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82</v>
      </c>
      <c r="B33" s="193">
        <f>'Données projet'!D46</f>
        <v>555</v>
      </c>
      <c r="C33" s="292">
        <v>60</v>
      </c>
      <c r="D33" s="194">
        <f t="shared" si="2"/>
        <v>33300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Douglas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19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54</v>
      </c>
      <c r="C55" s="292">
        <v>15</v>
      </c>
      <c r="D55" s="191">
        <f t="shared" ref="D55:D73" si="4">B55*C55</f>
        <v>810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54</v>
      </c>
      <c r="C56" s="292">
        <v>20</v>
      </c>
      <c r="D56" s="191">
        <f t="shared" si="4"/>
        <v>1080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69</v>
      </c>
      <c r="C57" s="292">
        <v>28</v>
      </c>
      <c r="D57" s="191">
        <f t="shared" si="4"/>
        <v>1932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72</v>
      </c>
      <c r="C58" s="292">
        <v>28</v>
      </c>
      <c r="D58" s="191">
        <f t="shared" si="4"/>
        <v>2016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66</v>
      </c>
      <c r="C59" s="292">
        <v>35</v>
      </c>
      <c r="D59" s="191">
        <f t="shared" si="4"/>
        <v>2310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48</v>
      </c>
      <c r="C60" s="292">
        <v>40</v>
      </c>
      <c r="D60" s="191">
        <f t="shared" si="4"/>
        <v>1920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35</v>
      </c>
      <c r="C61" s="292">
        <v>50</v>
      </c>
      <c r="D61" s="191">
        <f t="shared" si="4"/>
        <v>1750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666</v>
      </c>
      <c r="C62" s="292">
        <v>80</v>
      </c>
      <c r="D62" s="191">
        <f t="shared" si="4"/>
        <v>53280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Cèdre de l'Atlas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40</v>
      </c>
      <c r="B87" s="193">
        <f>'Données projet'!D90</f>
        <v>88</v>
      </c>
      <c r="C87" s="204">
        <v>15</v>
      </c>
      <c r="D87" s="191">
        <f t="shared" si="6"/>
        <v>1320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50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60</v>
      </c>
      <c r="B89" s="193">
        <f>'Données projet'!D92</f>
        <v>102</v>
      </c>
      <c r="C89" s="204">
        <v>18</v>
      </c>
      <c r="D89" s="191">
        <f t="shared" si="6"/>
        <v>1836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70</v>
      </c>
      <c r="B90" s="193">
        <f>'Données projet'!D93</f>
        <v>113</v>
      </c>
      <c r="C90" s="204">
        <v>20</v>
      </c>
      <c r="D90" s="191">
        <f t="shared" si="6"/>
        <v>2260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80</v>
      </c>
      <c r="B91" s="193">
        <f>'Données projet'!D94</f>
        <v>124</v>
      </c>
      <c r="C91" s="204">
        <v>25</v>
      </c>
      <c r="D91" s="191">
        <f t="shared" si="6"/>
        <v>3100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90</v>
      </c>
      <c r="B92" s="193">
        <f>'Données projet'!D95</f>
        <v>135</v>
      </c>
      <c r="C92" s="204">
        <v>30</v>
      </c>
      <c r="D92" s="191">
        <f t="shared" si="6"/>
        <v>4050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100</v>
      </c>
      <c r="B93" s="193">
        <f>'Données projet'!D96</f>
        <v>723</v>
      </c>
      <c r="C93" s="204">
        <v>50</v>
      </c>
      <c r="D93" s="191">
        <f t="shared" si="6"/>
        <v>36150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2024-03-19T15:16:17Z</dcterms:modified>
</cp:coreProperties>
</file>