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Déposé\TURSOT\"/>
    </mc:Choice>
  </mc:AlternateContent>
  <xr:revisionPtr revIDLastSave="0" documentId="13_ncr:1_{E0A91DB4-2050-46E9-9598-D70DE0796228}" xr6:coauthVersionLast="47" xr6:coauthVersionMax="47" xr10:uidLastSave="{00000000-0000-0000-0000-000000000000}"/>
  <bookViews>
    <workbookView xWindow="12180" yWindow="690" windowWidth="13830" windowHeight="122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1" l="1"/>
  <c r="B68" i="1"/>
  <c r="B67" i="1"/>
  <c r="B66" i="1"/>
  <c r="B65" i="1"/>
  <c r="B64" i="1"/>
  <c r="B63" i="1"/>
  <c r="B62" i="1"/>
  <c r="D154" i="1"/>
  <c r="B154" i="1"/>
  <c r="D153" i="1"/>
  <c r="B153" i="1"/>
  <c r="D152" i="1"/>
  <c r="B152" i="1"/>
  <c r="D151" i="1"/>
  <c r="B151" i="1"/>
  <c r="D150" i="1"/>
  <c r="B150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40" i="1"/>
  <c r="B121" i="1"/>
  <c r="D121" i="1" s="1"/>
  <c r="D120" i="1"/>
  <c r="D119" i="1"/>
  <c r="D118" i="1"/>
  <c r="D117" i="1"/>
  <c r="D116" i="1"/>
  <c r="D115" i="1"/>
  <c r="B95" i="1"/>
  <c r="D95" i="1" s="1"/>
  <c r="D94" i="1"/>
  <c r="D93" i="1"/>
  <c r="D92" i="1"/>
  <c r="D91" i="1"/>
  <c r="D90" i="1"/>
  <c r="D89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<sst xmlns="http://schemas.openxmlformats.org/spreadsheetml/2006/main" count="1174" uniqueCount="324">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</sst>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1.589075817021925</c:v>
                </c:pt>
                <c:pt idx="2">
                  <c:v>2.1177218881807898</c:v>
                </c:pt>
                <c:pt idx="3">
                  <c:v>2.8229769139957166</c:v>
                </c:pt>
                <c:pt idx="4">
                  <c:v>3.764075941189065</c:v>
                </c:pt>
                <c:pt idx="5">
                  <c:v>5.0201950571268048</c:v>
                </c:pt>
                <c:pt idx="6">
                  <c:v>6.697187380336338</c:v>
                </c:pt>
                <c:pt idx="7">
                  <c:v>8.9366016024544734</c:v>
                </c:pt>
                <c:pt idx="8">
                  <c:v>11.927758770734494</c:v>
                </c:pt>
                <c:pt idx="9">
                  <c:v>15.923927295270808</c:v>
                </c:pt>
                <c:pt idx="10">
                  <c:v>21.263990724339845</c:v>
                </c:pt>
                <c:pt idx="11">
                  <c:v>28.401478548034731</c:v>
                </c:pt>
                <c:pt idx="12">
                  <c:v>37.943468651538424</c:v>
                </c:pt>
                <c:pt idx="13">
                  <c:v>50.702726764067357</c:v>
                </c:pt>
                <c:pt idx="14">
                  <c:v>67.767598179668553</c:v>
                </c:pt>
                <c:pt idx="15">
                  <c:v>90.595710699910569</c:v>
                </c:pt>
                <c:pt idx="16">
                  <c:v>121.13962023697384</c:v>
                </c:pt>
                <c:pt idx="17">
                  <c:v>162.01531330145809</c:v>
                </c:pt>
                <c:pt idx="18">
                  <c:v>184.85649429260721</c:v>
                </c:pt>
                <c:pt idx="19">
                  <c:v>136.78220186531365</c:v>
                </c:pt>
                <c:pt idx="20">
                  <c:v>157.24907206023175</c:v>
                </c:pt>
                <c:pt idx="21">
                  <c:v>177.65266640034693</c:v>
                </c:pt>
                <c:pt idx="22">
                  <c:v>198.00128049329251</c:v>
                </c:pt>
                <c:pt idx="23">
                  <c:v>218.30136166559748</c:v>
                </c:pt>
                <c:pt idx="24">
                  <c:v>238.55805836411864</c:v>
                </c:pt>
                <c:pt idx="25">
                  <c:v>219.11172719932006</c:v>
                </c:pt>
                <c:pt idx="26">
                  <c:v>241.49127183642611</c:v>
                </c:pt>
                <c:pt idx="27">
                  <c:v>263.8236243007521</c:v>
                </c:pt>
                <c:pt idx="28">
                  <c:v>286.11333992306658</c:v>
                </c:pt>
                <c:pt idx="29">
                  <c:v>308.36420602790474</c:v>
                </c:pt>
                <c:pt idx="30">
                  <c:v>330.57941867893356</c:v>
                </c:pt>
                <c:pt idx="31">
                  <c:v>288.91457054112851</c:v>
                </c:pt>
                <c:pt idx="32">
                  <c:v>311.21571355811238</c:v>
                </c:pt>
                <c:pt idx="33">
                  <c:v>333.48140247404876</c:v>
                </c:pt>
                <c:pt idx="34">
                  <c:v>355.71433594859559</c:v>
                </c:pt>
                <c:pt idx="35">
                  <c:v>377.9168478532535</c:v>
                </c:pt>
                <c:pt idx="36">
                  <c:v>400.0909755595892</c:v>
                </c:pt>
                <c:pt idx="37">
                  <c:v>354.63517111761621</c:v>
                </c:pt>
                <c:pt idx="38">
                  <c:v>376.3878592553163</c:v>
                </c:pt>
                <c:pt idx="39">
                  <c:v>398.11317998225491</c:v>
                </c:pt>
                <c:pt idx="40">
                  <c:v>419.81283576811137</c:v>
                </c:pt>
                <c:pt idx="41">
                  <c:v>441.48833882435679</c:v>
                </c:pt>
                <c:pt idx="42">
                  <c:v>463.14104085423895</c:v>
                </c:pt>
                <c:pt idx="43">
                  <c:v>413.10964629719615</c:v>
                </c:pt>
                <c:pt idx="44">
                  <c:v>434.02534359103475</c:v>
                </c:pt>
                <c:pt idx="45">
                  <c:v>454.91940846341032</c:v>
                </c:pt>
                <c:pt idx="46">
                  <c:v>475.79297352294549</c:v>
                </c:pt>
                <c:pt idx="47">
                  <c:v>496.64706396326102</c:v>
                </c:pt>
                <c:pt idx="48">
                  <c:v>517.48261192424911</c:v>
                </c:pt>
                <c:pt idx="49">
                  <c:v>458.83380275947258</c:v>
                </c:pt>
                <c:pt idx="50">
                  <c:v>478.62524609949668</c:v>
                </c:pt>
                <c:pt idx="51">
                  <c:v>498.3992954163196</c:v>
                </c:pt>
                <c:pt idx="52">
                  <c:v>518.15673743839</c:v>
                </c:pt>
                <c:pt idx="53">
                  <c:v>537.89829404818124</c:v>
                </c:pt>
                <c:pt idx="54">
                  <c:v>557.62462985923003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50.012073725257359</c:v>
                </c:pt>
                <c:pt idx="12">
                  <c:v>77.08120966239666</c:v>
                </c:pt>
                <c:pt idx="13">
                  <c:v>103.90440983308274</c:v>
                </c:pt>
                <c:pt idx="14">
                  <c:v>130.55517654420012</c:v>
                </c:pt>
                <c:pt idx="15">
                  <c:v>157.07393134451593</c:v>
                </c:pt>
                <c:pt idx="16">
                  <c:v>183.48617958317871</c:v>
                </c:pt>
                <c:pt idx="17">
                  <c:v>209.80943579279696</c:v>
                </c:pt>
                <c:pt idx="18">
                  <c:v>236.05644310479684</c:v>
                </c:pt>
                <c:pt idx="19">
                  <c:v>262.23687244847355</c:v>
                </c:pt>
                <c:pt idx="20">
                  <c:v>288.35830325418613</c:v>
                </c:pt>
                <c:pt idx="21">
                  <c:v>172.79475770327392</c:v>
                </c:pt>
                <c:pt idx="22">
                  <c:v>201.38794810744199</c:v>
                </c:pt>
                <c:pt idx="23">
                  <c:v>229.88698491526694</c:v>
                </c:pt>
                <c:pt idx="24">
                  <c:v>258.30518668908661</c:v>
                </c:pt>
                <c:pt idx="25">
                  <c:v>286.65269579557503</c:v>
                </c:pt>
                <c:pt idx="26">
                  <c:v>314.93748241651093</c:v>
                </c:pt>
                <c:pt idx="27">
                  <c:v>343.16596745045558</c:v>
                </c:pt>
                <c:pt idx="28">
                  <c:v>371.34342911371255</c:v>
                </c:pt>
                <c:pt idx="29">
                  <c:v>399.47427941517589</c:v>
                </c:pt>
                <c:pt idx="30">
                  <c:v>427.56225857158444</c:v>
                </c:pt>
                <c:pt idx="31">
                  <c:v>309.14898880791981</c:v>
                </c:pt>
                <c:pt idx="32">
                  <c:v>333.30905135288299</c:v>
                </c:pt>
                <c:pt idx="33">
                  <c:v>357.43052450627101</c:v>
                </c:pt>
                <c:pt idx="34">
                  <c:v>381.51637667477098</c:v>
                </c:pt>
                <c:pt idx="35">
                  <c:v>405.56917103469459</c:v>
                </c:pt>
                <c:pt idx="36">
                  <c:v>429.591142098538</c:v>
                </c:pt>
                <c:pt idx="37">
                  <c:v>453.58425425555083</c:v>
                </c:pt>
                <c:pt idx="38">
                  <c:v>477.55024727803635</c:v>
                </c:pt>
                <c:pt idx="39">
                  <c:v>501.49067221683981</c:v>
                </c:pt>
                <c:pt idx="40">
                  <c:v>525.40692008667054</c:v>
                </c:pt>
                <c:pt idx="41">
                  <c:v>404.89205924312722</c:v>
                </c:pt>
                <c:pt idx="42">
                  <c:v>422.8273897461234</c:v>
                </c:pt>
                <c:pt idx="43">
                  <c:v>440.74634931773704</c:v>
                </c:pt>
                <c:pt idx="44">
                  <c:v>458.64969689218077</c:v>
                </c:pt>
                <c:pt idx="45">
                  <c:v>476.53812734890556</c:v>
                </c:pt>
                <c:pt idx="46">
                  <c:v>494.41227916982399</c:v>
                </c:pt>
                <c:pt idx="47">
                  <c:v>512.27274093187054</c:v>
                </c:pt>
                <c:pt idx="48">
                  <c:v>530.12005684727092</c:v>
                </c:pt>
                <c:pt idx="49">
                  <c:v>547.95473151918964</c:v>
                </c:pt>
                <c:pt idx="50">
                  <c:v>565.77723404629717</c:v>
                </c:pt>
                <c:pt idx="51">
                  <c:v>499.97405284862151</c:v>
                </c:pt>
                <c:pt idx="52">
                  <c:v>513.28331243589093</c:v>
                </c:pt>
                <c:pt idx="53">
                  <c:v>526.5852874427726</c:v>
                </c:pt>
                <c:pt idx="54">
                  <c:v>539.88018776365902</c:v>
                </c:pt>
                <c:pt idx="55">
                  <c:v>553.16821211526496</c:v>
                </c:pt>
                <c:pt idx="56">
                  <c:v>566.44954889170663</c:v>
                </c:pt>
                <c:pt idx="57">
                  <c:v>579.72437693524057</c:v>
                </c:pt>
                <c:pt idx="58">
                  <c:v>592.99286623276146</c:v>
                </c:pt>
                <c:pt idx="59">
                  <c:v>606.25517854674536</c:v>
                </c:pt>
                <c:pt idx="60">
                  <c:v>619.51146798813386</c:v>
                </c:pt>
                <c:pt idx="61">
                  <c:v>570.14698291036473</c:v>
                </c:pt>
                <c:pt idx="62">
                  <c:v>579.55638109772792</c:v>
                </c:pt>
                <c:pt idx="63">
                  <c:v>588.96259328593146</c:v>
                </c:pt>
                <c:pt idx="64">
                  <c:v>598.36567752986139</c:v>
                </c:pt>
                <c:pt idx="65">
                  <c:v>607.76568991108991</c:v>
                </c:pt>
                <c:pt idx="66">
                  <c:v>617.16268463508527</c:v>
                </c:pt>
                <c:pt idx="67">
                  <c:v>626.55671412219226</c:v>
                </c:pt>
                <c:pt idx="68">
                  <c:v>635.94782909287676</c:v>
                </c:pt>
                <c:pt idx="69">
                  <c:v>645.3360786476718</c:v>
                </c:pt>
                <c:pt idx="70">
                  <c:v>654.72151034223259</c:v>
                </c:pt>
                <c:pt idx="71">
                  <c:v>610.11521941995238</c:v>
                </c:pt>
                <c:pt idx="72">
                  <c:v>617.49823644137302</c:v>
                </c:pt>
                <c:pt idx="73">
                  <c:v>624.8794240523298</c:v>
                </c:pt>
                <c:pt idx="74">
                  <c:v>632.25880691092414</c:v>
                </c:pt>
                <c:pt idx="75">
                  <c:v>639.63640905269369</c:v>
                </c:pt>
                <c:pt idx="76">
                  <c:v>647.01225391348623</c:v>
                </c:pt>
                <c:pt idx="77">
                  <c:v>654.38636435123374</c:v>
                </c:pt>
                <c:pt idx="78">
                  <c:v>661.75876266669763</c:v>
                </c:pt>
                <c:pt idx="79">
                  <c:v>669.12947062323872</c:v>
                </c:pt>
                <c:pt idx="80">
                  <c:v>676.49850946567256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50.012073725257359</c:v>
                </c:pt>
                <c:pt idx="12">
                  <c:v>77.08120966239666</c:v>
                </c:pt>
                <c:pt idx="13">
                  <c:v>103.90440983308274</c:v>
                </c:pt>
                <c:pt idx="14">
                  <c:v>130.55517654420012</c:v>
                </c:pt>
                <c:pt idx="15">
                  <c:v>157.07393134451593</c:v>
                </c:pt>
                <c:pt idx="16">
                  <c:v>183.48617958317871</c:v>
                </c:pt>
                <c:pt idx="17">
                  <c:v>209.80943579279696</c:v>
                </c:pt>
                <c:pt idx="18">
                  <c:v>236.05644310479684</c:v>
                </c:pt>
                <c:pt idx="19">
                  <c:v>262.23687244847355</c:v>
                </c:pt>
                <c:pt idx="20">
                  <c:v>288.35830325418613</c:v>
                </c:pt>
                <c:pt idx="21">
                  <c:v>172.79475770327392</c:v>
                </c:pt>
                <c:pt idx="22">
                  <c:v>201.38794810744199</c:v>
                </c:pt>
                <c:pt idx="23">
                  <c:v>229.88698491526694</c:v>
                </c:pt>
                <c:pt idx="24">
                  <c:v>258.30518668908661</c:v>
                </c:pt>
                <c:pt idx="25">
                  <c:v>286.65269579557503</c:v>
                </c:pt>
                <c:pt idx="26">
                  <c:v>314.93748241651093</c:v>
                </c:pt>
                <c:pt idx="27">
                  <c:v>343.16596745045558</c:v>
                </c:pt>
                <c:pt idx="28">
                  <c:v>371.34342911371255</c:v>
                </c:pt>
                <c:pt idx="29">
                  <c:v>399.47427941517589</c:v>
                </c:pt>
                <c:pt idx="30">
                  <c:v>427.56225857158444</c:v>
                </c:pt>
                <c:pt idx="31">
                  <c:v>309.14898880791981</c:v>
                </c:pt>
                <c:pt idx="32">
                  <c:v>333.30905135288299</c:v>
                </c:pt>
                <c:pt idx="33">
                  <c:v>357.43052450627101</c:v>
                </c:pt>
                <c:pt idx="34">
                  <c:v>381.51637667477098</c:v>
                </c:pt>
                <c:pt idx="35">
                  <c:v>405.56917103469459</c:v>
                </c:pt>
                <c:pt idx="36">
                  <c:v>429.591142098538</c:v>
                </c:pt>
                <c:pt idx="37">
                  <c:v>453.58425425555083</c:v>
                </c:pt>
                <c:pt idx="38">
                  <c:v>477.55024727803635</c:v>
                </c:pt>
                <c:pt idx="39">
                  <c:v>501.49067221683981</c:v>
                </c:pt>
                <c:pt idx="40">
                  <c:v>525.40692008667054</c:v>
                </c:pt>
                <c:pt idx="41">
                  <c:v>404.89205924312722</c:v>
                </c:pt>
                <c:pt idx="42">
                  <c:v>422.8273897461234</c:v>
                </c:pt>
                <c:pt idx="43">
                  <c:v>440.74634931773704</c:v>
                </c:pt>
                <c:pt idx="44">
                  <c:v>458.64969689218077</c:v>
                </c:pt>
                <c:pt idx="45">
                  <c:v>476.53812734890556</c:v>
                </c:pt>
                <c:pt idx="46">
                  <c:v>494.41227916982399</c:v>
                </c:pt>
                <c:pt idx="47">
                  <c:v>512.27274093187054</c:v>
                </c:pt>
                <c:pt idx="48">
                  <c:v>530.12005684727092</c:v>
                </c:pt>
                <c:pt idx="49">
                  <c:v>547.95473151918964</c:v>
                </c:pt>
                <c:pt idx="50">
                  <c:v>565.77723404629717</c:v>
                </c:pt>
                <c:pt idx="51">
                  <c:v>499.97405284862151</c:v>
                </c:pt>
                <c:pt idx="52">
                  <c:v>513.28331243589093</c:v>
                </c:pt>
                <c:pt idx="53">
                  <c:v>526.5852874427726</c:v>
                </c:pt>
                <c:pt idx="54">
                  <c:v>539.88018776365902</c:v>
                </c:pt>
                <c:pt idx="55">
                  <c:v>553.16821211526496</c:v>
                </c:pt>
                <c:pt idx="56">
                  <c:v>566.44954889170663</c:v>
                </c:pt>
                <c:pt idx="57">
                  <c:v>579.72437693524057</c:v>
                </c:pt>
                <c:pt idx="58">
                  <c:v>592.99286623276146</c:v>
                </c:pt>
                <c:pt idx="59">
                  <c:v>606.25517854674536</c:v>
                </c:pt>
                <c:pt idx="60">
                  <c:v>619.51146798813386</c:v>
                </c:pt>
                <c:pt idx="61">
                  <c:v>570.14698291036473</c:v>
                </c:pt>
                <c:pt idx="62">
                  <c:v>579.55638109772792</c:v>
                </c:pt>
                <c:pt idx="63">
                  <c:v>588.96259328593146</c:v>
                </c:pt>
                <c:pt idx="64">
                  <c:v>598.36567752986139</c:v>
                </c:pt>
                <c:pt idx="65">
                  <c:v>607.76568991108991</c:v>
                </c:pt>
                <c:pt idx="66">
                  <c:v>617.16268463508527</c:v>
                </c:pt>
                <c:pt idx="67">
                  <c:v>626.55671412219226</c:v>
                </c:pt>
                <c:pt idx="68">
                  <c:v>635.94782909287676</c:v>
                </c:pt>
                <c:pt idx="69">
                  <c:v>645.3360786476718</c:v>
                </c:pt>
                <c:pt idx="70">
                  <c:v>654.72151034223259</c:v>
                </c:pt>
                <c:pt idx="71">
                  <c:v>610.11521941995238</c:v>
                </c:pt>
                <c:pt idx="72">
                  <c:v>617.49823644137302</c:v>
                </c:pt>
                <c:pt idx="73">
                  <c:v>624.8794240523298</c:v>
                </c:pt>
                <c:pt idx="74">
                  <c:v>632.25880691092414</c:v>
                </c:pt>
                <c:pt idx="75">
                  <c:v>639.63640905269369</c:v>
                </c:pt>
                <c:pt idx="76">
                  <c:v>647.01225391348623</c:v>
                </c:pt>
                <c:pt idx="77">
                  <c:v>654.38636435123374</c:v>
                </c:pt>
                <c:pt idx="78">
                  <c:v>661.75876266669763</c:v>
                </c:pt>
                <c:pt idx="79">
                  <c:v>669.12947062323872</c:v>
                </c:pt>
                <c:pt idx="80">
                  <c:v>676.49850946567256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258.94814067849393</c:v>
                </c:pt>
                <c:pt idx="32">
                  <c:v>274.60158300734776</c:v>
                </c:pt>
                <c:pt idx="33">
                  <c:v>290.23498252743809</c:v>
                </c:pt>
                <c:pt idx="34">
                  <c:v>305.84957082840884</c:v>
                </c:pt>
                <c:pt idx="35">
                  <c:v>321.44644345960904</c:v>
                </c:pt>
                <c:pt idx="36">
                  <c:v>221.82117142251073</c:v>
                </c:pt>
                <c:pt idx="37">
                  <c:v>239.97776963491199</c:v>
                </c:pt>
                <c:pt idx="38">
                  <c:v>258.10309568549462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312.31478349482393</c:v>
                </c:pt>
                <c:pt idx="42">
                  <c:v>255.72039353124964</c:v>
                </c:pt>
                <c:pt idx="43">
                  <c:v>273.88106684535086</c:v>
                </c:pt>
                <c:pt idx="44">
                  <c:v>292.01468408800241</c:v>
                </c:pt>
                <c:pt idx="45">
                  <c:v>310.12316145287963</c:v>
                </c:pt>
                <c:pt idx="46">
                  <c:v>328.20817307415138</c:v>
                </c:pt>
                <c:pt idx="47">
                  <c:v>346.27119353720633</c:v>
                </c:pt>
                <c:pt idx="48">
                  <c:v>364.31353104988244</c:v>
                </c:pt>
                <c:pt idx="49">
                  <c:v>288.58007809052577</c:v>
                </c:pt>
                <c:pt idx="50">
                  <c:v>305.77968125048278</c:v>
                </c:pt>
                <c:pt idx="51">
                  <c:v>322.95778432037196</c:v>
                </c:pt>
                <c:pt idx="52">
                  <c:v>340.11569160143591</c:v>
                </c:pt>
                <c:pt idx="53">
                  <c:v>357.25456506572556</c:v>
                </c:pt>
                <c:pt idx="54">
                  <c:v>374.37544611289837</c:v>
                </c:pt>
                <c:pt idx="55">
                  <c:v>391.47927313799431</c:v>
                </c:pt>
                <c:pt idx="56">
                  <c:v>320.48361258921801</c:v>
                </c:pt>
                <c:pt idx="57">
                  <c:v>336.67903038787364</c:v>
                </c:pt>
                <c:pt idx="58">
                  <c:v>352.85729940854344</c:v>
                </c:pt>
                <c:pt idx="59">
                  <c:v>369.01931645885975</c:v>
                </c:pt>
                <c:pt idx="60">
                  <c:v>385.16589338963871</c:v>
                </c:pt>
                <c:pt idx="61">
                  <c:v>401.29776844134739</c:v>
                </c:pt>
                <c:pt idx="62">
                  <c:v>417.41561567067311</c:v>
                </c:pt>
                <c:pt idx="63">
                  <c:v>433.52005284512489</c:v>
                </c:pt>
                <c:pt idx="64">
                  <c:v>368.77354749803999</c:v>
                </c:pt>
                <c:pt idx="65">
                  <c:v>384.39219996126917</c:v>
                </c:pt>
                <c:pt idx="66">
                  <c:v>399.99706566096523</c:v>
                </c:pt>
                <c:pt idx="67">
                  <c:v>415.58875807076885</c:v>
                </c:pt>
                <c:pt idx="68">
                  <c:v>431.16784088676042</c:v>
                </c:pt>
                <c:pt idx="69">
                  <c:v>446.73483375648271</c:v>
                </c:pt>
                <c:pt idx="70">
                  <c:v>462.29021716786838</c:v>
                </c:pt>
                <c:pt idx="71">
                  <c:v>477.83443664595023</c:v>
                </c:pt>
                <c:pt idx="72">
                  <c:v>416.18008617131954</c:v>
                </c:pt>
                <c:pt idx="73">
                  <c:v>431.26352307198675</c:v>
                </c:pt>
                <c:pt idx="74">
                  <c:v>446.33562973688754</c:v>
                </c:pt>
                <c:pt idx="75">
                  <c:v>461.3968425581499</c:v>
                </c:pt>
                <c:pt idx="76">
                  <c:v>476.44756712169919</c:v>
                </c:pt>
                <c:pt idx="77">
                  <c:v>491.48818130664989</c:v>
                </c:pt>
                <c:pt idx="78">
                  <c:v>506.51903798562699</c:v>
                </c:pt>
                <c:pt idx="79">
                  <c:v>521.54046738795955</c:v>
                </c:pt>
                <c:pt idx="80">
                  <c:v>536.55277917652279</c:v>
                </c:pt>
                <c:pt idx="81">
                  <c:v>463.50656260260411</c:v>
                </c:pt>
                <c:pt idx="82">
                  <c:v>477.88908984737236</c:v>
                </c:pt>
                <c:pt idx="83">
                  <c:v>492.26241502045281</c:v>
                </c:pt>
                <c:pt idx="84">
                  <c:v>506.62684458100836</c:v>
                </c:pt>
                <c:pt idx="85">
                  <c:v>520.98266619811454</c:v>
                </c:pt>
                <c:pt idx="86">
                  <c:v>535.33015039964948</c:v>
                </c:pt>
                <c:pt idx="87">
                  <c:v>549.66955203526913</c:v>
                </c:pt>
                <c:pt idx="88">
                  <c:v>564.00111157883271</c:v>
                </c:pt>
                <c:pt idx="89">
                  <c:v>578.32505629161221</c:v>
                </c:pt>
                <c:pt idx="90">
                  <c:v>497.54781834683246</c:v>
                </c:pt>
                <c:pt idx="91">
                  <c:v>511.3021834460132</c:v>
                </c:pt>
                <c:pt idx="92">
                  <c:v>525.0487354862172</c:v>
                </c:pt>
                <c:pt idx="93">
                  <c:v>538.78770778433466</c:v>
                </c:pt>
                <c:pt idx="94">
                  <c:v>552.51932079162111</c:v>
                </c:pt>
                <c:pt idx="95">
                  <c:v>566.2437831119247</c:v>
                </c:pt>
                <c:pt idx="96">
                  <c:v>579.96129241609663</c:v>
                </c:pt>
                <c:pt idx="97">
                  <c:v>593.67203626542425</c:v>
                </c:pt>
                <c:pt idx="98">
                  <c:v>607.37619285506821</c:v>
                </c:pt>
                <c:pt idx="99">
                  <c:v>621.07393168694807</c:v>
                </c:pt>
                <c:pt idx="100">
                  <c:v>542.69775145946699</c:v>
                </c:pt>
                <c:pt idx="101">
                  <c:v>556.07428889692221</c:v>
                </c:pt>
                <c:pt idx="102">
                  <c:v>569.44408833111663</c:v>
                </c:pt>
                <c:pt idx="103">
                  <c:v>582.80733019679406</c:v>
                </c:pt>
                <c:pt idx="104">
                  <c:v>596.16418598267194</c:v>
                </c:pt>
                <c:pt idx="105">
                  <c:v>609.51481886966769</c:v>
                </c:pt>
                <c:pt idx="106">
                  <c:v>622.85938431032332</c:v>
                </c:pt>
                <c:pt idx="107">
                  <c:v>636.19803055601562</c:v>
                </c:pt>
                <c:pt idx="108">
                  <c:v>649.53089913767428</c:v>
                </c:pt>
                <c:pt idx="109">
                  <c:v>662.85812530500016</c:v>
                </c:pt>
                <c:pt idx="110">
                  <c:v>578.06785471008243</c:v>
                </c:pt>
                <c:pt idx="111">
                  <c:v>591.14539111471265</c:v>
                </c:pt>
                <c:pt idx="112">
                  <c:v>604.21690639023745</c:v>
                </c:pt>
                <c:pt idx="113">
                  <c:v>617.28254910051817</c:v>
                </c:pt>
                <c:pt idx="114">
                  <c:v>630.34246101011342</c:v>
                </c:pt>
                <c:pt idx="115">
                  <c:v>643.39677753283024</c:v>
                </c:pt>
                <c:pt idx="116">
                  <c:v>656.44562814199264</c:v>
                </c:pt>
                <c:pt idx="117">
                  <c:v>669.48913674641392</c:v>
                </c:pt>
                <c:pt idx="118">
                  <c:v>682.5274220355592</c:v>
                </c:pt>
                <c:pt idx="119">
                  <c:v>695.56059779698035</c:v>
                </c:pt>
                <c:pt idx="120">
                  <c:v>415.93410136559504</c:v>
                </c:pt>
                <c:pt idx="121">
                  <c:v>423.30201611855676</c:v>
                </c:pt>
                <c:pt idx="122">
                  <c:v>430.66717084686138</c:v>
                </c:pt>
                <c:pt idx="123">
                  <c:v>438.02961943852762</c:v>
                </c:pt>
                <c:pt idx="124">
                  <c:v>293.61402449000741</c:v>
                </c:pt>
                <c:pt idx="125">
                  <c:v>298.14022151190977</c:v>
                </c:pt>
                <c:pt idx="126">
                  <c:v>302.66488711697389</c:v>
                </c:pt>
                <c:pt idx="127">
                  <c:v>307.18804746662357</c:v>
                </c:pt>
                <c:pt idx="128">
                  <c:v>213.06200089969022</c:v>
                </c:pt>
                <c:pt idx="129">
                  <c:v>216.00348689034254</c:v>
                </c:pt>
                <c:pt idx="130">
                  <c:v>218.94405119022016</c:v>
                </c:pt>
                <c:pt idx="131">
                  <c:v>221.88370795710989</c:v>
                </c:pt>
                <c:pt idx="132">
                  <c:v>9.8479201135599071E-12</c:v>
                </c:pt>
                <c:pt idx="133">
                  <c:v>9.8479201135599071E-12</c:v>
                </c:pt>
                <c:pt idx="134">
                  <c:v>9.8479201135599071E-12</c:v>
                </c:pt>
                <c:pt idx="135">
                  <c:v>9.8479201135599071E-12</c:v>
                </c:pt>
                <c:pt idx="136">
                  <c:v>9.8479201135599071E-12</c:v>
                </c:pt>
                <c:pt idx="137">
                  <c:v>9.8479201135599071E-12</c:v>
                </c:pt>
                <c:pt idx="138">
                  <c:v>9.8479201135599071E-12</c:v>
                </c:pt>
                <c:pt idx="139">
                  <c:v>9.8479201135599071E-12</c:v>
                </c:pt>
                <c:pt idx="140">
                  <c:v>9.8479201135599071E-12</c:v>
                </c:pt>
                <c:pt idx="141">
                  <c:v>9.8479201135599071E-12</c:v>
                </c:pt>
                <c:pt idx="142">
                  <c:v>9.8479201135599071E-12</c:v>
                </c:pt>
                <c:pt idx="143">
                  <c:v>9.8479201135599071E-12</c:v>
                </c:pt>
                <c:pt idx="144">
                  <c:v>9.8479201135599071E-12</c:v>
                </c:pt>
                <c:pt idx="145">
                  <c:v>9.8479201135599071E-12</c:v>
                </c:pt>
                <c:pt idx="146">
                  <c:v>9.8479201135599071E-12</c:v>
                </c:pt>
                <c:pt idx="147">
                  <c:v>9.8479201135599071E-12</c:v>
                </c:pt>
                <c:pt idx="148">
                  <c:v>9.8479201135599071E-12</c:v>
                </c:pt>
                <c:pt idx="149">
                  <c:v>9.8479201135599071E-12</c:v>
                </c:pt>
                <c:pt idx="150">
                  <c:v>9.8479201135599071E-12</c:v>
                </c:pt>
                <c:pt idx="151">
                  <c:v>9.8479201135599071E-12</c:v>
                </c:pt>
                <c:pt idx="152">
                  <c:v>9.8479201135599071E-12</c:v>
                </c:pt>
                <c:pt idx="153">
                  <c:v>9.8479201135599071E-12</c:v>
                </c:pt>
                <c:pt idx="154">
                  <c:v>9.8479201135599071E-12</c:v>
                </c:pt>
                <c:pt idx="155">
                  <c:v>9.8479201135599071E-12</c:v>
                </c:pt>
                <c:pt idx="156">
                  <c:v>9.8479201135599071E-12</c:v>
                </c:pt>
                <c:pt idx="157">
                  <c:v>9.8479201135599071E-12</c:v>
                </c:pt>
                <c:pt idx="158">
                  <c:v>9.8479201135599071E-12</c:v>
                </c:pt>
                <c:pt idx="159">
                  <c:v>9.8479201135599071E-12</c:v>
                </c:pt>
                <c:pt idx="160">
                  <c:v>9.8479201135599071E-12</c:v>
                </c:pt>
                <c:pt idx="161">
                  <c:v>9.8479201135599071E-12</c:v>
                </c:pt>
                <c:pt idx="162">
                  <c:v>9.8479201135599071E-12</c:v>
                </c:pt>
                <c:pt idx="163">
                  <c:v>9.8479201135599071E-12</c:v>
                </c:pt>
                <c:pt idx="164">
                  <c:v>9.8479201135599071E-12</c:v>
                </c:pt>
                <c:pt idx="165">
                  <c:v>9.8479201135599071E-12</c:v>
                </c:pt>
                <c:pt idx="166">
                  <c:v>9.8479201135599071E-12</c:v>
                </c:pt>
                <c:pt idx="167">
                  <c:v>9.8479201135599071E-12</c:v>
                </c:pt>
                <c:pt idx="168">
                  <c:v>9.8479201135599071E-12</c:v>
                </c:pt>
                <c:pt idx="169">
                  <c:v>9.8479201135599071E-12</c:v>
                </c:pt>
                <c:pt idx="170">
                  <c:v>9.8479201135599071E-12</c:v>
                </c:pt>
                <c:pt idx="171">
                  <c:v>9.8479201135599071E-12</c:v>
                </c:pt>
                <c:pt idx="172">
                  <c:v>9.8479201135599071E-12</c:v>
                </c:pt>
                <c:pt idx="173">
                  <c:v>9.8479201135599071E-12</c:v>
                </c:pt>
                <c:pt idx="174">
                  <c:v>9.8479201135599071E-12</c:v>
                </c:pt>
                <c:pt idx="175">
                  <c:v>9.8479201135599071E-12</c:v>
                </c:pt>
                <c:pt idx="176">
                  <c:v>9.8479201135599071E-12</c:v>
                </c:pt>
                <c:pt idx="177">
                  <c:v>9.8479201135599071E-12</c:v>
                </c:pt>
                <c:pt idx="178">
                  <c:v>9.8479201135599071E-12</c:v>
                </c:pt>
                <c:pt idx="179">
                  <c:v>9.8479201135599071E-12</c:v>
                </c:pt>
                <c:pt idx="180">
                  <c:v>9.8479201135599071E-12</c:v>
                </c:pt>
                <c:pt idx="181">
                  <c:v>9.8479201135599071E-12</c:v>
                </c:pt>
                <c:pt idx="182">
                  <c:v>9.8479201135599071E-12</c:v>
                </c:pt>
                <c:pt idx="183">
                  <c:v>9.8479201135599071E-12</c:v>
                </c:pt>
                <c:pt idx="184">
                  <c:v>9.8479201135599071E-12</c:v>
                </c:pt>
                <c:pt idx="185">
                  <c:v>9.8479201135599071E-12</c:v>
                </c:pt>
                <c:pt idx="186">
                  <c:v>9.8479201135599071E-12</c:v>
                </c:pt>
                <c:pt idx="187">
                  <c:v>9.8479201135599071E-12</c:v>
                </c:pt>
                <c:pt idx="188">
                  <c:v>9.8479201135599071E-12</c:v>
                </c:pt>
                <c:pt idx="189">
                  <c:v>9.8479201135599071E-12</c:v>
                </c:pt>
                <c:pt idx="190">
                  <c:v>9.8479201135599071E-12</c:v>
                </c:pt>
                <c:pt idx="191">
                  <c:v>9.8479201135599071E-12</c:v>
                </c:pt>
                <c:pt idx="192">
                  <c:v>9.8479201135599071E-12</c:v>
                </c:pt>
                <c:pt idx="193">
                  <c:v>9.8479201135599071E-12</c:v>
                </c:pt>
                <c:pt idx="194">
                  <c:v>9.8479201135599071E-12</c:v>
                </c:pt>
                <c:pt idx="195">
                  <c:v>9.8479201135599071E-12</c:v>
                </c:pt>
                <c:pt idx="196">
                  <c:v>9.8479201135599071E-12</c:v>
                </c:pt>
                <c:pt idx="197">
                  <c:v>9.8479201135599071E-12</c:v>
                </c:pt>
                <c:pt idx="198">
                  <c:v>9.8479201135599071E-12</c:v>
                </c:pt>
                <c:pt idx="199">
                  <c:v>9.8479201135599071E-12</c:v>
                </c:pt>
                <c:pt idx="200">
                  <c:v>9.8479201135599071E-12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2" zoomScale="80" zoomScaleNormal="80" workbookViewId="0">
      <selection activeCell="M62" sqref="M6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158</v>
      </c>
      <c r="C9" s="32">
        <v>0.05</v>
      </c>
      <c r="D9" s="33">
        <f t="shared" ref="D9:D18" si="0">C9*$C$5</f>
        <v>0.29350000000000004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0.56999999999999995</v>
      </c>
      <c r="D10" s="33">
        <f t="shared" si="0"/>
        <v>3.3458999999999999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23</v>
      </c>
      <c r="C11" s="32">
        <v>0.08</v>
      </c>
      <c r="D11" s="33">
        <f t="shared" si="0"/>
        <v>0.46960000000000002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22</v>
      </c>
      <c r="C12" s="32">
        <v>0.15</v>
      </c>
      <c r="D12" s="33">
        <f t="shared" si="0"/>
        <v>0.88049999999999995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14</v>
      </c>
      <c r="C13" s="32">
        <v>0.15</v>
      </c>
      <c r="D13" s="33">
        <f t="shared" si="0"/>
        <v>0.88049999999999995</v>
      </c>
      <c r="E13" s="34">
        <v>131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5.8699999999999992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Séquoia géant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f>77+29</f>
        <v>106</v>
      </c>
      <c r="C62" s="60">
        <v>1</v>
      </c>
      <c r="D62" s="60">
        <v>29</v>
      </c>
      <c r="E62" s="51"/>
      <c r="F62" s="51">
        <v>0.5</v>
      </c>
      <c r="G62" s="51">
        <v>0.5</v>
      </c>
      <c r="H62" s="51"/>
      <c r="I62" s="53">
        <f>IFERROR(B62/A62,"")</f>
        <v>5.3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159+71</f>
        <v>230</v>
      </c>
      <c r="C63" s="60">
        <v>2</v>
      </c>
      <c r="D63" s="60">
        <v>71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15.3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246+95</f>
        <v>341</v>
      </c>
      <c r="C64" s="60">
        <v>3</v>
      </c>
      <c r="D64" s="60">
        <v>95</v>
      </c>
      <c r="E64" s="51"/>
      <c r="F64" s="51"/>
      <c r="G64" s="51"/>
      <c r="H64" s="51"/>
      <c r="I64" s="49">
        <f>IF(A64&lt;&gt;0,(B64-(B63-D63))/(A64-A63),"")</f>
        <v>18.2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328+107</f>
        <v>435</v>
      </c>
      <c r="C65" s="60">
        <v>4</v>
      </c>
      <c r="D65" s="60">
        <v>107</v>
      </c>
      <c r="E65" s="51"/>
      <c r="F65" s="51"/>
      <c r="G65" s="51"/>
      <c r="H65" s="51"/>
      <c r="I65" s="49">
        <f>IF(A65&lt;&gt;0,(B65-(B64-D64))/(A65-A64),"")</f>
        <v>18.899999999999999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400+108</f>
        <v>508</v>
      </c>
      <c r="C66" s="60">
        <v>5</v>
      </c>
      <c r="D66" s="60">
        <v>108</v>
      </c>
      <c r="E66" s="51"/>
      <c r="F66" s="51"/>
      <c r="G66" s="51"/>
      <c r="H66" s="51"/>
      <c r="I66" s="49">
        <f t="shared" ref="I66:I81" si="2">IF(A66&lt;&gt;0,(B66-(B65-D65))/(A66-A65),"")</f>
        <v>18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461+103</f>
        <v>564</v>
      </c>
      <c r="C67" s="60">
        <v>6</v>
      </c>
      <c r="D67" s="60">
        <v>103</v>
      </c>
      <c r="E67" s="51"/>
      <c r="F67" s="51"/>
      <c r="G67" s="51"/>
      <c r="H67" s="51"/>
      <c r="I67" s="49">
        <f t="shared" si="2"/>
        <v>16.399999999999999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512+94</f>
        <v>606</v>
      </c>
      <c r="C68" s="60">
        <v>7</v>
      </c>
      <c r="D68" s="60">
        <v>94</v>
      </c>
      <c r="E68" s="51"/>
      <c r="F68" s="51"/>
      <c r="G68" s="51"/>
      <c r="H68" s="51"/>
      <c r="I68" s="49">
        <f t="shared" si="2"/>
        <v>14.5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554+83</f>
        <v>637</v>
      </c>
      <c r="C69" s="50">
        <v>8</v>
      </c>
      <c r="D69" s="50">
        <v>83</v>
      </c>
      <c r="E69" s="51"/>
      <c r="F69" s="51"/>
      <c r="G69" s="51"/>
      <c r="H69" s="51"/>
      <c r="I69" s="49">
        <f t="shared" si="2"/>
        <v>12.5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19</v>
      </c>
      <c r="C88" s="60">
        <v>1</v>
      </c>
      <c r="D88" s="60">
        <v>7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165</v>
      </c>
      <c r="C89" s="60">
        <v>2</v>
      </c>
      <c r="D89" s="60">
        <f>42+42</f>
        <v>84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15.3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247</v>
      </c>
      <c r="C90" s="60">
        <v>3</v>
      </c>
      <c r="D90" s="60">
        <f>42+42</f>
        <v>84</v>
      </c>
      <c r="E90" s="87">
        <v>0.1</v>
      </c>
      <c r="F90" s="87">
        <v>0.45</v>
      </c>
      <c r="G90" s="87">
        <v>0.45</v>
      </c>
      <c r="H90" s="87"/>
      <c r="I90" s="53">
        <f t="shared" si="3"/>
        <v>16.600000000000001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305</v>
      </c>
      <c r="C91" s="60">
        <v>4</v>
      </c>
      <c r="D91" s="60">
        <f>42+40</f>
        <v>82</v>
      </c>
      <c r="E91" s="87"/>
      <c r="F91" s="87"/>
      <c r="G91" s="87"/>
      <c r="H91" s="87"/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329</v>
      </c>
      <c r="C92" s="60">
        <v>5</v>
      </c>
      <c r="D92" s="60">
        <f>26+21</f>
        <v>47</v>
      </c>
      <c r="E92" s="87"/>
      <c r="F92" s="87"/>
      <c r="G92" s="87"/>
      <c r="H92" s="87"/>
      <c r="I92" s="53">
        <f t="shared" si="3"/>
        <v>10.6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361</v>
      </c>
      <c r="C93" s="60">
        <v>6</v>
      </c>
      <c r="D93" s="60">
        <f>18+17</f>
        <v>35</v>
      </c>
      <c r="E93" s="87"/>
      <c r="F93" s="87"/>
      <c r="G93" s="87"/>
      <c r="H93" s="87"/>
      <c r="I93" s="53">
        <f t="shared" si="3"/>
        <v>7.9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382</v>
      </c>
      <c r="C94" s="60">
        <v>7</v>
      </c>
      <c r="D94" s="60">
        <f>16+15</f>
        <v>31</v>
      </c>
      <c r="E94" s="87"/>
      <c r="F94" s="87"/>
      <c r="G94" s="87"/>
      <c r="H94" s="87"/>
      <c r="I94" s="53">
        <f t="shared" si="3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368+14+13</f>
        <v>395</v>
      </c>
      <c r="C95" s="60">
        <v>8</v>
      </c>
      <c r="D95" s="60">
        <f>B95</f>
        <v>395</v>
      </c>
      <c r="E95" s="87"/>
      <c r="F95" s="87"/>
      <c r="G95" s="87"/>
      <c r="H95" s="87"/>
      <c r="I95" s="53">
        <f t="shared" si="3"/>
        <v>4.4000000000000004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plane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19</v>
      </c>
      <c r="C114" s="50">
        <v>1</v>
      </c>
      <c r="D114" s="60">
        <v>7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165</v>
      </c>
      <c r="C115" s="50">
        <v>2</v>
      </c>
      <c r="D115" s="60">
        <f>42+42</f>
        <v>84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15.3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247</v>
      </c>
      <c r="C116" s="50">
        <v>3</v>
      </c>
      <c r="D116" s="60">
        <f>42+42</f>
        <v>84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16.600000000000001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305</v>
      </c>
      <c r="C117" s="50">
        <v>4</v>
      </c>
      <c r="D117" s="60">
        <f>42+40</f>
        <v>82</v>
      </c>
      <c r="E117" s="51"/>
      <c r="F117" s="51"/>
      <c r="G117" s="51"/>
      <c r="H117" s="51"/>
      <c r="I117" s="53">
        <f t="shared" si="4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329</v>
      </c>
      <c r="C118" s="50">
        <v>5</v>
      </c>
      <c r="D118" s="60">
        <f>26+21</f>
        <v>47</v>
      </c>
      <c r="E118" s="51"/>
      <c r="F118" s="51"/>
      <c r="G118" s="51"/>
      <c r="H118" s="51"/>
      <c r="I118" s="53">
        <f t="shared" si="4"/>
        <v>10.6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361</v>
      </c>
      <c r="C119" s="50">
        <v>6</v>
      </c>
      <c r="D119" s="60">
        <f>18+17</f>
        <v>35</v>
      </c>
      <c r="E119" s="51"/>
      <c r="F119" s="51"/>
      <c r="G119" s="51"/>
      <c r="H119" s="51"/>
      <c r="I119" s="53">
        <f t="shared" si="4"/>
        <v>7.9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382</v>
      </c>
      <c r="C120" s="60">
        <v>7</v>
      </c>
      <c r="D120" s="60">
        <f>16+15</f>
        <v>31</v>
      </c>
      <c r="E120" s="87"/>
      <c r="F120" s="87"/>
      <c r="G120" s="87"/>
      <c r="H120" s="87"/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368+14+13</f>
        <v>395</v>
      </c>
      <c r="C121" s="60">
        <v>8</v>
      </c>
      <c r="D121" s="60">
        <f>B121</f>
        <v>395</v>
      </c>
      <c r="E121" s="87"/>
      <c r="F121" s="87"/>
      <c r="G121" s="87"/>
      <c r="H121" s="87"/>
      <c r="I121" s="53">
        <f t="shared" si="4"/>
        <v>4.4000000000000004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30</v>
      </c>
      <c r="B140" s="60">
        <f>190.14/1.56</f>
        <v>121.88461538461537</v>
      </c>
      <c r="C140" s="50"/>
      <c r="D140" s="60"/>
      <c r="E140" s="51"/>
      <c r="F140" s="51"/>
      <c r="G140" s="51"/>
      <c r="H140" s="51"/>
      <c r="I140" s="57">
        <f>IFERROR(B140/A140,"")</f>
        <v>4.0628205128205126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35</v>
      </c>
      <c r="B141" s="60">
        <f>252.98/1.56</f>
        <v>162.16666666666666</v>
      </c>
      <c r="C141" s="50">
        <v>1</v>
      </c>
      <c r="D141" s="60">
        <f>94.54/1.56</f>
        <v>60.602564102564102</v>
      </c>
      <c r="E141" s="51"/>
      <c r="F141" s="51"/>
      <c r="G141" s="51"/>
      <c r="H141" s="51"/>
      <c r="I141" s="57">
        <f t="shared" ref="I141:I159" si="5">IF(A141&lt;&gt;0,(B141-(B140-D140))/(A141-A140),"")</f>
        <v>8.0564102564102562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41</v>
      </c>
      <c r="B142" s="60">
        <f>245.62/1.56</f>
        <v>157.44871794871796</v>
      </c>
      <c r="C142" s="50">
        <v>2</v>
      </c>
      <c r="D142" s="60">
        <f>60.08/1.56</f>
        <v>38.512820512820511</v>
      </c>
      <c r="E142" s="51"/>
      <c r="F142" s="51"/>
      <c r="G142" s="51"/>
      <c r="H142" s="51"/>
      <c r="I142" s="57">
        <f t="shared" si="5"/>
        <v>9.3141025641025674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48</v>
      </c>
      <c r="B143" s="60">
        <f>287.59/1.56</f>
        <v>184.35256410256409</v>
      </c>
      <c r="C143" s="50">
        <v>3</v>
      </c>
      <c r="D143" s="60">
        <f>74.92/1.56</f>
        <v>48.025641025641022</v>
      </c>
      <c r="E143" s="51"/>
      <c r="F143" s="51"/>
      <c r="G143" s="51"/>
      <c r="H143" s="51"/>
      <c r="I143" s="57">
        <f t="shared" si="5"/>
        <v>9.3452380952380913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55</v>
      </c>
      <c r="B144" s="60">
        <f>309.57/1.56</f>
        <v>198.44230769230768</v>
      </c>
      <c r="C144" s="50">
        <v>4</v>
      </c>
      <c r="D144" s="60">
        <f>70.43/1.56</f>
        <v>45.147435897435898</v>
      </c>
      <c r="E144" s="51"/>
      <c r="F144" s="51"/>
      <c r="G144" s="51"/>
      <c r="H144" s="51"/>
      <c r="I144" s="57">
        <f t="shared" si="5"/>
        <v>8.8736263736263741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63</v>
      </c>
      <c r="B145" s="60">
        <f>343.65/1.56</f>
        <v>220.28846153846152</v>
      </c>
      <c r="C145" s="50">
        <v>5</v>
      </c>
      <c r="D145" s="60">
        <f>65.09/1.56</f>
        <v>41.724358974358978</v>
      </c>
      <c r="E145" s="51"/>
      <c r="F145" s="51"/>
      <c r="G145" s="51"/>
      <c r="H145" s="51"/>
      <c r="I145" s="57">
        <f t="shared" si="5"/>
        <v>8.374198717948719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71</v>
      </c>
      <c r="B146" s="60">
        <f>379.65/1.56</f>
        <v>243.36538461538458</v>
      </c>
      <c r="C146" s="50">
        <v>6</v>
      </c>
      <c r="D146" s="60">
        <f>62.3/1.56</f>
        <v>39.935897435897431</v>
      </c>
      <c r="E146" s="51"/>
      <c r="F146" s="51"/>
      <c r="G146" s="51"/>
      <c r="H146" s="51"/>
      <c r="I146" s="57">
        <f t="shared" si="5"/>
        <v>8.1001602564102555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427.46/1.56</f>
        <v>274.0128205128205</v>
      </c>
      <c r="C147" s="50">
        <v>7</v>
      </c>
      <c r="D147" s="60">
        <f>71.15/1.56</f>
        <v>45.608974358974358</v>
      </c>
      <c r="E147" s="51"/>
      <c r="F147" s="51"/>
      <c r="G147" s="51"/>
      <c r="H147" s="51"/>
      <c r="I147" s="57">
        <f>IF(A147&lt;&gt;0,(B147-(B146-D146))/(A147-A146),"")</f>
        <v>7.8425925925925934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89</v>
      </c>
      <c r="B148" s="60">
        <f>461.54/1.56</f>
        <v>295.85897435897436</v>
      </c>
      <c r="C148" s="50">
        <v>8</v>
      </c>
      <c r="D148" s="60">
        <f>77.05/1.56</f>
        <v>49.391025641025635</v>
      </c>
      <c r="E148" s="51"/>
      <c r="F148" s="51"/>
      <c r="G148" s="51"/>
      <c r="H148" s="51"/>
      <c r="I148" s="57">
        <f t="shared" si="5"/>
        <v>7.4950142450142483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99</v>
      </c>
      <c r="B149" s="60">
        <f>496.47/1.56</f>
        <v>318.25</v>
      </c>
      <c r="C149" s="50">
        <v>9</v>
      </c>
      <c r="D149" s="60">
        <f>74.91/1.56</f>
        <v>48.019230769230766</v>
      </c>
      <c r="E149" s="51"/>
      <c r="F149" s="51"/>
      <c r="G149" s="51"/>
      <c r="H149" s="51"/>
      <c r="I149" s="57">
        <f t="shared" si="5"/>
        <v>7.1782051282051267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109</v>
      </c>
      <c r="B150" s="60">
        <f>530.66/1.56</f>
        <v>340.16666666666663</v>
      </c>
      <c r="C150" s="50">
        <v>10</v>
      </c>
      <c r="D150" s="60">
        <f>80.01/1.56</f>
        <v>51.28846153846154</v>
      </c>
      <c r="E150" s="51"/>
      <c r="F150" s="51"/>
      <c r="G150" s="51"/>
      <c r="H150" s="51"/>
      <c r="I150" s="57">
        <f t="shared" si="5"/>
        <v>6.9935897435897401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119</v>
      </c>
      <c r="B151" s="60">
        <f>557.45/1.56</f>
        <v>357.33974358974359</v>
      </c>
      <c r="C151" s="50">
        <v>11</v>
      </c>
      <c r="D151" s="60">
        <f>234.04/1.56</f>
        <v>150.02564102564102</v>
      </c>
      <c r="E151" s="51"/>
      <c r="F151" s="51"/>
      <c r="G151" s="51"/>
      <c r="H151" s="51"/>
      <c r="I151" s="57">
        <f t="shared" si="5"/>
        <v>6.8461538461538511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123</v>
      </c>
      <c r="B152" s="60">
        <f>347.31/1.56</f>
        <v>222.63461538461539</v>
      </c>
      <c r="C152" s="50">
        <v>12</v>
      </c>
      <c r="D152" s="60">
        <f>120.39/1.56</f>
        <v>77.17307692307692</v>
      </c>
      <c r="E152" s="54"/>
      <c r="F152" s="54"/>
      <c r="G152" s="54"/>
      <c r="H152" s="54"/>
      <c r="I152" s="57">
        <f t="shared" si="5"/>
        <v>3.8301282051282044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127</v>
      </c>
      <c r="B153" s="60">
        <f>241.49/1.56</f>
        <v>154.80128205128204</v>
      </c>
      <c r="C153" s="50">
        <v>13</v>
      </c>
      <c r="D153" s="60">
        <f>77.87/1.56</f>
        <v>49.916666666666671</v>
      </c>
      <c r="E153" s="54"/>
      <c r="F153" s="54"/>
      <c r="G153" s="54"/>
      <c r="H153" s="54"/>
      <c r="I153" s="57">
        <f t="shared" si="5"/>
        <v>2.3349358974358978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131</v>
      </c>
      <c r="B154" s="56">
        <f>173.02/1.56</f>
        <v>110.91025641025641</v>
      </c>
      <c r="C154" s="50">
        <v>14</v>
      </c>
      <c r="D154" s="50">
        <f>173.02/1.56</f>
        <v>110.91025641025641</v>
      </c>
      <c r="E154" s="54"/>
      <c r="F154" s="54"/>
      <c r="G154" s="54"/>
      <c r="H154" s="54"/>
      <c r="I154" s="57">
        <f t="shared" si="5"/>
        <v>1.5064102564102591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Séquoia géant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plane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199.01551760562705</v>
      </c>
      <c r="T3" s="59">
        <f>IF('Données projet'!E9&gt;30,$R$33-$H$33,LOOKUP('Données projet'!$E$9,$A$3:$A$203,R3:R203)-LOOKUP('Données projet'!$E$9,$A$3:$A$203,$H$3:$H$203))</f>
        <v>269.50915104901367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316.58509520829671</v>
      </c>
      <c r="AO3" s="59">
        <f>IF('Données projet'!E10&gt;30,$AM$33-$H$33,LOOKUP('Données projet'!$E$10,$A$3:$A$203,AM3:AM203)-LOOKUP('Données projet'!$E$10,$A$3:$A$203,$H$3:$H$203))</f>
        <v>240.71332110643596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314.94704727988847</v>
      </c>
      <c r="BJ3" s="59">
        <f>IF('Données projet'!E11&gt;30,$BH$33-$H$33,LOOKUP('Données projet'!$E$11,$A$3:$A$203,BH3:BH203)-LOOKUP('Données projet'!$E$11,$A$3:$A$203,$H$3:$H$203))</f>
        <v>366.49199094166454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314.94704727988847</v>
      </c>
      <c r="CE3" s="59">
        <f>IF('Données projet'!E12&gt;30,$CC$33-$H$33,LOOKUP('Données projet'!$E$12,$A$3:$A$203,CC3:CC203)-LOOKUP('Données projet'!$E$12,$A$3:$A$203,$H$3:$H$203))</f>
        <v>366.49199094166454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221.7429870520005</v>
      </c>
      <c r="CZ3" s="59">
        <f>IF('Données projet'!E13&gt;30,$CX$33-$H$33,LOOKUP('Données projet'!$E$13,$A$3:$A$203,CX3:CX203)-LOOKUP('Données projet'!$E$13,$A$3:$A$203,$H$3:$H$203))</f>
        <v>182.2029938397186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0.61323219889859581</v>
      </c>
      <c r="P4" s="13">
        <f>EXP(-1.0587+0.8836*LN(O4)+0.284)</f>
        <v>0.2991558300135142</v>
      </c>
      <c r="Q4" s="20">
        <f t="shared" ref="Q4:Q34" si="2">(O4+P4)*0.475*44/12</f>
        <v>1.589075817021925</v>
      </c>
      <c r="R4" s="59">
        <f t="shared" si="0"/>
        <v>294.92240915035524</v>
      </c>
      <c r="S4" s="59">
        <f ca="1">AVERAGE(OFFSET($R$3,0,0,'Données projet'!$E$9+1,1))-AVERAGE(OFFSET($H$3,0,0,'Données projet'!$E$9+1,1))</f>
        <v>199.01551760562705</v>
      </c>
      <c r="T4" s="59">
        <f>$T$3</f>
        <v>269.50915104901367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5.3</v>
      </c>
      <c r="AI4" s="13">
        <f>IF('Données projet'!$A$62&gt;35,AI3+AH4-AQ3,IF(A4&lt;'Données projet'!$A$62,$AF$205^A4,IF(A4='Données projet'!$A$62,'Données projet'!$B$62,AI3+AH4-AQ3)))</f>
        <v>1.2625985704272813</v>
      </c>
      <c r="AJ4" s="13">
        <f>AI4*VLOOKUP('Données projet'!$B$10,Paramètres!$A$1:$I$89,3,0)*VLOOKUP('Données projet'!$B$10,Paramètres!$A$1:$I$89,5,0)</f>
        <v>0.75503394511551425</v>
      </c>
      <c r="AK4" s="13">
        <f>EXP(-1.0587+0.8836*LN(AJ4)+0.284)</f>
        <v>0.35952015653689401</v>
      </c>
      <c r="AL4" s="20">
        <f t="shared" ref="AL4:AL67" si="4">(AJ4+AK4)*0.475*44/12</f>
        <v>1.9411817270446112</v>
      </c>
      <c r="AM4" s="59">
        <f t="shared" ref="AM4:AM67" si="5">AL4+(AD4+AE4)*44/12</f>
        <v>295.27451506037795</v>
      </c>
      <c r="AN4" s="59">
        <f ca="1">AVERAGE(OFFSET($AM$3,0,0,'Données projet'!$E$10+1,1))-AVERAGE(OFFSET($H$3,0,0,'Données projet'!$E$10+1,1))</f>
        <v>316.58509520829671</v>
      </c>
      <c r="AO4" s="59">
        <f>$AO$3</f>
        <v>240.71332110643596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1.0679972503054507</v>
      </c>
      <c r="BF4" s="13">
        <f>EXP(-1.0587+0.8836*LN(BE4)+0.284)</f>
        <v>0.48842359485523285</v>
      </c>
      <c r="BG4" s="20">
        <f t="shared" ref="BG4:BG67" si="7">(BE4+BF4)*0.475*44/12</f>
        <v>2.7107663053215236</v>
      </c>
      <c r="BH4" s="59">
        <f t="shared" ref="BH4:BH67" si="8">BG4+(AY4+AZ4)*44/12</f>
        <v>296.04409963865481</v>
      </c>
      <c r="BI4" s="59">
        <f ca="1">AVERAGE(OFFSET($BH$3,0,0,'Données projet'!$E$11+1,1))-AVERAGE(OFFSET($H$3,0,0,'Données projet'!$E$11+1,1))</f>
        <v>314.94704727988847</v>
      </c>
      <c r="BJ4" s="59">
        <f>$BJ$3</f>
        <v>366.49199094166454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1.0679972503054507</v>
      </c>
      <c r="CA4" s="13">
        <f>EXP(-1.0587+0.8836*LN(BZ4)+0.284)</f>
        <v>0.48842359485523285</v>
      </c>
      <c r="CB4" s="20">
        <f t="shared" ref="CB4:CB67" si="10">(BZ4+CA4)*0.475*44/12</f>
        <v>2.7107663053215236</v>
      </c>
      <c r="CC4" s="59">
        <f t="shared" ref="CC4:CC67" si="11">CB4+(BT4+BU4)*44/12</f>
        <v>296.04409963865481</v>
      </c>
      <c r="CD4" s="59">
        <f ca="1">AVERAGE(OFFSET($CC$3,0,0,'Données projet'!$E$12+1,1))-AVERAGE(OFFSET($H$3,0,0,'Données projet'!$E$12+1,1))</f>
        <v>314.94704727988847</v>
      </c>
      <c r="CE4" s="59">
        <f>$CE$3</f>
        <v>366.49199094166454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4.0628205128205126</v>
      </c>
      <c r="CT4" s="12">
        <f>IF('Données projet'!$A$140&gt;35,CT3+CS4-DB3,IF(A4&lt;'Données projet'!$A$140,$CQ$205^A4,IF(A4='Données projet'!$A$140,'Données projet'!$B$140,CT3+CS4-DB3)))</f>
        <v>1.1736311550444201</v>
      </c>
      <c r="CU4" s="17">
        <f>CT4*VLOOKUP('Données projet'!$B$13,Paramètres!$A$1:$I$89,3,0)*VLOOKUP('Données projet'!$B$13,Paramètres!$A$1:$I$89,5,0)</f>
        <v>1.0619014690841913</v>
      </c>
      <c r="CV4" s="13">
        <f>EXP(-1.0587+0.8836*LN(CU4)+0.284)</f>
        <v>0.48595950732890802</v>
      </c>
      <c r="CW4" s="20">
        <f t="shared" ref="CW4:CW67" si="13">(CU4+CV4)*0.475*44/12</f>
        <v>2.6958578672528142</v>
      </c>
      <c r="CX4" s="59">
        <f t="shared" ref="CX4:CX67" si="14">CW4+(CO4+CP4)*44/12</f>
        <v>296.02919120058613</v>
      </c>
      <c r="CY4" s="59">
        <f ca="1">AVERAGE(OFFSET($CX$3,0,0,'Données projet'!$E$13+1,1))-AVERAGE(OFFSET($H$3,0,0,'Données projet'!$E$13+1,1))</f>
        <v>221.7429870520005</v>
      </c>
      <c r="CZ4" s="59">
        <f>$CZ$3</f>
        <v>182.2029938397186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0.82649171377144404</v>
      </c>
      <c r="P5" s="13">
        <f t="shared" ref="P5:P68" si="33">EXP(-1.0587+0.8836*LN(O5)+0.284)</f>
        <v>0.38942515982518161</v>
      </c>
      <c r="Q5" s="20">
        <f t="shared" si="2"/>
        <v>2.1177218881807898</v>
      </c>
      <c r="R5" s="59">
        <f t="shared" si="0"/>
        <v>295.45105522151408</v>
      </c>
      <c r="S5" s="59">
        <f ca="1">AVERAGE(OFFSET($R$3,0,0,'Données projet'!$E$9+1,1))-AVERAGE(OFFSET($H$3,0,0,'Données projet'!$E$9+1,1))</f>
        <v>199.01551760562705</v>
      </c>
      <c r="T5" s="59">
        <f t="shared" ref="T5:T68" si="34">$T$3</f>
        <v>269.50915104901367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5.3</v>
      </c>
      <c r="AI5" s="13">
        <f>IF('Données projet'!$A$62&gt;35,AI4+AH5-AQ4,IF(A5&lt;'Données projet'!$A$62,$AF$205^A5,IF(A5='Données projet'!$A$62,'Données projet'!$B$62,AI4+AH5-AQ4)))</f>
        <v>1.5941551500450144</v>
      </c>
      <c r="AJ5" s="13">
        <f>AI5*VLOOKUP('Données projet'!$B$10,Paramètres!$A$1:$I$89,3,0)*VLOOKUP('Données projet'!$B$10,Paramètres!$A$1:$I$89,5,0)</f>
        <v>0.95330477972691874</v>
      </c>
      <c r="AK5" s="13">
        <f t="shared" ref="AK5:AK68" si="35">EXP(-1.0587+0.8836*LN(AJ5)+0.284)</f>
        <v>0.44177512384100159</v>
      </c>
      <c r="AL5" s="20">
        <f t="shared" si="4"/>
        <v>2.4297641653807944</v>
      </c>
      <c r="AM5" s="59">
        <f t="shared" si="5"/>
        <v>295.7630974987141</v>
      </c>
      <c r="AN5" s="59">
        <f ca="1">AVERAGE(OFFSET($AM$3,0,0,'Données projet'!$E$10+1,1))-AVERAGE(OFFSET($H$3,0,0,'Données projet'!$E$10+1,1))</f>
        <v>316.58509520829671</v>
      </c>
      <c r="AO5" s="59">
        <f t="shared" ref="AO5:AO68" si="36">$AO$3</f>
        <v>240.71332110643596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1.4336577760935185</v>
      </c>
      <c r="BF5" s="13">
        <f t="shared" ref="BF5:BF68" si="37">EXP(-1.0587+0.8836*LN(BE5)+0.284)</f>
        <v>0.63355934907379652</v>
      </c>
      <c r="BG5" s="20">
        <f t="shared" si="7"/>
        <v>3.6004031596664068</v>
      </c>
      <c r="BH5" s="59">
        <f t="shared" si="8"/>
        <v>296.93373649299974</v>
      </c>
      <c r="BI5" s="59">
        <f ca="1">AVERAGE(OFFSET($BH$3,0,0,'Données projet'!$E$11+1,1))-AVERAGE(OFFSET($H$3,0,0,'Données projet'!$E$11+1,1))</f>
        <v>314.94704727988847</v>
      </c>
      <c r="BJ5" s="59">
        <f t="shared" ref="BJ5:BJ68" si="38">$BJ$3</f>
        <v>366.49199094166454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1.4336577760935185</v>
      </c>
      <c r="CA5" s="13">
        <f t="shared" ref="CA5:CA68" si="39">EXP(-1.0587+0.8836*LN(BZ5)+0.284)</f>
        <v>0.63355934907379652</v>
      </c>
      <c r="CB5" s="20">
        <f t="shared" si="10"/>
        <v>3.6004031596664068</v>
      </c>
      <c r="CC5" s="59">
        <f t="shared" si="11"/>
        <v>296.93373649299974</v>
      </c>
      <c r="CD5" s="59">
        <f ca="1">AVERAGE(OFFSET($CC$3,0,0,'Données projet'!$E$12+1,1))-AVERAGE(OFFSET($H$3,0,0,'Données projet'!$E$12+1,1))</f>
        <v>314.94704727988847</v>
      </c>
      <c r="CE5" s="59">
        <f t="shared" ref="CE5:CE68" si="40">$CE$3</f>
        <v>366.49199094166454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4.0628205128205126</v>
      </c>
      <c r="CT5" s="12">
        <f>IF('Données projet'!$A$140&gt;35,CT4+CS5-DB4,IF(A5&lt;'Données projet'!$A$140,$CQ$205^A5,IF(A5='Données projet'!$A$140,'Données projet'!$B$140,CT4+CS5-DB4)))</f>
        <v>1.3774100880908995</v>
      </c>
      <c r="CU5" s="17">
        <f>CT5*VLOOKUP('Données projet'!$B$13,Paramètres!$A$1:$I$89,3,0)*VLOOKUP('Données projet'!$B$13,Paramètres!$A$1:$I$89,5,0)</f>
        <v>1.2462806477046457</v>
      </c>
      <c r="CV5" s="13">
        <f t="shared" ref="CV5:CV68" si="41">EXP(-1.0587+0.8836*LN(CU5)+0.284)</f>
        <v>0.55980687933617612</v>
      </c>
      <c r="CW5" s="20">
        <f t="shared" si="13"/>
        <v>3.1456024429294316</v>
      </c>
      <c r="CX5" s="59">
        <f t="shared" si="14"/>
        <v>296.47893577626274</v>
      </c>
      <c r="CY5" s="59">
        <f ca="1">AVERAGE(OFFSET($CX$3,0,0,'Données projet'!$E$13+1,1))-AVERAGE(OFFSET($H$3,0,0,'Données projet'!$E$13+1,1))</f>
        <v>221.7429870520005</v>
      </c>
      <c r="CZ5" s="59">
        <f t="shared" ref="CZ5:CZ68" si="42">$CZ$3</f>
        <v>182.2029938397186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1.1139150132033662</v>
      </c>
      <c r="P6" s="13">
        <f t="shared" si="33"/>
        <v>0.506932975693696</v>
      </c>
      <c r="Q6" s="20">
        <f t="shared" si="2"/>
        <v>2.8229769139957166</v>
      </c>
      <c r="R6" s="59">
        <f t="shared" si="0"/>
        <v>296.15631024732903</v>
      </c>
      <c r="S6" s="59">
        <f ca="1">AVERAGE(OFFSET($R$3,0,0,'Données projet'!$E$9+1,1))-AVERAGE(OFFSET($H$3,0,0,'Données projet'!$E$9+1,1))</f>
        <v>199.01551760562705</v>
      </c>
      <c r="T6" s="59">
        <f t="shared" si="34"/>
        <v>269.50915104901367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5.3</v>
      </c>
      <c r="AI6" s="13">
        <f>IF('Données projet'!$A$62&gt;35,AI5+AH6-AQ5,IF(A6&lt;'Données projet'!$A$62,$AF$205^A6,IF(A6='Données projet'!$A$62,'Données projet'!$B$62,AI5+AH6-AQ5)))</f>
        <v>2.0127780134861233</v>
      </c>
      <c r="AJ6" s="13">
        <f>AI6*VLOOKUP('Données projet'!$B$10,Paramètres!$A$1:$I$89,3,0)*VLOOKUP('Données projet'!$B$10,Paramètres!$A$1:$I$89,5,0)</f>
        <v>1.2036412520647017</v>
      </c>
      <c r="AK6" s="13">
        <f t="shared" si="35"/>
        <v>0.54284928534933019</v>
      </c>
      <c r="AL6" s="20">
        <f t="shared" si="4"/>
        <v>3.0418043526627723</v>
      </c>
      <c r="AM6" s="59">
        <f t="shared" si="5"/>
        <v>296.37513768599609</v>
      </c>
      <c r="AN6" s="59">
        <f ca="1">AVERAGE(OFFSET($AM$3,0,0,'Données projet'!$E$10+1,1))-AVERAGE(OFFSET($H$3,0,0,'Données projet'!$E$10+1,1))</f>
        <v>316.58509520829671</v>
      </c>
      <c r="AO6" s="59">
        <f t="shared" si="36"/>
        <v>240.71332110643596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1.9245130250715252</v>
      </c>
      <c r="BF6" s="13">
        <f t="shared" si="37"/>
        <v>0.82182239561499026</v>
      </c>
      <c r="BG6" s="20">
        <f t="shared" si="7"/>
        <v>4.7832008576956815</v>
      </c>
      <c r="BH6" s="59">
        <f t="shared" si="8"/>
        <v>298.11653419102902</v>
      </c>
      <c r="BI6" s="59">
        <f ca="1">AVERAGE(OFFSET($BH$3,0,0,'Données projet'!$E$11+1,1))-AVERAGE(OFFSET($H$3,0,0,'Données projet'!$E$11+1,1))</f>
        <v>314.94704727988847</v>
      </c>
      <c r="BJ6" s="59">
        <f t="shared" si="38"/>
        <v>366.49199094166454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1.9245130250715252</v>
      </c>
      <c r="CA6" s="13">
        <f t="shared" si="39"/>
        <v>0.82182239561499026</v>
      </c>
      <c r="CB6" s="20">
        <f t="shared" si="10"/>
        <v>4.7832008576956815</v>
      </c>
      <c r="CC6" s="59">
        <f t="shared" si="11"/>
        <v>298.11653419102902</v>
      </c>
      <c r="CD6" s="59">
        <f ca="1">AVERAGE(OFFSET($CC$3,0,0,'Données projet'!$E$12+1,1))-AVERAGE(OFFSET($H$3,0,0,'Données projet'!$E$12+1,1))</f>
        <v>314.94704727988847</v>
      </c>
      <c r="CE6" s="59">
        <f t="shared" si="40"/>
        <v>366.49199094166454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4.0628205128205126</v>
      </c>
      <c r="CT6" s="12">
        <f>IF('Données projet'!$A$140&gt;35,CT5+CS6-DB5,IF(A6&lt;'Données projet'!$A$140,$CQ$205^A6,IF(A6='Données projet'!$A$140,'Données projet'!$B$140,CT5+CS6-DB5)))</f>
        <v>1.6165713926559588</v>
      </c>
      <c r="CU6" s="17">
        <f>CT6*VLOOKUP('Données projet'!$B$13,Paramètres!$A$1:$I$89,3,0)*VLOOKUP('Données projet'!$B$13,Paramètres!$A$1:$I$89,5,0)</f>
        <v>1.4626737960751115</v>
      </c>
      <c r="CV6" s="13">
        <f t="shared" si="41"/>
        <v>0.64487624467855742</v>
      </c>
      <c r="CW6" s="20">
        <f t="shared" si="13"/>
        <v>3.6706496543126392</v>
      </c>
      <c r="CX6" s="59">
        <f t="shared" si="14"/>
        <v>297.00398298764594</v>
      </c>
      <c r="CY6" s="59">
        <f ca="1">AVERAGE(OFFSET($CX$3,0,0,'Données projet'!$E$13+1,1))-AVERAGE(OFFSET($H$3,0,0,'Données projet'!$E$13+1,1))</f>
        <v>221.7429870520005</v>
      </c>
      <c r="CZ6" s="59">
        <f t="shared" si="42"/>
        <v>182.2029938397186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1.5012935229293598</v>
      </c>
      <c r="P7" s="13">
        <f t="shared" si="33"/>
        <v>0.65989840502608443</v>
      </c>
      <c r="Q7" s="20">
        <f t="shared" si="2"/>
        <v>3.764075941189065</v>
      </c>
      <c r="R7" s="59">
        <f t="shared" si="0"/>
        <v>297.09740927452236</v>
      </c>
      <c r="S7" s="59">
        <f ca="1">AVERAGE(OFFSET($R$3,0,0,'Données projet'!$E$9+1,1))-AVERAGE(OFFSET($H$3,0,0,'Données projet'!$E$9+1,1))</f>
        <v>199.01551760562705</v>
      </c>
      <c r="T7" s="59">
        <f t="shared" si="34"/>
        <v>269.50915104901367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5.3</v>
      </c>
      <c r="AI7" s="13">
        <f>IF('Données projet'!$A$62&gt;35,AI6+AH7-AQ6,IF(A7&lt;'Données projet'!$A$62,$AF$205^A7,IF(A7='Données projet'!$A$62,'Données projet'!$B$62,AI6+AH7-AQ6)))</f>
        <v>2.5413306424150424</v>
      </c>
      <c r="AJ7" s="13">
        <f>AI7*VLOOKUP('Données projet'!$B$10,Paramètres!$A$1:$I$89,3,0)*VLOOKUP('Données projet'!$B$10,Paramètres!$A$1:$I$89,5,0)</f>
        <v>1.5197157241641954</v>
      </c>
      <c r="AK7" s="13">
        <f t="shared" si="35"/>
        <v>0.66704830286084227</v>
      </c>
      <c r="AL7" s="20">
        <f t="shared" si="4"/>
        <v>3.8086140137352733</v>
      </c>
      <c r="AM7" s="59">
        <f t="shared" si="5"/>
        <v>297.14194734706859</v>
      </c>
      <c r="AN7" s="59">
        <f ca="1">AVERAGE(OFFSET($AM$3,0,0,'Données projet'!$E$10+1,1))-AVERAGE(OFFSET($H$3,0,0,'Données projet'!$E$10+1,1))</f>
        <v>316.58509520829671</v>
      </c>
      <c r="AO7" s="59">
        <f t="shared" si="36"/>
        <v>240.71332110643596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2.5834271228675387</v>
      </c>
      <c r="BF7" s="13">
        <f t="shared" si="37"/>
        <v>1.066028069701316</v>
      </c>
      <c r="BG7" s="20">
        <f t="shared" si="7"/>
        <v>6.3561344603907548</v>
      </c>
      <c r="BH7" s="59">
        <f t="shared" si="8"/>
        <v>299.68946779372408</v>
      </c>
      <c r="BI7" s="59">
        <f ca="1">AVERAGE(OFFSET($BH$3,0,0,'Données projet'!$E$11+1,1))-AVERAGE(OFFSET($H$3,0,0,'Données projet'!$E$11+1,1))</f>
        <v>314.94704727988847</v>
      </c>
      <c r="BJ7" s="59">
        <f t="shared" si="38"/>
        <v>366.49199094166454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2.5834271228675387</v>
      </c>
      <c r="CA7" s="13">
        <f t="shared" si="39"/>
        <v>1.066028069701316</v>
      </c>
      <c r="CB7" s="20">
        <f t="shared" si="10"/>
        <v>6.3561344603907548</v>
      </c>
      <c r="CC7" s="59">
        <f t="shared" si="11"/>
        <v>299.68946779372408</v>
      </c>
      <c r="CD7" s="59">
        <f ca="1">AVERAGE(OFFSET($CC$3,0,0,'Données projet'!$E$12+1,1))-AVERAGE(OFFSET($H$3,0,0,'Données projet'!$E$12+1,1))</f>
        <v>314.94704727988847</v>
      </c>
      <c r="CE7" s="59">
        <f t="shared" si="40"/>
        <v>366.49199094166454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4.0628205128205126</v>
      </c>
      <c r="CT7" s="12">
        <f>IF('Données projet'!$A$140&gt;35,CT6+CS7-DB6,IF(A7&lt;'Données projet'!$A$140,$CQ$205^A7,IF(A7='Données projet'!$A$140,'Données projet'!$B$140,CT6+CS7-DB6)))</f>
        <v>1.8972585507745794</v>
      </c>
      <c r="CU7" s="17">
        <f>CT7*VLOOKUP('Données projet'!$B$13,Paramètres!$A$1:$I$89,3,0)*VLOOKUP('Données projet'!$B$13,Paramètres!$A$1:$I$89,5,0)</f>
        <v>1.7166395367408394</v>
      </c>
      <c r="CV7" s="13">
        <f t="shared" si="41"/>
        <v>0.74287291975378222</v>
      </c>
      <c r="CW7" s="20">
        <f t="shared" si="13"/>
        <v>4.283650861728133</v>
      </c>
      <c r="CX7" s="59">
        <f t="shared" si="14"/>
        <v>297.61698419506143</v>
      </c>
      <c r="CY7" s="59">
        <f ca="1">AVERAGE(OFFSET($CX$3,0,0,'Données projet'!$E$13+1,1))-AVERAGE(OFFSET($H$3,0,0,'Données projet'!$E$13+1,1))</f>
        <v>221.7429870520005</v>
      </c>
      <c r="CZ7" s="59">
        <f t="shared" si="42"/>
        <v>182.2029938397186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2.0233879741938257</v>
      </c>
      <c r="P8" s="13">
        <f t="shared" si="33"/>
        <v>0.85902067104644531</v>
      </c>
      <c r="Q8" s="20">
        <f t="shared" si="2"/>
        <v>5.0201950571268048</v>
      </c>
      <c r="R8" s="59">
        <f t="shared" si="0"/>
        <v>298.3535283904601</v>
      </c>
      <c r="S8" s="59">
        <f ca="1">AVERAGE(OFFSET($R$3,0,0,'Données projet'!$E$9+1,1))-AVERAGE(OFFSET($H$3,0,0,'Données projet'!$E$9+1,1))</f>
        <v>199.01551760562705</v>
      </c>
      <c r="T8" s="59">
        <f t="shared" si="34"/>
        <v>269.50915104901367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5.3</v>
      </c>
      <c r="AI8" s="13">
        <f>IF('Données projet'!$A$62&gt;35,AI7+AH8-AQ7,IF(A8&lt;'Données projet'!$A$62,$AF$205^A8,IF(A8='Données projet'!$A$62,'Données projet'!$B$62,AI7+AH8-AQ7)))</f>
        <v>3.2086804360962771</v>
      </c>
      <c r="AJ8" s="13">
        <f>AI8*VLOOKUP('Données projet'!$B$10,Paramètres!$A$1:$I$89,3,0)*VLOOKUP('Données projet'!$B$10,Paramètres!$A$1:$I$89,5,0)</f>
        <v>1.9187909007855739</v>
      </c>
      <c r="AK8" s="13">
        <f t="shared" si="35"/>
        <v>0.81966293473739582</v>
      </c>
      <c r="AL8" s="20">
        <f t="shared" si="4"/>
        <v>4.7694737635358386</v>
      </c>
      <c r="AM8" s="59">
        <f t="shared" si="5"/>
        <v>298.10280709686913</v>
      </c>
      <c r="AN8" s="59">
        <f ca="1">AVERAGE(OFFSET($AM$3,0,0,'Données projet'!$E$10+1,1))-AVERAGE(OFFSET($H$3,0,0,'Données projet'!$E$10+1,1))</f>
        <v>316.58509520829671</v>
      </c>
      <c r="AO8" s="59">
        <f t="shared" si="36"/>
        <v>240.71332110643596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3.467939999480961</v>
      </c>
      <c r="BF8" s="13">
        <f t="shared" si="37"/>
        <v>1.382799801337496</v>
      </c>
      <c r="BG8" s="20">
        <f t="shared" si="7"/>
        <v>8.4483718197588118</v>
      </c>
      <c r="BH8" s="59">
        <f t="shared" si="8"/>
        <v>301.7817051530921</v>
      </c>
      <c r="BI8" s="59">
        <f ca="1">AVERAGE(OFFSET($BH$3,0,0,'Données projet'!$E$11+1,1))-AVERAGE(OFFSET($H$3,0,0,'Données projet'!$E$11+1,1))</f>
        <v>314.94704727988847</v>
      </c>
      <c r="BJ8" s="59">
        <f t="shared" si="38"/>
        <v>366.49199094166454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3.467939999480961</v>
      </c>
      <c r="CA8" s="13">
        <f t="shared" si="39"/>
        <v>1.382799801337496</v>
      </c>
      <c r="CB8" s="20">
        <f t="shared" si="10"/>
        <v>8.4483718197588118</v>
      </c>
      <c r="CC8" s="59">
        <f t="shared" si="11"/>
        <v>301.7817051530921</v>
      </c>
      <c r="CD8" s="59">
        <f ca="1">AVERAGE(OFFSET($CC$3,0,0,'Données projet'!$E$12+1,1))-AVERAGE(OFFSET($H$3,0,0,'Données projet'!$E$12+1,1))</f>
        <v>314.94704727988847</v>
      </c>
      <c r="CE8" s="59">
        <f t="shared" si="40"/>
        <v>366.49199094166454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4.0628205128205126</v>
      </c>
      <c r="CT8" s="12">
        <f>IF('Données projet'!$A$140&gt;35,CT7+CS8-DB7,IF(A8&lt;'Données projet'!$A$140,$CQ$205^A8,IF(A8='Données projet'!$A$140,'Données projet'!$B$140,CT7+CS8-DB7)))</f>
        <v>2.2266817443634719</v>
      </c>
      <c r="CU8" s="17">
        <f>CT8*VLOOKUP('Données projet'!$B$13,Paramètres!$A$1:$I$89,3,0)*VLOOKUP('Données projet'!$B$13,Paramètres!$A$1:$I$89,5,0)</f>
        <v>2.0147016423000692</v>
      </c>
      <c r="CV8" s="13">
        <f t="shared" si="41"/>
        <v>0.85576136422669402</v>
      </c>
      <c r="CW8" s="20">
        <f t="shared" si="13"/>
        <v>4.999389736367446</v>
      </c>
      <c r="CX8" s="59">
        <f t="shared" si="14"/>
        <v>298.33272306970076</v>
      </c>
      <c r="CY8" s="59">
        <f ca="1">AVERAGE(OFFSET($CX$3,0,0,'Données projet'!$E$13+1,1))-AVERAGE(OFFSET($H$3,0,0,'Données projet'!$E$13+1,1))</f>
        <v>221.7429870520005</v>
      </c>
      <c r="CZ8" s="59">
        <f t="shared" si="42"/>
        <v>182.2029938397186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2.7270475970106709</v>
      </c>
      <c r="P9" s="13">
        <f t="shared" si="33"/>
        <v>1.1182274539001456</v>
      </c>
      <c r="Q9" s="20">
        <f t="shared" si="2"/>
        <v>6.697187380336338</v>
      </c>
      <c r="R9" s="59">
        <f t="shared" si="0"/>
        <v>300.03052071366966</v>
      </c>
      <c r="S9" s="59">
        <f ca="1">AVERAGE(OFFSET($R$3,0,0,'Données projet'!$E$9+1,1))-AVERAGE(OFFSET($H$3,0,0,'Données projet'!$E$9+1,1))</f>
        <v>199.01551760562705</v>
      </c>
      <c r="T9" s="59">
        <f t="shared" si="34"/>
        <v>269.50915104901367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5.3</v>
      </c>
      <c r="AI9" s="13">
        <f>IF('Données projet'!$A$62&gt;35,AI8+AH9-AQ8,IF(A9&lt;'Données projet'!$A$62,$AF$205^A9,IF(A9='Données projet'!$A$62,'Données projet'!$B$62,AI8+AH9-AQ8)))</f>
        <v>4.0512753315731445</v>
      </c>
      <c r="AJ9" s="13">
        <f>AI9*VLOOKUP('Données projet'!$B$10,Paramètres!$A$1:$I$89,3,0)*VLOOKUP('Données projet'!$B$10,Paramètres!$A$1:$I$89,5,0)</f>
        <v>2.4226626482807405</v>
      </c>
      <c r="AK9" s="13">
        <f t="shared" si="35"/>
        <v>1.0071944171072709</v>
      </c>
      <c r="AL9" s="20">
        <f t="shared" si="4"/>
        <v>5.9736677222174537</v>
      </c>
      <c r="AM9" s="59">
        <f t="shared" si="5"/>
        <v>299.30700105555076</v>
      </c>
      <c r="AN9" s="59">
        <f ca="1">AVERAGE(OFFSET($AM$3,0,0,'Données projet'!$E$10+1,1))-AVERAGE(OFFSET($H$3,0,0,'Données projet'!$E$10+1,1))</f>
        <v>316.58509520829671</v>
      </c>
      <c r="AO9" s="59">
        <f t="shared" si="36"/>
        <v>240.71332110643596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4.6552920860607747</v>
      </c>
      <c r="BF9" s="13">
        <f t="shared" si="37"/>
        <v>1.7937006960002178</v>
      </c>
      <c r="BG9" s="20">
        <f t="shared" si="7"/>
        <v>11.231995762089561</v>
      </c>
      <c r="BH9" s="59">
        <f t="shared" si="8"/>
        <v>304.5653290954229</v>
      </c>
      <c r="BI9" s="59">
        <f ca="1">AVERAGE(OFFSET($BH$3,0,0,'Données projet'!$E$11+1,1))-AVERAGE(OFFSET($H$3,0,0,'Données projet'!$E$11+1,1))</f>
        <v>314.94704727988847</v>
      </c>
      <c r="BJ9" s="59">
        <f t="shared" si="38"/>
        <v>366.49199094166454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4.6552920860607747</v>
      </c>
      <c r="CA9" s="13">
        <f t="shared" si="39"/>
        <v>1.7937006960002178</v>
      </c>
      <c r="CB9" s="20">
        <f t="shared" si="10"/>
        <v>11.231995762089561</v>
      </c>
      <c r="CC9" s="59">
        <f t="shared" si="11"/>
        <v>304.5653290954229</v>
      </c>
      <c r="CD9" s="59">
        <f ca="1">AVERAGE(OFFSET($CC$3,0,0,'Données projet'!$E$12+1,1))-AVERAGE(OFFSET($H$3,0,0,'Données projet'!$E$12+1,1))</f>
        <v>314.94704727988847</v>
      </c>
      <c r="CE9" s="59">
        <f t="shared" si="40"/>
        <v>366.49199094166454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4.0628205128205126</v>
      </c>
      <c r="CT9" s="12">
        <f>IF('Données projet'!$A$140&gt;35,CT8+CS9-DB8,IF(A9&lt;'Données projet'!$A$140,$CQ$205^A9,IF(A9='Données projet'!$A$140,'Données projet'!$B$140,CT8+CS9-DB8)))</f>
        <v>2.6133030675536255</v>
      </c>
      <c r="CU9" s="17">
        <f>CT9*VLOOKUP('Données projet'!$B$13,Paramètres!$A$1:$I$89,3,0)*VLOOKUP('Données projet'!$B$13,Paramètres!$A$1:$I$89,5,0)</f>
        <v>2.3645166155225201</v>
      </c>
      <c r="CV9" s="13">
        <f t="shared" si="41"/>
        <v>0.98580456095486013</v>
      </c>
      <c r="CW9" s="20">
        <f t="shared" si="13"/>
        <v>5.8351427156981037</v>
      </c>
      <c r="CX9" s="59">
        <f t="shared" si="14"/>
        <v>299.16847604903143</v>
      </c>
      <c r="CY9" s="59">
        <f ca="1">AVERAGE(OFFSET($CX$3,0,0,'Données projet'!$E$13+1,1))-AVERAGE(OFFSET($H$3,0,0,'Données projet'!$E$13+1,1))</f>
        <v>221.7429870520005</v>
      </c>
      <c r="CZ9" s="59">
        <f t="shared" si="42"/>
        <v>182.2029938397186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3.6754140536615068</v>
      </c>
      <c r="P10" s="13">
        <f t="shared" si="33"/>
        <v>1.4556490673649856</v>
      </c>
      <c r="Q10" s="20">
        <f t="shared" si="2"/>
        <v>8.9366016024544734</v>
      </c>
      <c r="R10" s="59">
        <f t="shared" si="0"/>
        <v>302.26993493578777</v>
      </c>
      <c r="S10" s="59">
        <f ca="1">AVERAGE(OFFSET($R$3,0,0,'Données projet'!$E$9+1,1))-AVERAGE(OFFSET($H$3,0,0,'Données projet'!$E$9+1,1))</f>
        <v>199.01551760562705</v>
      </c>
      <c r="T10" s="59">
        <f t="shared" si="34"/>
        <v>269.50915104901367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5.3</v>
      </c>
      <c r="AI10" s="13">
        <f>IF('Données projet'!$A$62&gt;35,AI9+AH10-AQ9,IF(A10&lt;'Données projet'!$A$62,$AF$205^A10,IF(A10='Données projet'!$A$62,'Données projet'!$B$62,AI9+AH10-AQ9)))</f>
        <v>5.1151344420515628</v>
      </c>
      <c r="AJ10" s="13">
        <f>AI10*VLOOKUP('Données projet'!$B$10,Paramètres!$A$1:$I$89,3,0)*VLOOKUP('Données projet'!$B$10,Paramètres!$A$1:$I$89,5,0)</f>
        <v>3.0588503963468345</v>
      </c>
      <c r="AK10" s="13">
        <f t="shared" si="35"/>
        <v>1.2376314102540975</v>
      </c>
      <c r="AL10" s="20">
        <f t="shared" si="4"/>
        <v>7.4830391464966226</v>
      </c>
      <c r="AM10" s="59">
        <f t="shared" si="5"/>
        <v>300.81637247982997</v>
      </c>
      <c r="AN10" s="59">
        <f ca="1">AVERAGE(OFFSET($AM$3,0,0,'Données projet'!$E$10+1,1))-AVERAGE(OFFSET($H$3,0,0,'Données projet'!$E$10+1,1))</f>
        <v>316.58509520829671</v>
      </c>
      <c r="AO10" s="59">
        <f t="shared" si="36"/>
        <v>240.71332110643596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6.2491693656129108</v>
      </c>
      <c r="BF10" s="13">
        <f t="shared" si="37"/>
        <v>2.326701366112224</v>
      </c>
      <c r="BG10" s="20">
        <f t="shared" si="7"/>
        <v>14.936308191087944</v>
      </c>
      <c r="BH10" s="59">
        <f t="shared" si="8"/>
        <v>308.26964152442127</v>
      </c>
      <c r="BI10" s="59">
        <f ca="1">AVERAGE(OFFSET($BH$3,0,0,'Données projet'!$E$11+1,1))-AVERAGE(OFFSET($H$3,0,0,'Données projet'!$E$11+1,1))</f>
        <v>314.94704727988847</v>
      </c>
      <c r="BJ10" s="59">
        <f t="shared" si="38"/>
        <v>366.49199094166454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6.2491693656129108</v>
      </c>
      <c r="CA10" s="13">
        <f t="shared" si="39"/>
        <v>2.326701366112224</v>
      </c>
      <c r="CB10" s="20">
        <f t="shared" si="10"/>
        <v>14.936308191087944</v>
      </c>
      <c r="CC10" s="59">
        <f t="shared" si="11"/>
        <v>308.26964152442127</v>
      </c>
      <c r="CD10" s="59">
        <f ca="1">AVERAGE(OFFSET($CC$3,0,0,'Données projet'!$E$12+1,1))-AVERAGE(OFFSET($H$3,0,0,'Données projet'!$E$12+1,1))</f>
        <v>314.94704727988847</v>
      </c>
      <c r="CE10" s="59">
        <f t="shared" si="40"/>
        <v>366.49199094166454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4.0628205128205126</v>
      </c>
      <c r="CT10" s="12">
        <f>IF('Données projet'!$A$140&gt;35,CT9+CS10-DB9,IF(A10&lt;'Données projet'!$A$140,$CQ$205^A10,IF(A10='Données projet'!$A$140,'Données projet'!$B$140,CT9+CS10-DB9)))</f>
        <v>3.067053897654088</v>
      </c>
      <c r="CU10" s="17">
        <f>CT10*VLOOKUP('Données projet'!$B$13,Paramètres!$A$1:$I$89,3,0)*VLOOKUP('Données projet'!$B$13,Paramètres!$A$1:$I$89,5,0)</f>
        <v>2.775070366597419</v>
      </c>
      <c r="CV10" s="13">
        <f t="shared" si="41"/>
        <v>1.1356093801659046</v>
      </c>
      <c r="CW10" s="20">
        <f t="shared" si="13"/>
        <v>6.811100558946122</v>
      </c>
      <c r="CX10" s="59">
        <f t="shared" si="14"/>
        <v>300.14443389227944</v>
      </c>
      <c r="CY10" s="59">
        <f ca="1">AVERAGE(OFFSET($CX$3,0,0,'Données projet'!$E$13+1,1))-AVERAGE(OFFSET($H$3,0,0,'Données projet'!$E$13+1,1))</f>
        <v>221.7429870520005</v>
      </c>
      <c r="CZ10" s="59">
        <f t="shared" si="42"/>
        <v>182.2029938397186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4.9535873450321937</v>
      </c>
      <c r="P11" s="13">
        <f t="shared" si="33"/>
        <v>1.8948865903177559</v>
      </c>
      <c r="Q11" s="20">
        <f t="shared" si="2"/>
        <v>11.927758770734494</v>
      </c>
      <c r="R11" s="59">
        <f t="shared" si="0"/>
        <v>305.26109210406781</v>
      </c>
      <c r="S11" s="59">
        <f ca="1">AVERAGE(OFFSET($R$3,0,0,'Données projet'!$E$9+1,1))-AVERAGE(OFFSET($H$3,0,0,'Données projet'!$E$9+1,1))</f>
        <v>199.01551760562705</v>
      </c>
      <c r="T11" s="59">
        <f t="shared" si="34"/>
        <v>269.50915104901367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5.3</v>
      </c>
      <c r="AI11" s="13">
        <f>IF('Données projet'!$A$62&gt;35,AI10+AH11-AQ10,IF(A11&lt;'Données projet'!$A$62,$AF$205^A11,IF(A11='Données projet'!$A$62,'Données projet'!$B$62,AI10+AH11-AQ10)))</f>
        <v>6.4583614340776521</v>
      </c>
      <c r="AJ11" s="13">
        <f>AI11*VLOOKUP('Données projet'!$B$10,Paramètres!$A$1:$I$89,3,0)*VLOOKUP('Données projet'!$B$10,Paramètres!$A$1:$I$89,5,0)</f>
        <v>3.8621001375784361</v>
      </c>
      <c r="AK11" s="13">
        <f t="shared" si="35"/>
        <v>1.520790307840248</v>
      </c>
      <c r="AL11" s="20">
        <f t="shared" si="4"/>
        <v>9.375200859104206</v>
      </c>
      <c r="AM11" s="59">
        <f t="shared" si="5"/>
        <v>302.70853419243753</v>
      </c>
      <c r="AN11" s="59">
        <f ca="1">AVERAGE(OFFSET($AM$3,0,0,'Données projet'!$E$10+1,1))-AVERAGE(OFFSET($H$3,0,0,'Données projet'!$E$10+1,1))</f>
        <v>316.58509520829671</v>
      </c>
      <c r="AO11" s="59">
        <f t="shared" si="36"/>
        <v>240.71332110643596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8.3887577918145393</v>
      </c>
      <c r="BF11" s="13">
        <f t="shared" si="37"/>
        <v>3.0180839306915423</v>
      </c>
      <c r="BG11" s="20">
        <f t="shared" si="7"/>
        <v>19.866916000031427</v>
      </c>
      <c r="BH11" s="59">
        <f t="shared" si="8"/>
        <v>313.20024933336475</v>
      </c>
      <c r="BI11" s="59">
        <f ca="1">AVERAGE(OFFSET($BH$3,0,0,'Données projet'!$E$11+1,1))-AVERAGE(OFFSET($H$3,0,0,'Données projet'!$E$11+1,1))</f>
        <v>314.94704727988847</v>
      </c>
      <c r="BJ11" s="59">
        <f t="shared" si="38"/>
        <v>366.49199094166454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8.3887577918145393</v>
      </c>
      <c r="CA11" s="13">
        <f t="shared" si="39"/>
        <v>3.0180839306915423</v>
      </c>
      <c r="CB11" s="20">
        <f t="shared" si="10"/>
        <v>19.866916000031427</v>
      </c>
      <c r="CC11" s="59">
        <f t="shared" si="11"/>
        <v>313.20024933336475</v>
      </c>
      <c r="CD11" s="59">
        <f ca="1">AVERAGE(OFFSET($CC$3,0,0,'Données projet'!$E$12+1,1))-AVERAGE(OFFSET($H$3,0,0,'Données projet'!$E$12+1,1))</f>
        <v>314.94704727988847</v>
      </c>
      <c r="CE11" s="59">
        <f t="shared" si="40"/>
        <v>366.49199094166454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4.0628205128205126</v>
      </c>
      <c r="CT11" s="12">
        <f>IF('Données projet'!$A$140&gt;35,CT10+CS11-DB10,IF(A11&lt;'Données projet'!$A$140,$CQ$205^A11,IF(A11='Données projet'!$A$140,'Données projet'!$B$140,CT10+CS11-DB10)))</f>
        <v>3.5995900084872572</v>
      </c>
      <c r="CU11" s="17">
        <f>CT11*VLOOKUP('Données projet'!$B$13,Paramètres!$A$1:$I$89,3,0)*VLOOKUP('Données projet'!$B$13,Paramètres!$A$1:$I$89,5,0)</f>
        <v>3.2569090396792704</v>
      </c>
      <c r="CV11" s="13">
        <f t="shared" si="41"/>
        <v>1.3081788372653314</v>
      </c>
      <c r="CW11" s="20">
        <f t="shared" si="13"/>
        <v>7.9508613856785146</v>
      </c>
      <c r="CX11" s="59">
        <f t="shared" si="14"/>
        <v>301.28419471901185</v>
      </c>
      <c r="CY11" s="59">
        <f ca="1">AVERAGE(OFFSET($CX$3,0,0,'Données projet'!$E$13+1,1))-AVERAGE(OFFSET($H$3,0,0,'Données projet'!$E$13+1,1))</f>
        <v>221.7429870520005</v>
      </c>
      <c r="CZ11" s="59">
        <f t="shared" si="42"/>
        <v>182.2029938397186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6.676262109956812</v>
      </c>
      <c r="P12" s="13">
        <f t="shared" si="33"/>
        <v>2.4666626528781022</v>
      </c>
      <c r="Q12" s="20">
        <f t="shared" si="2"/>
        <v>15.923927295270808</v>
      </c>
      <c r="R12" s="59">
        <f t="shared" si="0"/>
        <v>309.25726062860412</v>
      </c>
      <c r="S12" s="59">
        <f ca="1">AVERAGE(OFFSET($R$3,0,0,'Données projet'!$E$9+1,1))-AVERAGE(OFFSET($H$3,0,0,'Données projet'!$E$9+1,1))</f>
        <v>199.01551760562705</v>
      </c>
      <c r="T12" s="59">
        <f t="shared" si="34"/>
        <v>269.50915104901367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5.3</v>
      </c>
      <c r="AI12" s="13">
        <f>IF('Données projet'!$A$62&gt;35,AI11+AH12-AQ11,IF(A12&lt;'Données projet'!$A$62,$AF$205^A12,IF(A12='Données projet'!$A$62,'Données projet'!$B$62,AI11+AH12-AQ11)))</f>
        <v>8.1543179139691304</v>
      </c>
      <c r="AJ12" s="13">
        <f>AI12*VLOOKUP('Données projet'!$B$10,Paramètres!$A$1:$I$89,3,0)*VLOOKUP('Données projet'!$B$10,Paramètres!$A$1:$I$89,5,0)</f>
        <v>4.8762821125535405</v>
      </c>
      <c r="AK12" s="13">
        <f t="shared" si="35"/>
        <v>1.8687334058094056</v>
      </c>
      <c r="AL12" s="20">
        <f t="shared" si="4"/>
        <v>11.747568694482132</v>
      </c>
      <c r="AM12" s="59">
        <f t="shared" si="5"/>
        <v>305.08090202781545</v>
      </c>
      <c r="AN12" s="59">
        <f ca="1">AVERAGE(OFFSET($AM$3,0,0,'Données projet'!$E$10+1,1))-AVERAGE(OFFSET($H$3,0,0,'Données projet'!$E$10+1,1))</f>
        <v>316.58509520829671</v>
      </c>
      <c r="AO12" s="59">
        <f t="shared" si="36"/>
        <v>240.71332110643596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11.260897756581638</v>
      </c>
      <c r="BF12" s="13">
        <f t="shared" si="37"/>
        <v>3.9149117911590028</v>
      </c>
      <c r="BG12" s="20">
        <f t="shared" si="7"/>
        <v>26.431201628981615</v>
      </c>
      <c r="BH12" s="59">
        <f t="shared" si="8"/>
        <v>319.76453496231494</v>
      </c>
      <c r="BI12" s="59">
        <f ca="1">AVERAGE(OFFSET($BH$3,0,0,'Données projet'!$E$11+1,1))-AVERAGE(OFFSET($H$3,0,0,'Données projet'!$E$11+1,1))</f>
        <v>314.94704727988847</v>
      </c>
      <c r="BJ12" s="59">
        <f t="shared" si="38"/>
        <v>366.49199094166454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11.260897756581638</v>
      </c>
      <c r="CA12" s="13">
        <f t="shared" si="39"/>
        <v>3.9149117911590028</v>
      </c>
      <c r="CB12" s="20">
        <f t="shared" si="10"/>
        <v>26.431201628981615</v>
      </c>
      <c r="CC12" s="59">
        <f t="shared" si="11"/>
        <v>319.76453496231494</v>
      </c>
      <c r="CD12" s="59">
        <f ca="1">AVERAGE(OFFSET($CC$3,0,0,'Données projet'!$E$12+1,1))-AVERAGE(OFFSET($H$3,0,0,'Données projet'!$E$12+1,1))</f>
        <v>314.94704727988847</v>
      </c>
      <c r="CE12" s="59">
        <f t="shared" si="40"/>
        <v>366.49199094166454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4.0628205128205126</v>
      </c>
      <c r="CT12" s="12">
        <f>IF('Données projet'!$A$140&gt;35,CT11+CS12-DB11,IF(A12&lt;'Données projet'!$A$140,$CQ$205^A12,IF(A12='Données projet'!$A$140,'Données projet'!$B$140,CT11+CS12-DB11)))</f>
        <v>4.2245909793472531</v>
      </c>
      <c r="CU12" s="17">
        <f>CT12*VLOOKUP('Données projet'!$B$13,Paramètres!$A$1:$I$89,3,0)*VLOOKUP('Données projet'!$B$13,Paramètres!$A$1:$I$89,5,0)</f>
        <v>3.822409918113395</v>
      </c>
      <c r="CV12" s="13">
        <f t="shared" si="41"/>
        <v>1.5069722918446318</v>
      </c>
      <c r="CW12" s="20">
        <f t="shared" si="13"/>
        <v>9.2820073490102306</v>
      </c>
      <c r="CX12" s="59">
        <f t="shared" si="14"/>
        <v>302.61534068234357</v>
      </c>
      <c r="CY12" s="59">
        <f ca="1">AVERAGE(OFFSET($CX$3,0,0,'Données projet'!$E$13+1,1))-AVERAGE(OFFSET($H$3,0,0,'Données projet'!$E$13+1,1))</f>
        <v>221.7429870520005</v>
      </c>
      <c r="CZ12" s="59">
        <f t="shared" si="42"/>
        <v>182.2029938397186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8.9980195474993305</v>
      </c>
      <c r="P13" s="13">
        <f t="shared" si="33"/>
        <v>3.2109703420737876</v>
      </c>
      <c r="Q13" s="20">
        <f t="shared" si="2"/>
        <v>21.263990724339845</v>
      </c>
      <c r="R13" s="59">
        <f t="shared" si="0"/>
        <v>314.59732405767318</v>
      </c>
      <c r="S13" s="59">
        <f ca="1">AVERAGE(OFFSET($R$3,0,0,'Données projet'!$E$9+1,1))-AVERAGE(OFFSET($H$3,0,0,'Données projet'!$E$9+1,1))</f>
        <v>199.01551760562705</v>
      </c>
      <c r="T13" s="59">
        <f t="shared" si="34"/>
        <v>269.50915104901367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5.3</v>
      </c>
      <c r="AI13" s="13">
        <f>IF('Données projet'!$A$62&gt;35,AI12+AH13-AQ12,IF(A13&lt;'Données projet'!$A$62,$AF$205^A13,IF(A13='Données projet'!$A$62,'Données projet'!$B$62,AI12+AH13-AQ12)))</f>
        <v>10.295630140986994</v>
      </c>
      <c r="AJ13" s="13">
        <f>AI13*VLOOKUP('Données projet'!$B$10,Paramètres!$A$1:$I$89,3,0)*VLOOKUP('Données projet'!$B$10,Paramètres!$A$1:$I$89,5,0)</f>
        <v>6.1567868243102231</v>
      </c>
      <c r="AK13" s="13">
        <f t="shared" si="35"/>
        <v>2.2962827445602421</v>
      </c>
      <c r="AL13" s="20">
        <f t="shared" si="4"/>
        <v>14.722429499116059</v>
      </c>
      <c r="AM13" s="59">
        <f t="shared" si="5"/>
        <v>308.05576283244937</v>
      </c>
      <c r="AN13" s="59">
        <f ca="1">AVERAGE(OFFSET($AM$3,0,0,'Données projet'!$E$10+1,1))-AVERAGE(OFFSET($H$3,0,0,'Données projet'!$E$10+1,1))</f>
        <v>316.58509520829671</v>
      </c>
      <c r="AO13" s="59">
        <f t="shared" si="36"/>
        <v>240.71332110643596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15.116400000000001</v>
      </c>
      <c r="BF13" s="13">
        <f t="shared" si="37"/>
        <v>5.0782333044806913</v>
      </c>
      <c r="BG13" s="20">
        <f t="shared" si="7"/>
        <v>35.172319671970541</v>
      </c>
      <c r="BH13" s="59">
        <f t="shared" si="8"/>
        <v>328.50565300530388</v>
      </c>
      <c r="BI13" s="59">
        <f ca="1">AVERAGE(OFFSET($BH$3,0,0,'Données projet'!$E$11+1,1))-AVERAGE(OFFSET($H$3,0,0,'Données projet'!$E$11+1,1))</f>
        <v>314.94704727988847</v>
      </c>
      <c r="BJ13" s="59">
        <f t="shared" si="38"/>
        <v>366.49199094166454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0.81253568788100472</v>
      </c>
      <c r="BR13" s="21">
        <f>EXP(-LN(2)/2)*BR12+(1-EXP(-LN(2)/2))/(LN(2)/2)*BL13*BO13*VLOOKUP('Données projet'!$B$11,Paramètres!$A$1:$I$89,3,0)*0.475*44/12</f>
        <v>1.3136725232050821</v>
      </c>
      <c r="BS13" s="22">
        <f t="shared" si="9"/>
        <v>2.1262082110860869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15.116400000000001</v>
      </c>
      <c r="CA13" s="13">
        <f t="shared" si="39"/>
        <v>5.0782333044806913</v>
      </c>
      <c r="CB13" s="20">
        <f t="shared" si="10"/>
        <v>35.172319671970541</v>
      </c>
      <c r="CC13" s="59">
        <f t="shared" si="11"/>
        <v>328.50565300530388</v>
      </c>
      <c r="CD13" s="59">
        <f ca="1">AVERAGE(OFFSET($CC$3,0,0,'Données projet'!$E$12+1,1))-AVERAGE(OFFSET($H$3,0,0,'Données projet'!$E$12+1,1))</f>
        <v>314.94704727988847</v>
      </c>
      <c r="CE13" s="59">
        <f t="shared" si="40"/>
        <v>366.49199094166454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0.13250000000000001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0.81253568788100472</v>
      </c>
      <c r="CM13" s="21">
        <f>EXP(-LN(2)/2)*CM12+(1-EXP(-LN(2)/2))/(LN(2)/2)*CG13*CJ13*VLOOKUP('Données projet'!$B$12,Paramètres!$A$1:$I$89,3,0)*0.475*44/12</f>
        <v>1.3136725232050821</v>
      </c>
      <c r="CN13" s="22">
        <f t="shared" si="12"/>
        <v>2.1262082110860869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4.0628205128205126</v>
      </c>
      <c r="CT13" s="12">
        <f>IF('Données projet'!$A$140&gt;35,CT12+CS13-DB12,IF(A13&lt;'Données projet'!$A$140,$CQ$205^A13,IF(A13='Données projet'!$A$140,'Données projet'!$B$140,CT12+CS13-DB12)))</f>
        <v>4.9581115906815549</v>
      </c>
      <c r="CU13" s="17">
        <f>CT13*VLOOKUP('Données projet'!$B$13,Paramètres!$A$1:$I$89,3,0)*VLOOKUP('Données projet'!$B$13,Paramètres!$A$1:$I$89,5,0)</f>
        <v>4.4860993672486709</v>
      </c>
      <c r="CV13" s="13">
        <f t="shared" si="41"/>
        <v>1.7359747946502311</v>
      </c>
      <c r="CW13" s="20">
        <f t="shared" si="13"/>
        <v>10.836779165307254</v>
      </c>
      <c r="CX13" s="59">
        <f t="shared" si="14"/>
        <v>304.17011249864055</v>
      </c>
      <c r="CY13" s="59">
        <f ca="1">AVERAGE(OFFSET($CX$3,0,0,'Données projet'!$E$13+1,1))-AVERAGE(OFFSET($H$3,0,0,'Données projet'!$E$13+1,1))</f>
        <v>221.7429870520005</v>
      </c>
      <c r="CZ13" s="59">
        <f t="shared" si="42"/>
        <v>182.2029938397186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12.127198489770468</v>
      </c>
      <c r="P14" s="13">
        <f t="shared" si="33"/>
        <v>4.1798705330245944</v>
      </c>
      <c r="Q14" s="20">
        <f t="shared" si="2"/>
        <v>28.401478548034731</v>
      </c>
      <c r="R14" s="59">
        <f t="shared" si="0"/>
        <v>321.73481188136805</v>
      </c>
      <c r="S14" s="59">
        <f ca="1">AVERAGE(OFFSET($R$3,0,0,'Données projet'!$E$9+1,1))-AVERAGE(OFFSET($H$3,0,0,'Données projet'!$E$9+1,1))</f>
        <v>199.01551760562705</v>
      </c>
      <c r="T14" s="59">
        <f t="shared" si="34"/>
        <v>269.50915104901367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5.3</v>
      </c>
      <c r="AI14" s="13">
        <f>IF('Données projet'!$A$62&gt;35,AI13+AH14-AQ13,IF(A14&lt;'Données projet'!$A$62,$AF$205^A14,IF(A14='Données projet'!$A$62,'Données projet'!$B$62,AI13+AH14-AQ13)))</f>
        <v>12.999247897658208</v>
      </c>
      <c r="AJ14" s="13">
        <f>AI14*VLOOKUP('Données projet'!$B$10,Paramètres!$A$1:$I$89,3,0)*VLOOKUP('Données projet'!$B$10,Paramètres!$A$1:$I$89,5,0)</f>
        <v>7.7735502427996082</v>
      </c>
      <c r="AK14" s="13">
        <f t="shared" si="35"/>
        <v>2.8216515135722404</v>
      </c>
      <c r="AL14" s="20">
        <f t="shared" si="4"/>
        <v>18.453309725680967</v>
      </c>
      <c r="AM14" s="59">
        <f t="shared" si="5"/>
        <v>311.7866430590143</v>
      </c>
      <c r="AN14" s="59">
        <f ca="1">AVERAGE(OFFSET($AM$3,0,0,'Données projet'!$E$10+1,1))-AVERAGE(OFFSET($H$3,0,0,'Données projet'!$E$10+1,1))</f>
        <v>316.58509520829671</v>
      </c>
      <c r="AO14" s="59">
        <f t="shared" si="36"/>
        <v>240.71332110643596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15.3</v>
      </c>
      <c r="BD14" s="12">
        <f>IF('Données projet'!$A$88&gt;35,BD13+BC14-BL13,IF(A14&lt;'Données projet'!$A$88,$BA$205^A14,IF(A14='Données projet'!$A$88,'Données projet'!$B$88,BD13+BC14-BL13)))</f>
        <v>27.299999999999997</v>
      </c>
      <c r="BE14" s="13">
        <f>BD14*VLOOKUP('Données projet'!$B$11,Paramètres!$A$1:$I$89,3,0)*VLOOKUP('Données projet'!$B$11,Paramètres!$A$1:$I$89,5,0)</f>
        <v>21.719879999999996</v>
      </c>
      <c r="BF14" s="13">
        <f t="shared" si="37"/>
        <v>6.9951862537362919</v>
      </c>
      <c r="BG14" s="20">
        <f t="shared" si="7"/>
        <v>50.012073725257359</v>
      </c>
      <c r="BH14" s="59">
        <f t="shared" si="8"/>
        <v>343.34540705859069</v>
      </c>
      <c r="BI14" s="59">
        <f ca="1">AVERAGE(OFFSET($BH$3,0,0,'Données projet'!$E$11+1,1))-AVERAGE(OFFSET($H$3,0,0,'Données projet'!$E$11+1,1))</f>
        <v>314.94704727988847</v>
      </c>
      <c r="BJ14" s="59">
        <f t="shared" si="38"/>
        <v>366.49199094166454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0.79031685676650387</v>
      </c>
      <c r="BR14" s="21">
        <f>EXP(-LN(2)/2)*BR13+(1-EXP(-LN(2)/2))/(LN(2)/2)*BL14*BO14*VLOOKUP('Données projet'!$B$11,Paramètres!$A$1:$I$89,3,0)*0.475*44/12</f>
        <v>0.92890674941675577</v>
      </c>
      <c r="BS14" s="22">
        <f t="shared" si="9"/>
        <v>1.7192236061832595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15.3</v>
      </c>
      <c r="BY14" s="12">
        <f>IF('Données projet'!$A$114&gt;35,BY13+BX14-CG13,IF(A14&lt;'Données projet'!$A$114,$BV$205^A14,IF(A14='Données projet'!$A$114,'Données projet'!$B$114,BY13+BX14-CG13)))</f>
        <v>27.299999999999997</v>
      </c>
      <c r="BZ14" s="13">
        <f>BY14*VLOOKUP('Données projet'!$B$12,Paramètres!$A$1:$I$89,3,0)*VLOOKUP('Données projet'!$B$12,Paramètres!$A$1:$I$89,5,0)</f>
        <v>21.719879999999996</v>
      </c>
      <c r="CA14" s="13">
        <f t="shared" si="39"/>
        <v>6.9951862537362919</v>
      </c>
      <c r="CB14" s="20">
        <f t="shared" si="10"/>
        <v>50.012073725257359</v>
      </c>
      <c r="CC14" s="59">
        <f t="shared" si="11"/>
        <v>343.34540705859069</v>
      </c>
      <c r="CD14" s="59">
        <f ca="1">AVERAGE(OFFSET($CC$3,0,0,'Données projet'!$E$12+1,1))-AVERAGE(OFFSET($H$3,0,0,'Données projet'!$E$12+1,1))</f>
        <v>314.94704727988847</v>
      </c>
      <c r="CE14" s="59">
        <f t="shared" si="40"/>
        <v>366.49199094166454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0.79031685676650387</v>
      </c>
      <c r="CM14" s="21">
        <f>EXP(-LN(2)/2)*CM13+(1-EXP(-LN(2)/2))/(LN(2)/2)*CG14*CJ14*VLOOKUP('Données projet'!$B$12,Paramètres!$A$1:$I$89,3,0)*0.475*44/12</f>
        <v>0.92890674941675577</v>
      </c>
      <c r="CN14" s="22">
        <f t="shared" si="12"/>
        <v>1.7192236061832595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4.0628205128205126</v>
      </c>
      <c r="CT14" s="12">
        <f>IF('Données projet'!$A$140&gt;35,CT13+CS14-DB13,IF(A14&lt;'Données projet'!$A$140,$CQ$205^A14,IF(A14='Données projet'!$A$140,'Données projet'!$B$140,CT13+CS14-DB13)))</f>
        <v>5.8189942330107201</v>
      </c>
      <c r="CU14" s="17">
        <f>CT14*VLOOKUP('Données projet'!$B$13,Paramètres!$A$1:$I$89,3,0)*VLOOKUP('Données projet'!$B$13,Paramètres!$A$1:$I$89,5,0)</f>
        <v>5.2650259820280993</v>
      </c>
      <c r="CV14" s="13">
        <f t="shared" si="41"/>
        <v>1.9997769726555885</v>
      </c>
      <c r="CW14" s="20">
        <f t="shared" si="13"/>
        <v>12.65286514607409</v>
      </c>
      <c r="CX14" s="59">
        <f t="shared" si="14"/>
        <v>305.98619847940739</v>
      </c>
      <c r="CY14" s="59">
        <f ca="1">AVERAGE(OFFSET($CX$3,0,0,'Données projet'!$E$13+1,1))-AVERAGE(OFFSET($H$3,0,0,'Données projet'!$E$13+1,1))</f>
        <v>221.7429870520005</v>
      </c>
      <c r="CZ14" s="59">
        <f t="shared" si="42"/>
        <v>182.2029938397186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16.344590321674012</v>
      </c>
      <c r="P15" s="13">
        <f t="shared" si="33"/>
        <v>5.4411333060035529</v>
      </c>
      <c r="Q15" s="20">
        <f t="shared" si="2"/>
        <v>37.943468651538424</v>
      </c>
      <c r="R15" s="59">
        <f t="shared" si="0"/>
        <v>331.27680198487172</v>
      </c>
      <c r="S15" s="59">
        <f ca="1">AVERAGE(OFFSET($R$3,0,0,'Données projet'!$E$9+1,1))-AVERAGE(OFFSET($H$3,0,0,'Données projet'!$E$9+1,1))</f>
        <v>199.01551760562705</v>
      </c>
      <c r="T15" s="59">
        <f t="shared" si="34"/>
        <v>269.50915104901367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5.3</v>
      </c>
      <c r="AI15" s="13">
        <f>IF('Données projet'!$A$62&gt;35,AI14+AH15-AQ14,IF(A15&lt;'Données projet'!$A$62,$AF$205^A15,IF(A15='Données projet'!$A$62,'Données projet'!$B$62,AI14+AH15-AQ14)))</f>
        <v>16.412831812213092</v>
      </c>
      <c r="AJ15" s="13">
        <f>AI15*VLOOKUP('Données projet'!$B$10,Paramètres!$A$1:$I$89,3,0)*VLOOKUP('Données projet'!$B$10,Paramètres!$A$1:$I$89,5,0)</f>
        <v>9.8148734237034301</v>
      </c>
      <c r="AK15" s="13">
        <f t="shared" si="35"/>
        <v>3.4672199157117518</v>
      </c>
      <c r="AL15" s="20">
        <f t="shared" si="4"/>
        <v>23.132979232814776</v>
      </c>
      <c r="AM15" s="59">
        <f t="shared" si="5"/>
        <v>316.46631256614808</v>
      </c>
      <c r="AN15" s="59">
        <f ca="1">AVERAGE(OFFSET($AM$3,0,0,'Données projet'!$E$10+1,1))-AVERAGE(OFFSET($H$3,0,0,'Données projet'!$E$10+1,1))</f>
        <v>316.58509520829671</v>
      </c>
      <c r="AO15" s="59">
        <f t="shared" si="36"/>
        <v>240.71332110643596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15.3</v>
      </c>
      <c r="BD15" s="12">
        <f>IF('Données projet'!$A$88&gt;35,BD14+BC15-BL14,IF(A15&lt;'Données projet'!$A$88,$BA$205^A15,IF(A15='Données projet'!$A$88,'Données projet'!$B$88,BD14+BC15-BL14)))</f>
        <v>42.599999999999994</v>
      </c>
      <c r="BE15" s="13">
        <f>BD15*VLOOKUP('Données projet'!$B$11,Paramètres!$A$1:$I$89,3,0)*VLOOKUP('Données projet'!$B$11,Paramètres!$A$1:$I$89,5,0)</f>
        <v>33.892560000000003</v>
      </c>
      <c r="BF15" s="13">
        <f t="shared" si="37"/>
        <v>10.364593873146402</v>
      </c>
      <c r="BG15" s="20">
        <f t="shared" si="7"/>
        <v>77.08120966239666</v>
      </c>
      <c r="BH15" s="59">
        <f t="shared" si="8"/>
        <v>370.41454299572996</v>
      </c>
      <c r="BI15" s="59">
        <f ca="1">AVERAGE(OFFSET($BH$3,0,0,'Données projet'!$E$11+1,1))-AVERAGE(OFFSET($H$3,0,0,'Données projet'!$E$11+1,1))</f>
        <v>314.94704727988847</v>
      </c>
      <c r="BJ15" s="59">
        <f t="shared" si="38"/>
        <v>366.49199094166454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0.76870560075726657</v>
      </c>
      <c r="BR15" s="21">
        <f>EXP(-LN(2)/2)*BR14+(1-EXP(-LN(2)/2))/(LN(2)/2)*BL15*BO15*VLOOKUP('Données projet'!$B$11,Paramètres!$A$1:$I$89,3,0)*0.475*44/12</f>
        <v>0.65683626160254105</v>
      </c>
      <c r="BS15" s="22">
        <f t="shared" si="9"/>
        <v>1.4255418623598075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15.3</v>
      </c>
      <c r="BY15" s="12">
        <f>IF('Données projet'!$A$114&gt;35,BY14+BX15-CG14,IF(A15&lt;'Données projet'!$A$114,$BV$205^A15,IF(A15='Données projet'!$A$114,'Données projet'!$B$114,BY14+BX15-CG14)))</f>
        <v>42.599999999999994</v>
      </c>
      <c r="BZ15" s="13">
        <f>BY15*VLOOKUP('Données projet'!$B$12,Paramètres!$A$1:$I$89,3,0)*VLOOKUP('Données projet'!$B$12,Paramètres!$A$1:$I$89,5,0)</f>
        <v>33.892560000000003</v>
      </c>
      <c r="CA15" s="13">
        <f t="shared" si="39"/>
        <v>10.364593873146402</v>
      </c>
      <c r="CB15" s="20">
        <f t="shared" si="10"/>
        <v>77.08120966239666</v>
      </c>
      <c r="CC15" s="59">
        <f t="shared" si="11"/>
        <v>370.41454299572996</v>
      </c>
      <c r="CD15" s="59">
        <f ca="1">AVERAGE(OFFSET($CC$3,0,0,'Données projet'!$E$12+1,1))-AVERAGE(OFFSET($H$3,0,0,'Données projet'!$E$12+1,1))</f>
        <v>314.94704727988847</v>
      </c>
      <c r="CE15" s="59">
        <f t="shared" si="40"/>
        <v>366.49199094166454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0.76870560075726657</v>
      </c>
      <c r="CM15" s="21">
        <f>EXP(-LN(2)/2)*CM14+(1-EXP(-LN(2)/2))/(LN(2)/2)*CG15*CJ15*VLOOKUP('Données projet'!$B$12,Paramètres!$A$1:$I$89,3,0)*0.475*44/12</f>
        <v>0.65683626160254105</v>
      </c>
      <c r="CN15" s="22">
        <f t="shared" si="12"/>
        <v>1.4255418623598075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4.0628205128205126</v>
      </c>
      <c r="CT15" s="12">
        <f>IF('Données projet'!$A$140&gt;35,CT14+CS15-DB14,IF(A15&lt;'Données projet'!$A$140,$CQ$205^A15,IF(A15='Données projet'!$A$140,'Données projet'!$B$140,CT14+CS15-DB14)))</f>
        <v>6.8293529228851897</v>
      </c>
      <c r="CU15" s="17">
        <f>CT15*VLOOKUP('Données projet'!$B$13,Paramètres!$A$1:$I$89,3,0)*VLOOKUP('Données projet'!$B$13,Paramètres!$A$1:$I$89,5,0)</f>
        <v>6.1791985246265195</v>
      </c>
      <c r="CV15" s="13">
        <f t="shared" si="41"/>
        <v>2.3036670536275285</v>
      </c>
      <c r="CW15" s="20">
        <f t="shared" si="13"/>
        <v>14.774324215459131</v>
      </c>
      <c r="CX15" s="59">
        <f t="shared" si="14"/>
        <v>308.10765754879242</v>
      </c>
      <c r="CY15" s="59">
        <f ca="1">AVERAGE(OFFSET($CX$3,0,0,'Données projet'!$E$13+1,1))-AVERAGE(OFFSET($H$3,0,0,'Données projet'!$E$13+1,1))</f>
        <v>221.7429870520005</v>
      </c>
      <c r="CZ15" s="59">
        <f t="shared" si="42"/>
        <v>182.2029938397186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22.028635303421677</v>
      </c>
      <c r="P16" s="13">
        <f t="shared" si="33"/>
        <v>7.0829781496313515</v>
      </c>
      <c r="Q16" s="20">
        <f t="shared" si="2"/>
        <v>50.702726764067357</v>
      </c>
      <c r="R16" s="59">
        <f t="shared" si="0"/>
        <v>344.03606009740065</v>
      </c>
      <c r="S16" s="59">
        <f ca="1">AVERAGE(OFFSET($R$3,0,0,'Données projet'!$E$9+1,1))-AVERAGE(OFFSET($H$3,0,0,'Données projet'!$E$9+1,1))</f>
        <v>199.01551760562705</v>
      </c>
      <c r="T16" s="59">
        <f t="shared" si="34"/>
        <v>269.50915104901367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5.3</v>
      </c>
      <c r="AI16" s="13">
        <f>IF('Données projet'!$A$62&gt;35,AI15+AH16-AQ15,IF(A16&lt;'Données projet'!$A$62,$AF$205^A16,IF(A16='Données projet'!$A$62,'Données projet'!$B$62,AI15+AH16-AQ15)))</f>
        <v>20.722817982763658</v>
      </c>
      <c r="AJ16" s="13">
        <f>AI16*VLOOKUP('Données projet'!$B$10,Paramètres!$A$1:$I$89,3,0)*VLOOKUP('Données projet'!$B$10,Paramètres!$A$1:$I$89,5,0)</f>
        <v>12.392245153692668</v>
      </c>
      <c r="AK16" s="13">
        <f t="shared" si="35"/>
        <v>4.2604885422894494</v>
      </c>
      <c r="AL16" s="20">
        <f t="shared" si="4"/>
        <v>29.003511187168854</v>
      </c>
      <c r="AM16" s="59">
        <f t="shared" si="5"/>
        <v>322.33684452050215</v>
      </c>
      <c r="AN16" s="59">
        <f ca="1">AVERAGE(OFFSET($AM$3,0,0,'Données projet'!$E$10+1,1))-AVERAGE(OFFSET($H$3,0,0,'Données projet'!$E$10+1,1))</f>
        <v>316.58509520829671</v>
      </c>
      <c r="AO16" s="59">
        <f t="shared" si="36"/>
        <v>240.71332110643596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15.3</v>
      </c>
      <c r="BD16" s="12">
        <f>IF('Données projet'!$A$88&gt;35,BD15+BC16-BL15,IF(A16&lt;'Données projet'!$A$88,$BA$205^A16,IF(A16='Données projet'!$A$88,'Données projet'!$B$88,BD15+BC16-BL15)))</f>
        <v>57.899999999999991</v>
      </c>
      <c r="BE16" s="13">
        <f>BD16*VLOOKUP('Données projet'!$B$11,Paramètres!$A$1:$I$89,3,0)*VLOOKUP('Données projet'!$B$11,Paramètres!$A$1:$I$89,5,0)</f>
        <v>46.065239999999996</v>
      </c>
      <c r="BF16" s="13">
        <f t="shared" si="37"/>
        <v>13.592794353923109</v>
      </c>
      <c r="BG16" s="20">
        <f t="shared" si="7"/>
        <v>103.90440983308274</v>
      </c>
      <c r="BH16" s="59">
        <f t="shared" si="8"/>
        <v>397.23774316641607</v>
      </c>
      <c r="BI16" s="59">
        <f ca="1">AVERAGE(OFFSET($BH$3,0,0,'Données projet'!$E$11+1,1))-AVERAGE(OFFSET($H$3,0,0,'Données projet'!$E$11+1,1))</f>
        <v>314.94704727988847</v>
      </c>
      <c r="BJ16" s="59">
        <f t="shared" si="38"/>
        <v>366.49199094166454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0.74768530568008851</v>
      </c>
      <c r="BR16" s="21">
        <f>EXP(-LN(2)/2)*BR15+(1-EXP(-LN(2)/2))/(LN(2)/2)*BL16*BO16*VLOOKUP('Données projet'!$B$11,Paramètres!$A$1:$I$89,3,0)*0.475*44/12</f>
        <v>0.46445337470837789</v>
      </c>
      <c r="BS16" s="22">
        <f t="shared" si="9"/>
        <v>1.2121386803884664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15.3</v>
      </c>
      <c r="BY16" s="12">
        <f>IF('Données projet'!$A$114&gt;35,BY15+BX16-CG15,IF(A16&lt;'Données projet'!$A$114,$BV$205^A16,IF(A16='Données projet'!$A$114,'Données projet'!$B$114,BY15+BX16-CG15)))</f>
        <v>57.899999999999991</v>
      </c>
      <c r="BZ16" s="13">
        <f>BY16*VLOOKUP('Données projet'!$B$12,Paramètres!$A$1:$I$89,3,0)*VLOOKUP('Données projet'!$B$12,Paramètres!$A$1:$I$89,5,0)</f>
        <v>46.065239999999996</v>
      </c>
      <c r="CA16" s="13">
        <f t="shared" si="39"/>
        <v>13.592794353923109</v>
      </c>
      <c r="CB16" s="20">
        <f t="shared" si="10"/>
        <v>103.90440983308274</v>
      </c>
      <c r="CC16" s="59">
        <f t="shared" si="11"/>
        <v>397.23774316641607</v>
      </c>
      <c r="CD16" s="59">
        <f ca="1">AVERAGE(OFFSET($CC$3,0,0,'Données projet'!$E$12+1,1))-AVERAGE(OFFSET($H$3,0,0,'Données projet'!$E$12+1,1))</f>
        <v>314.94704727988847</v>
      </c>
      <c r="CE16" s="59">
        <f t="shared" si="40"/>
        <v>366.49199094166454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0.74768530568008851</v>
      </c>
      <c r="CM16" s="21">
        <f>EXP(-LN(2)/2)*CM15+(1-EXP(-LN(2)/2))/(LN(2)/2)*CG16*CJ16*VLOOKUP('Données projet'!$B$12,Paramètres!$A$1:$I$89,3,0)*0.475*44/12</f>
        <v>0.46445337470837789</v>
      </c>
      <c r="CN16" s="22">
        <f t="shared" si="12"/>
        <v>1.2121386803884664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4.0628205128205126</v>
      </c>
      <c r="CT16" s="12">
        <f>IF('Données projet'!$A$140&gt;35,CT15+CS16-DB15,IF(A16&lt;'Données projet'!$A$140,$CQ$205^A16,IF(A16='Données projet'!$A$140,'Données projet'!$B$140,CT15+CS16-DB15)))</f>
        <v>8.0151413590917304</v>
      </c>
      <c r="CU16" s="17">
        <f>CT16*VLOOKUP('Données projet'!$B$13,Paramètres!$A$1:$I$89,3,0)*VLOOKUP('Données projet'!$B$13,Paramètres!$A$1:$I$89,5,0)</f>
        <v>7.2520999017061971</v>
      </c>
      <c r="CV16" s="13">
        <f t="shared" si="41"/>
        <v>2.6537368749284589</v>
      </c>
      <c r="CW16" s="20">
        <f t="shared" si="13"/>
        <v>17.252665719305359</v>
      </c>
      <c r="CX16" s="59">
        <f t="shared" si="14"/>
        <v>310.58599905263867</v>
      </c>
      <c r="CY16" s="59">
        <f ca="1">AVERAGE(OFFSET($CX$3,0,0,'Données projet'!$E$13+1,1))-AVERAGE(OFFSET($H$3,0,0,'Données projet'!$E$13+1,1))</f>
        <v>221.7429870520005</v>
      </c>
      <c r="CZ16" s="59">
        <f t="shared" si="42"/>
        <v>182.2029938397186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29.689381243631903</v>
      </c>
      <c r="P17" s="13">
        <f t="shared" si="33"/>
        <v>9.2202445054600943</v>
      </c>
      <c r="Q17" s="20">
        <f t="shared" si="2"/>
        <v>67.767598179668553</v>
      </c>
      <c r="R17" s="59">
        <f t="shared" si="0"/>
        <v>361.10093151300185</v>
      </c>
      <c r="S17" s="59">
        <f ca="1">AVERAGE(OFFSET($R$3,0,0,'Données projet'!$E$9+1,1))-AVERAGE(OFFSET($H$3,0,0,'Données projet'!$E$9+1,1))</f>
        <v>199.01551760562705</v>
      </c>
      <c r="T17" s="59">
        <f t="shared" si="34"/>
        <v>269.50915104901367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5.3</v>
      </c>
      <c r="AI17" s="13">
        <f>IF('Données projet'!$A$62&gt;35,AI16+AH17-AQ16,IF(A17&lt;'Données projet'!$A$62,$AF$205^A17,IF(A17='Données projet'!$A$62,'Données projet'!$B$62,AI16+AH17-AQ16)))</f>
        <v>26.164600360262149</v>
      </c>
      <c r="AJ17" s="13">
        <f>AI17*VLOOKUP('Données projet'!$B$10,Paramètres!$A$1:$I$89,3,0)*VLOOKUP('Données projet'!$B$10,Paramètres!$A$1:$I$89,5,0)</f>
        <v>15.646431015436765</v>
      </c>
      <c r="AK17" s="13">
        <f t="shared" si="35"/>
        <v>5.235249871727123</v>
      </c>
      <c r="AL17" s="20">
        <f t="shared" si="4"/>
        <v>36.368927545143769</v>
      </c>
      <c r="AM17" s="59">
        <f t="shared" si="5"/>
        <v>329.70226087847709</v>
      </c>
      <c r="AN17" s="59">
        <f ca="1">AVERAGE(OFFSET($AM$3,0,0,'Données projet'!$E$10+1,1))-AVERAGE(OFFSET($H$3,0,0,'Données projet'!$E$10+1,1))</f>
        <v>316.58509520829671</v>
      </c>
      <c r="AO17" s="59">
        <f t="shared" si="36"/>
        <v>240.71332110643596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15.3</v>
      </c>
      <c r="BD17" s="12">
        <f>IF('Données projet'!$A$88&gt;35,BD16+BC17-BL16,IF(A17&lt;'Données projet'!$A$88,$BA$205^A17,IF(A17='Données projet'!$A$88,'Données projet'!$B$88,BD16+BC17-BL16)))</f>
        <v>73.199999999999989</v>
      </c>
      <c r="BE17" s="13">
        <f>BD17*VLOOKUP('Données projet'!$B$11,Paramètres!$A$1:$I$89,3,0)*VLOOKUP('Données projet'!$B$11,Paramètres!$A$1:$I$89,5,0)</f>
        <v>58.237919999999995</v>
      </c>
      <c r="BF17" s="13">
        <f t="shared" si="37"/>
        <v>16.72198997753117</v>
      </c>
      <c r="BG17" s="20">
        <f t="shared" si="7"/>
        <v>130.55517654420012</v>
      </c>
      <c r="BH17" s="59">
        <f t="shared" si="8"/>
        <v>423.88850987753347</v>
      </c>
      <c r="BI17" s="59">
        <f ca="1">AVERAGE(OFFSET($BH$3,0,0,'Données projet'!$E$11+1,1))-AVERAGE(OFFSET($H$3,0,0,'Données projet'!$E$11+1,1))</f>
        <v>314.94704727988847</v>
      </c>
      <c r="BJ17" s="59">
        <f t="shared" si="38"/>
        <v>366.49199094166454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0.72723981167720508</v>
      </c>
      <c r="BR17" s="21">
        <f>EXP(-LN(2)/2)*BR16+(1-EXP(-LN(2)/2))/(LN(2)/2)*BL17*BO17*VLOOKUP('Données projet'!$B$11,Paramètres!$A$1:$I$89,3,0)*0.475*44/12</f>
        <v>0.32841813080127052</v>
      </c>
      <c r="BS17" s="22">
        <f t="shared" si="9"/>
        <v>1.0556579424784756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15.3</v>
      </c>
      <c r="BY17" s="12">
        <f>IF('Données projet'!$A$114&gt;35,BY16+BX17-CG16,IF(A17&lt;'Données projet'!$A$114,$BV$205^A17,IF(A17='Données projet'!$A$114,'Données projet'!$B$114,BY16+BX17-CG16)))</f>
        <v>73.199999999999989</v>
      </c>
      <c r="BZ17" s="13">
        <f>BY17*VLOOKUP('Données projet'!$B$12,Paramètres!$A$1:$I$89,3,0)*VLOOKUP('Données projet'!$B$12,Paramètres!$A$1:$I$89,5,0)</f>
        <v>58.237919999999995</v>
      </c>
      <c r="CA17" s="13">
        <f t="shared" si="39"/>
        <v>16.72198997753117</v>
      </c>
      <c r="CB17" s="20">
        <f t="shared" si="10"/>
        <v>130.55517654420012</v>
      </c>
      <c r="CC17" s="59">
        <f t="shared" si="11"/>
        <v>423.88850987753347</v>
      </c>
      <c r="CD17" s="59">
        <f ca="1">AVERAGE(OFFSET($CC$3,0,0,'Données projet'!$E$12+1,1))-AVERAGE(OFFSET($H$3,0,0,'Données projet'!$E$12+1,1))</f>
        <v>314.94704727988847</v>
      </c>
      <c r="CE17" s="59">
        <f t="shared" si="40"/>
        <v>366.49199094166454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0.72723981167720508</v>
      </c>
      <c r="CM17" s="21">
        <f>EXP(-LN(2)/2)*CM16+(1-EXP(-LN(2)/2))/(LN(2)/2)*CG17*CJ17*VLOOKUP('Données projet'!$B$12,Paramètres!$A$1:$I$89,3,0)*0.475*44/12</f>
        <v>0.32841813080127052</v>
      </c>
      <c r="CN17" s="22">
        <f t="shared" si="12"/>
        <v>1.0556579424784756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4.0628205128205126</v>
      </c>
      <c r="CT17" s="12">
        <f>IF('Données projet'!$A$140&gt;35,CT16+CS17-DB16,IF(A17&lt;'Données projet'!$A$140,$CQ$205^A17,IF(A17='Données projet'!$A$140,'Données projet'!$B$140,CT16+CS17-DB16)))</f>
        <v>9.4068196111151305</v>
      </c>
      <c r="CU17" s="17">
        <f>CT17*VLOOKUP('Données projet'!$B$13,Paramètres!$A$1:$I$89,3,0)*VLOOKUP('Données projet'!$B$13,Paramètres!$A$1:$I$89,5,0)</f>
        <v>8.51129038413697</v>
      </c>
      <c r="CV17" s="13">
        <f t="shared" si="41"/>
        <v>3.0570040016267526</v>
      </c>
      <c r="CW17" s="20">
        <f t="shared" si="13"/>
        <v>20.148112721871815</v>
      </c>
      <c r="CX17" s="59">
        <f t="shared" si="14"/>
        <v>313.48144605520514</v>
      </c>
      <c r="CY17" s="59">
        <f ca="1">AVERAGE(OFFSET($CX$3,0,0,'Données projet'!$E$13+1,1))-AVERAGE(OFFSET($H$3,0,0,'Données projet'!$E$13+1,1))</f>
        <v>221.7429870520005</v>
      </c>
      <c r="CZ17" s="59">
        <f t="shared" si="42"/>
        <v>182.2029938397186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40.014251744991469</v>
      </c>
      <c r="P18" s="13">
        <f t="shared" si="33"/>
        <v>12.002424254957178</v>
      </c>
      <c r="Q18" s="20">
        <f t="shared" si="2"/>
        <v>90.595710699910569</v>
      </c>
      <c r="R18" s="59">
        <f t="shared" si="0"/>
        <v>383.92904403324388</v>
      </c>
      <c r="S18" s="59">
        <f ca="1">AVERAGE(OFFSET($R$3,0,0,'Données projet'!$E$9+1,1))-AVERAGE(OFFSET($H$3,0,0,'Données projet'!$E$9+1,1))</f>
        <v>199.01551760562705</v>
      </c>
      <c r="T18" s="59">
        <f t="shared" si="34"/>
        <v>269.50915104901367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5.3</v>
      </c>
      <c r="AI18" s="13">
        <f>IF('Données projet'!$A$62&gt;35,AI17+AH18-AQ17,IF(A18&lt;'Données projet'!$A$62,$AF$205^A18,IF(A18='Données projet'!$A$62,'Données projet'!$B$62,AI17+AH18-AQ17)))</f>
        <v>33.035387010668124</v>
      </c>
      <c r="AJ18" s="13">
        <f>AI18*VLOOKUP('Données projet'!$B$10,Paramètres!$A$1:$I$89,3,0)*VLOOKUP('Données projet'!$B$10,Paramètres!$A$1:$I$89,5,0)</f>
        <v>19.755161432379541</v>
      </c>
      <c r="AK18" s="13">
        <f t="shared" si="35"/>
        <v>6.4330277965471954</v>
      </c>
      <c r="AL18" s="20">
        <f t="shared" si="4"/>
        <v>45.611096240380732</v>
      </c>
      <c r="AM18" s="59">
        <f t="shared" si="5"/>
        <v>338.94442957371405</v>
      </c>
      <c r="AN18" s="59">
        <f ca="1">AVERAGE(OFFSET($AM$3,0,0,'Données projet'!$E$10+1,1))-AVERAGE(OFFSET($H$3,0,0,'Données projet'!$E$10+1,1))</f>
        <v>316.58509520829671</v>
      </c>
      <c r="AO18" s="59">
        <f t="shared" si="36"/>
        <v>240.71332110643596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15.3</v>
      </c>
      <c r="BD18" s="12">
        <f>IF('Données projet'!$A$88&gt;35,BD17+BC18-BL17,IF(A18&lt;'Données projet'!$A$88,$BA$205^A18,IF(A18='Données projet'!$A$88,'Données projet'!$B$88,BD17+BC18-BL17)))</f>
        <v>88.499999999999986</v>
      </c>
      <c r="BE18" s="13">
        <f>BD18*VLOOKUP('Données projet'!$B$11,Paramètres!$A$1:$I$89,3,0)*VLOOKUP('Données projet'!$B$11,Paramètres!$A$1:$I$89,5,0)</f>
        <v>70.410599999999988</v>
      </c>
      <c r="BF18" s="13">
        <f t="shared" si="37"/>
        <v>19.775389288717292</v>
      </c>
      <c r="BG18" s="20">
        <f t="shared" si="7"/>
        <v>157.07393134451593</v>
      </c>
      <c r="BH18" s="59">
        <f t="shared" si="8"/>
        <v>450.40726467784924</v>
      </c>
      <c r="BI18" s="59">
        <f ca="1">AVERAGE(OFFSET($BH$3,0,0,'Données projet'!$E$11+1,1))-AVERAGE(OFFSET($H$3,0,0,'Données projet'!$E$11+1,1))</f>
        <v>314.94704727988847</v>
      </c>
      <c r="BJ18" s="59">
        <f t="shared" si="38"/>
        <v>366.49199094166454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0.70735340078301234</v>
      </c>
      <c r="BR18" s="21">
        <f>EXP(-LN(2)/2)*BR17+(1-EXP(-LN(2)/2))/(LN(2)/2)*BL18*BO18*VLOOKUP('Données projet'!$B$11,Paramètres!$A$1:$I$89,3,0)*0.475*44/12</f>
        <v>0.23222668735418894</v>
      </c>
      <c r="BS18" s="22">
        <f t="shared" si="9"/>
        <v>0.93958008813720129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15.3</v>
      </c>
      <c r="BY18" s="12">
        <f>IF('Données projet'!$A$114&gt;35,BY17+BX18-CG17,IF(A18&lt;'Données projet'!$A$114,$BV$205^A18,IF(A18='Données projet'!$A$114,'Données projet'!$B$114,BY17+BX18-CG17)))</f>
        <v>88.499999999999986</v>
      </c>
      <c r="BZ18" s="13">
        <f>BY18*VLOOKUP('Données projet'!$B$12,Paramètres!$A$1:$I$89,3,0)*VLOOKUP('Données projet'!$B$12,Paramètres!$A$1:$I$89,5,0)</f>
        <v>70.410599999999988</v>
      </c>
      <c r="CA18" s="13">
        <f t="shared" si="39"/>
        <v>19.775389288717292</v>
      </c>
      <c r="CB18" s="20">
        <f t="shared" si="10"/>
        <v>157.07393134451593</v>
      </c>
      <c r="CC18" s="59">
        <f t="shared" si="11"/>
        <v>450.40726467784924</v>
      </c>
      <c r="CD18" s="59">
        <f ca="1">AVERAGE(OFFSET($CC$3,0,0,'Données projet'!$E$12+1,1))-AVERAGE(OFFSET($H$3,0,0,'Données projet'!$E$12+1,1))</f>
        <v>314.94704727988847</v>
      </c>
      <c r="CE18" s="59">
        <f t="shared" si="40"/>
        <v>366.49199094166454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0.70735340078301234</v>
      </c>
      <c r="CM18" s="21">
        <f>EXP(-LN(2)/2)*CM17+(1-EXP(-LN(2)/2))/(LN(2)/2)*CG18*CJ18*VLOOKUP('Données projet'!$B$12,Paramètres!$A$1:$I$89,3,0)*0.475*44/12</f>
        <v>0.23222668735418894</v>
      </c>
      <c r="CN18" s="22">
        <f t="shared" si="12"/>
        <v>0.93958008813720129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4.0628205128205126</v>
      </c>
      <c r="CT18" s="12">
        <f>IF('Données projet'!$A$140&gt;35,CT17+CS18-DB17,IF(A18&lt;'Données projet'!$A$140,$CQ$205^A18,IF(A18='Données projet'!$A$140,'Données projet'!$B$140,CT17+CS18-DB17)))</f>
        <v>11.040136565487554</v>
      </c>
      <c r="CU18" s="17">
        <f>CT18*VLOOKUP('Données projet'!$B$13,Paramètres!$A$1:$I$89,3,0)*VLOOKUP('Données projet'!$B$13,Paramètres!$A$1:$I$89,5,0)</f>
        <v>9.9891155644531384</v>
      </c>
      <c r="CV18" s="13">
        <f t="shared" si="41"/>
        <v>3.5215524019177353</v>
      </c>
      <c r="CW18" s="20">
        <f t="shared" si="13"/>
        <v>23.531080041429274</v>
      </c>
      <c r="CX18" s="59">
        <f t="shared" si="14"/>
        <v>316.86441337476259</v>
      </c>
      <c r="CY18" s="59">
        <f ca="1">AVERAGE(OFFSET($CX$3,0,0,'Données projet'!$E$13+1,1))-AVERAGE(OFFSET($H$3,0,0,'Données projet'!$E$13+1,1))</f>
        <v>221.7429870520005</v>
      </c>
      <c r="CZ18" s="59">
        <f t="shared" si="42"/>
        <v>182.2029938397186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53.929730955743075</v>
      </c>
      <c r="P19" s="13">
        <f t="shared" si="33"/>
        <v>15.624117984146219</v>
      </c>
      <c r="Q19" s="20">
        <f t="shared" si="2"/>
        <v>121.13962023697384</v>
      </c>
      <c r="R19" s="59">
        <f t="shared" si="0"/>
        <v>414.47295357030714</v>
      </c>
      <c r="S19" s="59">
        <f ca="1">AVERAGE(OFFSET($R$3,0,0,'Données projet'!$E$9+1,1))-AVERAGE(OFFSET($H$3,0,0,'Données projet'!$E$9+1,1))</f>
        <v>199.01551760562705</v>
      </c>
      <c r="T19" s="59">
        <f t="shared" si="34"/>
        <v>269.50915104901367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5.3</v>
      </c>
      <c r="AI19" s="13">
        <f>IF('Données projet'!$A$62&gt;35,AI18+AH19-AQ18,IF(A19&lt;'Données projet'!$A$62,$AF$205^A19,IF(A19='Données projet'!$A$62,'Données projet'!$B$62,AI18+AH19-AQ18)))</f>
        <v>41.710432413181543</v>
      </c>
      <c r="AJ19" s="13">
        <f>AI19*VLOOKUP('Données projet'!$B$10,Paramètres!$A$1:$I$89,3,0)*VLOOKUP('Données projet'!$B$10,Paramètres!$A$1:$I$89,5,0)</f>
        <v>24.942838583082565</v>
      </c>
      <c r="AK19" s="13">
        <f t="shared" si="35"/>
        <v>7.9048465011463138</v>
      </c>
      <c r="AL19" s="20">
        <f t="shared" si="4"/>
        <v>57.209718188365294</v>
      </c>
      <c r="AM19" s="59">
        <f t="shared" si="5"/>
        <v>350.5430515216986</v>
      </c>
      <c r="AN19" s="59">
        <f ca="1">AVERAGE(OFFSET($AM$3,0,0,'Données projet'!$E$10+1,1))-AVERAGE(OFFSET($H$3,0,0,'Données projet'!$E$10+1,1))</f>
        <v>316.58509520829671</v>
      </c>
      <c r="AO19" s="59">
        <f t="shared" si="36"/>
        <v>240.71332110643596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15.3</v>
      </c>
      <c r="BD19" s="12">
        <f>IF('Données projet'!$A$88&gt;35,BD18+BC19-BL18,IF(A19&lt;'Données projet'!$A$88,$BA$205^A19,IF(A19='Données projet'!$A$88,'Données projet'!$B$88,BD18+BC19-BL18)))</f>
        <v>103.79999999999998</v>
      </c>
      <c r="BE19" s="13">
        <f>BD19*VLOOKUP('Données projet'!$B$11,Paramètres!$A$1:$I$89,3,0)*VLOOKUP('Données projet'!$B$11,Paramètres!$A$1:$I$89,5,0)</f>
        <v>82.583280000000002</v>
      </c>
      <c r="BF19" s="13">
        <f t="shared" si="37"/>
        <v>22.767636507088277</v>
      </c>
      <c r="BG19" s="20">
        <f t="shared" si="7"/>
        <v>183.48617958317871</v>
      </c>
      <c r="BH19" s="59">
        <f t="shared" si="8"/>
        <v>476.81951291651205</v>
      </c>
      <c r="BI19" s="59">
        <f ca="1">AVERAGE(OFFSET($BH$3,0,0,'Données projet'!$E$11+1,1))-AVERAGE(OFFSET($H$3,0,0,'Données projet'!$E$11+1,1))</f>
        <v>314.94704727988847</v>
      </c>
      <c r="BJ19" s="59">
        <f t="shared" si="38"/>
        <v>366.49199094166454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0.68801078484050215</v>
      </c>
      <c r="BR19" s="21">
        <f>EXP(-LN(2)/2)*BR18+(1-EXP(-LN(2)/2))/(LN(2)/2)*BL19*BO19*VLOOKUP('Données projet'!$B$11,Paramètres!$A$1:$I$89,3,0)*0.475*44/12</f>
        <v>0.16420906540063526</v>
      </c>
      <c r="BS19" s="22">
        <f t="shared" si="9"/>
        <v>0.85221985024113744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15.3</v>
      </c>
      <c r="BY19" s="12">
        <f>IF('Données projet'!$A$114&gt;35,BY18+BX19-CG18,IF(A19&lt;'Données projet'!$A$114,$BV$205^A19,IF(A19='Données projet'!$A$114,'Données projet'!$B$114,BY18+BX19-CG18)))</f>
        <v>103.79999999999998</v>
      </c>
      <c r="BZ19" s="13">
        <f>BY19*VLOOKUP('Données projet'!$B$12,Paramètres!$A$1:$I$89,3,0)*VLOOKUP('Données projet'!$B$12,Paramètres!$A$1:$I$89,5,0)</f>
        <v>82.583280000000002</v>
      </c>
      <c r="CA19" s="13">
        <f t="shared" si="39"/>
        <v>22.767636507088277</v>
      </c>
      <c r="CB19" s="20">
        <f t="shared" si="10"/>
        <v>183.48617958317871</v>
      </c>
      <c r="CC19" s="59">
        <f t="shared" si="11"/>
        <v>476.81951291651205</v>
      </c>
      <c r="CD19" s="59">
        <f ca="1">AVERAGE(OFFSET($CC$3,0,0,'Données projet'!$E$12+1,1))-AVERAGE(OFFSET($H$3,0,0,'Données projet'!$E$12+1,1))</f>
        <v>314.94704727988847</v>
      </c>
      <c r="CE19" s="59">
        <f t="shared" si="40"/>
        <v>366.49199094166454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0.68801078484050215</v>
      </c>
      <c r="CM19" s="21">
        <f>EXP(-LN(2)/2)*CM18+(1-EXP(-LN(2)/2))/(LN(2)/2)*CG19*CJ19*VLOOKUP('Données projet'!$B$12,Paramètres!$A$1:$I$89,3,0)*0.475*44/12</f>
        <v>0.16420906540063526</v>
      </c>
      <c r="CN19" s="22">
        <f t="shared" si="12"/>
        <v>0.85221985024113744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4.0628205128205126</v>
      </c>
      <c r="CT19" s="12">
        <f>IF('Données projet'!$A$140&gt;35,CT18+CS19-DB18,IF(A19&lt;'Données projet'!$A$140,$CQ$205^A19,IF(A19='Données projet'!$A$140,'Données projet'!$B$140,CT18+CS19-DB18)))</f>
        <v>12.957048229201293</v>
      </c>
      <c r="CU19" s="17">
        <f>CT19*VLOOKUP('Données projet'!$B$13,Paramètres!$A$1:$I$89,3,0)*VLOOKUP('Données projet'!$B$13,Paramètres!$A$1:$I$89,5,0)</f>
        <v>11.723537237781329</v>
      </c>
      <c r="CV19" s="13">
        <f t="shared" si="41"/>
        <v>4.0566944998610817</v>
      </c>
      <c r="CW19" s="20">
        <f t="shared" si="13"/>
        <v>27.483903609727193</v>
      </c>
      <c r="CX19" s="59">
        <f t="shared" si="14"/>
        <v>320.81723694306049</v>
      </c>
      <c r="CY19" s="59">
        <f ca="1">AVERAGE(OFFSET($CX$3,0,0,'Données projet'!$E$13+1,1))-AVERAGE(OFFSET($H$3,0,0,'Données projet'!$E$13+1,1))</f>
        <v>221.7429870520005</v>
      </c>
      <c r="CZ19" s="59">
        <f t="shared" si="42"/>
        <v>182.2029938397186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72.6845</v>
      </c>
      <c r="P20" s="13">
        <f t="shared" si="33"/>
        <v>20.338646393181698</v>
      </c>
      <c r="Q20" s="20">
        <f t="shared" si="2"/>
        <v>162.01531330145809</v>
      </c>
      <c r="R20" s="59">
        <f t="shared" si="0"/>
        <v>455.34864663479141</v>
      </c>
      <c r="S20" s="59">
        <f ca="1">AVERAGE(OFFSET($R$3,0,0,'Données projet'!$E$9+1,1))-AVERAGE(OFFSET($H$3,0,0,'Données projet'!$E$9+1,1))</f>
        <v>199.01551760562705</v>
      </c>
      <c r="T20" s="59">
        <f t="shared" si="34"/>
        <v>269.50915104901367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5.3</v>
      </c>
      <c r="AI20" s="13">
        <f>IF('Données projet'!$A$62&gt;35,AI19+AH20-AQ19,IF(A20&lt;'Données projet'!$A$62,$AF$205^A20,IF(A20='Données projet'!$A$62,'Données projet'!$B$62,AI19+AH20-AQ19)))</f>
        <v>52.663532336786751</v>
      </c>
      <c r="AJ20" s="13">
        <f>AI20*VLOOKUP('Données projet'!$B$10,Paramètres!$A$1:$I$89,3,0)*VLOOKUP('Données projet'!$B$10,Paramètres!$A$1:$I$89,5,0)</f>
        <v>31.49279233739848</v>
      </c>
      <c r="AK20" s="13">
        <f t="shared" si="35"/>
        <v>9.7134040428402315</v>
      </c>
      <c r="AL20" s="20">
        <f t="shared" si="4"/>
        <v>71.76745869558242</v>
      </c>
      <c r="AM20" s="59">
        <f t="shared" si="5"/>
        <v>365.10079202891575</v>
      </c>
      <c r="AN20" s="59">
        <f ca="1">AVERAGE(OFFSET($AM$3,0,0,'Données projet'!$E$10+1,1))-AVERAGE(OFFSET($H$3,0,0,'Données projet'!$E$10+1,1))</f>
        <v>316.58509520829671</v>
      </c>
      <c r="AO20" s="59">
        <f t="shared" si="36"/>
        <v>240.71332110643596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15.3</v>
      </c>
      <c r="BD20" s="12">
        <f>IF('Données projet'!$A$88&gt;35,BD19+BC20-BL19,IF(A20&lt;'Données projet'!$A$88,$BA$205^A20,IF(A20='Données projet'!$A$88,'Données projet'!$B$88,BD19+BC20-BL19)))</f>
        <v>119.09999999999998</v>
      </c>
      <c r="BE20" s="13">
        <f>BD20*VLOOKUP('Données projet'!$B$11,Paramètres!$A$1:$I$89,3,0)*VLOOKUP('Données projet'!$B$11,Paramètres!$A$1:$I$89,5,0)</f>
        <v>94.755959999999988</v>
      </c>
      <c r="BF20" s="13">
        <f t="shared" si="37"/>
        <v>25.708787823615488</v>
      </c>
      <c r="BG20" s="20">
        <f t="shared" si="7"/>
        <v>209.80943579279696</v>
      </c>
      <c r="BH20" s="59">
        <f t="shared" si="8"/>
        <v>503.14276912613025</v>
      </c>
      <c r="BI20" s="59">
        <f ca="1">AVERAGE(OFFSET($BH$3,0,0,'Données projet'!$E$11+1,1))-AVERAGE(OFFSET($H$3,0,0,'Données projet'!$E$11+1,1))</f>
        <v>314.94704727988847</v>
      </c>
      <c r="BJ20" s="59">
        <f t="shared" si="38"/>
        <v>366.49199094166454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0.66919709374812397</v>
      </c>
      <c r="BR20" s="21">
        <f>EXP(-LN(2)/2)*BR19+(1-EXP(-LN(2)/2))/(LN(2)/2)*BL20*BO20*VLOOKUP('Données projet'!$B$11,Paramètres!$A$1:$I$89,3,0)*0.475*44/12</f>
        <v>0.11611334367709447</v>
      </c>
      <c r="BS20" s="22">
        <f t="shared" si="9"/>
        <v>0.78531043742521844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15.3</v>
      </c>
      <c r="BY20" s="12">
        <f>IF('Données projet'!$A$114&gt;35,BY19+BX20-CG19,IF(A20&lt;'Données projet'!$A$114,$BV$205^A20,IF(A20='Données projet'!$A$114,'Données projet'!$B$114,BY19+BX20-CG19)))</f>
        <v>119.09999999999998</v>
      </c>
      <c r="BZ20" s="13">
        <f>BY20*VLOOKUP('Données projet'!$B$12,Paramètres!$A$1:$I$89,3,0)*VLOOKUP('Données projet'!$B$12,Paramètres!$A$1:$I$89,5,0)</f>
        <v>94.755959999999988</v>
      </c>
      <c r="CA20" s="13">
        <f t="shared" si="39"/>
        <v>25.708787823615488</v>
      </c>
      <c r="CB20" s="20">
        <f t="shared" si="10"/>
        <v>209.80943579279696</v>
      </c>
      <c r="CC20" s="59">
        <f t="shared" si="11"/>
        <v>503.14276912613025</v>
      </c>
      <c r="CD20" s="59">
        <f ca="1">AVERAGE(OFFSET($CC$3,0,0,'Données projet'!$E$12+1,1))-AVERAGE(OFFSET($H$3,0,0,'Données projet'!$E$12+1,1))</f>
        <v>314.94704727988847</v>
      </c>
      <c r="CE20" s="59">
        <f t="shared" si="40"/>
        <v>366.49199094166454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0.66919709374812397</v>
      </c>
      <c r="CM20" s="21">
        <f>EXP(-LN(2)/2)*CM19+(1-EXP(-LN(2)/2))/(LN(2)/2)*CG20*CJ20*VLOOKUP('Données projet'!$B$12,Paramètres!$A$1:$I$89,3,0)*0.475*44/12</f>
        <v>0.11611334367709447</v>
      </c>
      <c r="CN20" s="22">
        <f t="shared" si="12"/>
        <v>0.78531043742521844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4.0628205128205126</v>
      </c>
      <c r="CT20" s="12">
        <f>IF('Données projet'!$A$140&gt;35,CT19+CS20-DB19,IF(A20&lt;'Données projet'!$A$140,$CQ$205^A20,IF(A20='Données projet'!$A$140,'Données projet'!$B$140,CT19+CS20-DB19)))</f>
        <v>15.206795479203771</v>
      </c>
      <c r="CU20" s="17">
        <f>CT20*VLOOKUP('Données projet'!$B$13,Paramètres!$A$1:$I$89,3,0)*VLOOKUP('Données projet'!$B$13,Paramètres!$A$1:$I$89,5,0)</f>
        <v>13.759108549583573</v>
      </c>
      <c r="CV20" s="13">
        <f t="shared" si="41"/>
        <v>4.6731578539740832</v>
      </c>
      <c r="CW20" s="20">
        <f t="shared" si="13"/>
        <v>32.102863986196247</v>
      </c>
      <c r="CX20" s="59">
        <f t="shared" si="14"/>
        <v>325.43619731952958</v>
      </c>
      <c r="CY20" s="59">
        <f ca="1">AVERAGE(OFFSET($CX$3,0,0,'Données projet'!$E$13+1,1))-AVERAGE(OFFSET($H$3,0,0,'Données projet'!$E$13+1,1))</f>
        <v>221.7429870520005</v>
      </c>
      <c r="CZ20" s="59">
        <f t="shared" si="42"/>
        <v>182.2029938397186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83.215999999999994</v>
      </c>
      <c r="P21" s="13">
        <f t="shared" si="33"/>
        <v>22.921700072310372</v>
      </c>
      <c r="Q21" s="20">
        <f t="shared" si="2"/>
        <v>184.85649429260721</v>
      </c>
      <c r="R21" s="59">
        <f t="shared" si="0"/>
        <v>478.18982762594055</v>
      </c>
      <c r="S21" s="59">
        <f ca="1">AVERAGE(OFFSET($R$3,0,0,'Données projet'!$E$9+1,1))-AVERAGE(OFFSET($H$3,0,0,'Données projet'!$E$9+1,1))</f>
        <v>199.01551760562705</v>
      </c>
      <c r="T21" s="59">
        <f t="shared" si="34"/>
        <v>269.50915104901367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11.455021251058128</v>
      </c>
      <c r="AB21" s="21">
        <f>EXP(-LN(2)/2)*AB20+(1-EXP(-LN(2)/2))/(LN(2)/2)*V21*Y21*VLOOKUP('Données projet'!$B$9,Paramètres!$A$1:$I$89,3,0)*0.475*44/12</f>
        <v>17.846528531686534</v>
      </c>
      <c r="AC21" s="22">
        <f t="shared" si="3"/>
        <v>29.301549782744662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5.3</v>
      </c>
      <c r="AI21" s="13">
        <f>IF('Données projet'!$A$62&gt;35,AI20+AH21-AQ20,IF(A21&lt;'Données projet'!$A$62,$AF$205^A21,IF(A21='Données projet'!$A$62,'Données projet'!$B$62,AI20+AH21-AQ20)))</f>
        <v>66.492900642077856</v>
      </c>
      <c r="AJ21" s="13">
        <f>AI21*VLOOKUP('Données projet'!$B$10,Paramètres!$A$1:$I$89,3,0)*VLOOKUP('Données projet'!$B$10,Paramètres!$A$1:$I$89,5,0)</f>
        <v>39.762754583962561</v>
      </c>
      <c r="AK21" s="13">
        <f t="shared" si="35"/>
        <v>11.935743228636118</v>
      </c>
      <c r="AL21" s="20">
        <f t="shared" si="4"/>
        <v>90.041550356942707</v>
      </c>
      <c r="AM21" s="59">
        <f t="shared" si="5"/>
        <v>383.37488369027602</v>
      </c>
      <c r="AN21" s="59">
        <f ca="1">AVERAGE(OFFSET($AM$3,0,0,'Données projet'!$E$10+1,1))-AVERAGE(OFFSET($H$3,0,0,'Données projet'!$E$10+1,1))</f>
        <v>316.58509520829671</v>
      </c>
      <c r="AO21" s="59">
        <f t="shared" si="36"/>
        <v>240.71332110643596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15.3</v>
      </c>
      <c r="BD21" s="12">
        <f>IF('Données projet'!$A$88&gt;35,BD20+BC21-BL20,IF(A21&lt;'Données projet'!$A$88,$BA$205^A21,IF(A21='Données projet'!$A$88,'Données projet'!$B$88,BD20+BC21-BL20)))</f>
        <v>134.39999999999998</v>
      </c>
      <c r="BE21" s="13">
        <f>BD21*VLOOKUP('Données projet'!$B$11,Paramètres!$A$1:$I$89,3,0)*VLOOKUP('Données projet'!$B$11,Paramètres!$A$1:$I$89,5,0)</f>
        <v>106.92863999999997</v>
      </c>
      <c r="BF21" s="13">
        <f t="shared" si="37"/>
        <v>28.606159868782917</v>
      </c>
      <c r="BG21" s="20">
        <f t="shared" si="7"/>
        <v>236.05644310479684</v>
      </c>
      <c r="BH21" s="59">
        <f t="shared" si="8"/>
        <v>529.38977643813018</v>
      </c>
      <c r="BI21" s="59">
        <f ca="1">AVERAGE(OFFSET($BH$3,0,0,'Données projet'!$E$11+1,1))-AVERAGE(OFFSET($H$3,0,0,'Données projet'!$E$11+1,1))</f>
        <v>314.94704727988847</v>
      </c>
      <c r="BJ21" s="59">
        <f t="shared" si="38"/>
        <v>366.49199094166454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0.65089786402803584</v>
      </c>
      <c r="BR21" s="21">
        <f>EXP(-LN(2)/2)*BR20+(1-EXP(-LN(2)/2))/(LN(2)/2)*BL21*BO21*VLOOKUP('Données projet'!$B$11,Paramètres!$A$1:$I$89,3,0)*0.475*44/12</f>
        <v>8.2104532700317631E-2</v>
      </c>
      <c r="BS21" s="22">
        <f t="shared" si="9"/>
        <v>0.73300239672835343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15.3</v>
      </c>
      <c r="BY21" s="12">
        <f>IF('Données projet'!$A$114&gt;35,BY20+BX21-CG20,IF(A21&lt;'Données projet'!$A$114,$BV$205^A21,IF(A21='Données projet'!$A$114,'Données projet'!$B$114,BY20+BX21-CG20)))</f>
        <v>134.39999999999998</v>
      </c>
      <c r="BZ21" s="13">
        <f>BY21*VLOOKUP('Données projet'!$B$12,Paramètres!$A$1:$I$89,3,0)*VLOOKUP('Données projet'!$B$12,Paramètres!$A$1:$I$89,5,0)</f>
        <v>106.92863999999997</v>
      </c>
      <c r="CA21" s="13">
        <f t="shared" si="39"/>
        <v>28.606159868782917</v>
      </c>
      <c r="CB21" s="20">
        <f t="shared" si="10"/>
        <v>236.05644310479684</v>
      </c>
      <c r="CC21" s="59">
        <f t="shared" si="11"/>
        <v>529.38977643813018</v>
      </c>
      <c r="CD21" s="59">
        <f ca="1">AVERAGE(OFFSET($CC$3,0,0,'Données projet'!$E$12+1,1))-AVERAGE(OFFSET($H$3,0,0,'Données projet'!$E$12+1,1))</f>
        <v>314.94704727988847</v>
      </c>
      <c r="CE21" s="59">
        <f t="shared" si="40"/>
        <v>366.49199094166454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0.65089786402803584</v>
      </c>
      <c r="CM21" s="21">
        <f>EXP(-LN(2)/2)*CM20+(1-EXP(-LN(2)/2))/(LN(2)/2)*CG21*CJ21*VLOOKUP('Données projet'!$B$12,Paramètres!$A$1:$I$89,3,0)*0.475*44/12</f>
        <v>8.2104532700317631E-2</v>
      </c>
      <c r="CN21" s="22">
        <f t="shared" si="12"/>
        <v>0.73300239672835343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4.0628205128205126</v>
      </c>
      <c r="CT21" s="12">
        <f>IF('Données projet'!$A$140&gt;35,CT20+CS21-DB20,IF(A21&lt;'Données projet'!$A$140,$CQ$205^A21,IF(A21='Données projet'!$A$140,'Données projet'!$B$140,CT20+CS21-DB20)))</f>
        <v>17.847168942782186</v>
      </c>
      <c r="CU21" s="17">
        <f>CT21*VLOOKUP('Données projet'!$B$13,Paramètres!$A$1:$I$89,3,0)*VLOOKUP('Données projet'!$B$13,Paramètres!$A$1:$I$89,5,0)</f>
        <v>16.148118459429323</v>
      </c>
      <c r="CV21" s="13">
        <f t="shared" si="41"/>
        <v>5.3833002038747271</v>
      </c>
      <c r="CW21" s="20">
        <f t="shared" si="13"/>
        <v>37.500554171921223</v>
      </c>
      <c r="CX21" s="59">
        <f t="shared" si="14"/>
        <v>330.83388750525455</v>
      </c>
      <c r="CY21" s="59">
        <f ca="1">AVERAGE(OFFSET($CX$3,0,0,'Données projet'!$E$13+1,1))-AVERAGE(OFFSET($H$3,0,0,'Données projet'!$E$13+1,1))</f>
        <v>221.7429870520005</v>
      </c>
      <c r="CZ21" s="59">
        <f t="shared" si="42"/>
        <v>182.2029938397186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61.091333333333324</v>
      </c>
      <c r="P22" s="13">
        <f t="shared" si="33"/>
        <v>17.443902187420928</v>
      </c>
      <c r="Q22" s="20">
        <f t="shared" si="2"/>
        <v>136.78220186531365</v>
      </c>
      <c r="R22" s="59">
        <f t="shared" si="0"/>
        <v>430.11553519864697</v>
      </c>
      <c r="S22" s="59">
        <f ca="1">AVERAGE(OFFSET($R$3,0,0,'Données projet'!$E$9+1,1))-AVERAGE(OFFSET($H$3,0,0,'Données projet'!$E$9+1,1))</f>
        <v>199.01551760562705</v>
      </c>
      <c r="T22" s="59">
        <f t="shared" si="34"/>
        <v>269.50915104901367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11.141783092554556</v>
      </c>
      <c r="AB22" s="21">
        <f>EXP(-LN(2)/2)*AB21+(1-EXP(-LN(2)/2))/(LN(2)/2)*V22*Y22*VLOOKUP('Données projet'!$B$9,Paramètres!$A$1:$I$89,3,0)*0.475*44/12</f>
        <v>12.619401345394747</v>
      </c>
      <c r="AC22" s="22">
        <f t="shared" si="3"/>
        <v>23.761184437949304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5.3</v>
      </c>
      <c r="AI22" s="13">
        <f>IF('Données projet'!$A$62&gt;35,AI21+AH22-AQ21,IF(A22&lt;'Données projet'!$A$62,$AF$205^A22,IF(A22='Données projet'!$A$62,'Données projet'!$B$62,AI21+AH22-AQ21)))</f>
        <v>83.953841294250751</v>
      </c>
      <c r="AJ22" s="13">
        <f>AI22*VLOOKUP('Données projet'!$B$10,Paramètres!$A$1:$I$89,3,0)*VLOOKUP('Données projet'!$B$10,Paramètres!$A$1:$I$89,5,0)</f>
        <v>50.204397093961951</v>
      </c>
      <c r="AK22" s="13">
        <f t="shared" si="35"/>
        <v>14.666533564506853</v>
      </c>
      <c r="AL22" s="20">
        <f t="shared" si="4"/>
        <v>112.98353756349984</v>
      </c>
      <c r="AM22" s="59">
        <f t="shared" si="5"/>
        <v>406.31687089683317</v>
      </c>
      <c r="AN22" s="59">
        <f ca="1">AVERAGE(OFFSET($AM$3,0,0,'Données projet'!$E$10+1,1))-AVERAGE(OFFSET($H$3,0,0,'Données projet'!$E$10+1,1))</f>
        <v>316.58509520829671</v>
      </c>
      <c r="AO22" s="59">
        <f t="shared" si="36"/>
        <v>240.71332110643596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15.3</v>
      </c>
      <c r="BD22" s="12">
        <f>IF('Données projet'!$A$88&gt;35,BD21+BC22-BL21,IF(A22&lt;'Données projet'!$A$88,$BA$205^A22,IF(A22='Données projet'!$A$88,'Données projet'!$B$88,BD21+BC22-BL21)))</f>
        <v>149.69999999999999</v>
      </c>
      <c r="BE22" s="13">
        <f>BD22*VLOOKUP('Données projet'!$B$11,Paramètres!$A$1:$I$89,3,0)*VLOOKUP('Données projet'!$B$11,Paramètres!$A$1:$I$89,5,0)</f>
        <v>119.10132</v>
      </c>
      <c r="BF22" s="13">
        <f t="shared" si="37"/>
        <v>31.465305329267146</v>
      </c>
      <c r="BG22" s="20">
        <f t="shared" si="7"/>
        <v>262.23687244847355</v>
      </c>
      <c r="BH22" s="59">
        <f t="shared" si="8"/>
        <v>555.57020578180686</v>
      </c>
      <c r="BI22" s="59">
        <f ca="1">AVERAGE(OFFSET($BH$3,0,0,'Données projet'!$E$11+1,1))-AVERAGE(OFFSET($H$3,0,0,'Données projet'!$E$11+1,1))</f>
        <v>314.94704727988847</v>
      </c>
      <c r="BJ22" s="59">
        <f t="shared" si="38"/>
        <v>366.49199094166454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0.63309902770695814</v>
      </c>
      <c r="BR22" s="21">
        <f>EXP(-LN(2)/2)*BR21+(1-EXP(-LN(2)/2))/(LN(2)/2)*BL22*BO22*VLOOKUP('Données projet'!$B$11,Paramètres!$A$1:$I$89,3,0)*0.475*44/12</f>
        <v>5.8056671838547236E-2</v>
      </c>
      <c r="BS22" s="22">
        <f t="shared" si="9"/>
        <v>0.69115569954550538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15.3</v>
      </c>
      <c r="BY22" s="12">
        <f>IF('Données projet'!$A$114&gt;35,BY21+BX22-CG21,IF(A22&lt;'Données projet'!$A$114,$BV$205^A22,IF(A22='Données projet'!$A$114,'Données projet'!$B$114,BY21+BX22-CG21)))</f>
        <v>149.69999999999999</v>
      </c>
      <c r="BZ22" s="13">
        <f>BY22*VLOOKUP('Données projet'!$B$12,Paramètres!$A$1:$I$89,3,0)*VLOOKUP('Données projet'!$B$12,Paramètres!$A$1:$I$89,5,0)</f>
        <v>119.10132</v>
      </c>
      <c r="CA22" s="13">
        <f t="shared" si="39"/>
        <v>31.465305329267146</v>
      </c>
      <c r="CB22" s="20">
        <f t="shared" si="10"/>
        <v>262.23687244847355</v>
      </c>
      <c r="CC22" s="59">
        <f t="shared" si="11"/>
        <v>555.57020578180686</v>
      </c>
      <c r="CD22" s="59">
        <f ca="1">AVERAGE(OFFSET($CC$3,0,0,'Données projet'!$E$12+1,1))-AVERAGE(OFFSET($H$3,0,0,'Données projet'!$E$12+1,1))</f>
        <v>314.94704727988847</v>
      </c>
      <c r="CE22" s="59">
        <f t="shared" si="40"/>
        <v>366.49199094166454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0.63309902770695814</v>
      </c>
      <c r="CM22" s="21">
        <f>EXP(-LN(2)/2)*CM21+(1-EXP(-LN(2)/2))/(LN(2)/2)*CG22*CJ22*VLOOKUP('Données projet'!$B$12,Paramètres!$A$1:$I$89,3,0)*0.475*44/12</f>
        <v>5.8056671838547236E-2</v>
      </c>
      <c r="CN22" s="22">
        <f t="shared" si="12"/>
        <v>0.69115569954550538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4.0628205128205126</v>
      </c>
      <c r="CT22" s="12">
        <f>IF('Données projet'!$A$140&gt;35,CT21+CS22-DB21,IF(A22&lt;'Données projet'!$A$140,$CQ$205^A22,IF(A22='Données projet'!$A$140,'Données projet'!$B$140,CT21+CS22-DB21)))</f>
        <v>20.945993500590358</v>
      </c>
      <c r="CU22" s="17">
        <f>CT22*VLOOKUP('Données projet'!$B$13,Paramètres!$A$1:$I$89,3,0)*VLOOKUP('Données projet'!$B$13,Paramètres!$A$1:$I$89,5,0)</f>
        <v>18.951934919334153</v>
      </c>
      <c r="CV22" s="13">
        <f t="shared" si="41"/>
        <v>6.2013571958398481</v>
      </c>
      <c r="CW22" s="20">
        <f t="shared" si="13"/>
        <v>43.808650433928051</v>
      </c>
      <c r="CX22" s="59">
        <f t="shared" si="14"/>
        <v>337.14198376726137</v>
      </c>
      <c r="CY22" s="59">
        <f ca="1">AVERAGE(OFFSET($CX$3,0,0,'Données projet'!$E$13+1,1))-AVERAGE(OFFSET($H$3,0,0,'Données projet'!$E$13+1,1))</f>
        <v>221.7429870520005</v>
      </c>
      <c r="CZ22" s="59">
        <f t="shared" si="42"/>
        <v>182.2029938397186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70.491166666666658</v>
      </c>
      <c r="P23" s="13">
        <f t="shared" si="33"/>
        <v>19.795381884662589</v>
      </c>
      <c r="Q23" s="20">
        <f t="shared" si="2"/>
        <v>157.24907206023175</v>
      </c>
      <c r="R23" s="59">
        <f t="shared" si="0"/>
        <v>450.58240539356507</v>
      </c>
      <c r="S23" s="59">
        <f ca="1">AVERAGE(OFFSET($R$3,0,0,'Données projet'!$E$9+1,1))-AVERAGE(OFFSET($H$3,0,0,'Données projet'!$E$9+1,1))</f>
        <v>199.01551760562705</v>
      </c>
      <c r="T23" s="59">
        <f t="shared" si="34"/>
        <v>269.50915104901367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10.837110447967744</v>
      </c>
      <c r="AB23" s="21">
        <f>EXP(-LN(2)/2)*AB22+(1-EXP(-LN(2)/2))/(LN(2)/2)*V23*Y23*VLOOKUP('Données projet'!$B$9,Paramètres!$A$1:$I$89,3,0)*0.475*44/12</f>
        <v>8.923264265843267</v>
      </c>
      <c r="AC23" s="22">
        <f t="shared" si="3"/>
        <v>19.760374713811011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106</v>
      </c>
      <c r="AG23" s="12">
        <f>VLOOKUP(A23,'Données projet'!$A$61:$I$81,9,0)</f>
        <v>5.3</v>
      </c>
      <c r="AH23" s="12">
        <f t="array" ref="AH23">INDEX(AG:AG,MIN(IF(ISNUMBER(AG23:AG219),ROW(AG23:AG219),"")))</f>
        <v>5.3</v>
      </c>
      <c r="AI23" s="13">
        <f>IF('Données projet'!$A$62&gt;35,AI22+AH23-AQ22,IF(A23&lt;'Données projet'!$A$62,$AF$205^A23,IF(A23='Données projet'!$A$62,'Données projet'!$B$62,AI22+AH23-AQ22)))</f>
        <v>106</v>
      </c>
      <c r="AJ23" s="13">
        <f>AI23*VLOOKUP('Données projet'!$B$10,Paramètres!$A$1:$I$89,3,0)*VLOOKUP('Données projet'!$B$10,Paramètres!$A$1:$I$89,5,0)</f>
        <v>63.388000000000012</v>
      </c>
      <c r="AK23" s="13">
        <f t="shared" si="35"/>
        <v>18.022104085041263</v>
      </c>
      <c r="AL23" s="20">
        <f t="shared" si="4"/>
        <v>141.78926461478019</v>
      </c>
      <c r="AM23" s="59">
        <f t="shared" si="5"/>
        <v>435.12259794811348</v>
      </c>
      <c r="AN23" s="59">
        <f ca="1">AVERAGE(OFFSET($AM$3,0,0,'Données projet'!$E$10+1,1))-AVERAGE(OFFSET($H$3,0,0,'Données projet'!$E$10+1,1))</f>
        <v>316.58509520829671</v>
      </c>
      <c r="AO23" s="59">
        <f t="shared" si="36"/>
        <v>240.71332110643596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5.1558075517675315</v>
      </c>
      <c r="AW23" s="21">
        <f>EXP(-LN(2)/2)*AW22+(1-EXP(-LN(2)/2))/(LN(2)/2)*AQ23*AT23*VLOOKUP('Données projet'!$B$10,Paramètres!$A$1:$I$89,3,0)*0.475*44/12</f>
        <v>9.8175862518519867</v>
      </c>
      <c r="AX23" s="21">
        <f t="shared" si="6"/>
        <v>14.973393803619519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165</v>
      </c>
      <c r="BB23" s="12">
        <f>VLOOKUP(A23,'Données projet'!$A$87:$I$107,9,0)</f>
        <v>15.3</v>
      </c>
      <c r="BC23" s="12">
        <f t="array" ref="BC23">INDEX(BB:BB,MIN(IF(ISNUMBER(BB23:BB219),ROW(BB23:BB219),"")))</f>
        <v>15.3</v>
      </c>
      <c r="BD23" s="12">
        <f>IF('Données projet'!$A$88&gt;35,BD22+BC23-BL22,IF(A23&lt;'Données projet'!$A$88,$BA$205^A23,IF(A23='Données projet'!$A$88,'Données projet'!$B$88,BD22+BC23-BL22)))</f>
        <v>165</v>
      </c>
      <c r="BE23" s="13">
        <f>BD23*VLOOKUP('Données projet'!$B$11,Paramètres!$A$1:$I$89,3,0)*VLOOKUP('Données projet'!$B$11,Paramètres!$A$1:$I$89,5,0)</f>
        <v>131.274</v>
      </c>
      <c r="BF23" s="13">
        <f t="shared" si="37"/>
        <v>34.290576031111669</v>
      </c>
      <c r="BG23" s="20">
        <f t="shared" si="7"/>
        <v>288.35830325418613</v>
      </c>
      <c r="BH23" s="59">
        <f t="shared" si="8"/>
        <v>581.6916365875195</v>
      </c>
      <c r="BI23" s="59">
        <f ca="1">AVERAGE(OFFSET($BH$3,0,0,'Données projet'!$E$11+1,1))-AVERAGE(OFFSET($H$3,0,0,'Données projet'!$E$11+1,1))</f>
        <v>314.94704727988847</v>
      </c>
      <c r="BJ23" s="59">
        <f t="shared" si="38"/>
        <v>366.49199094166454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84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10.366215156073137</v>
      </c>
      <c r="BR23" s="21">
        <f>EXP(-LN(2)/2)*BR22+(1-EXP(-LN(2)/2))/(LN(2)/2)*BL23*BO23*VLOOKUP('Données projet'!$B$11,Paramètres!$A$1:$I$89,3,0)*0.475*44/12</f>
        <v>15.805122544811143</v>
      </c>
      <c r="BS23" s="22">
        <f t="shared" si="9"/>
        <v>26.17133770088428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165</v>
      </c>
      <c r="BW23" s="12">
        <f>VLOOKUP(A23,'Données projet'!$A$113:$I$133,9,0)</f>
        <v>15.3</v>
      </c>
      <c r="BX23" s="12">
        <f t="array" ref="BX23">INDEX(BW:BW,MIN(IF(ISNUMBER(BW23:BW219),ROW(BW23:BW219),"")))</f>
        <v>15.3</v>
      </c>
      <c r="BY23" s="12">
        <f>IF('Données projet'!$A$114&gt;35,BY22+BX23-CG22,IF(A23&lt;'Données projet'!$A$114,$BV$205^A23,IF(A23='Données projet'!$A$114,'Données projet'!$B$114,BY22+BX23-CG22)))</f>
        <v>165</v>
      </c>
      <c r="BZ23" s="13">
        <f>BY23*VLOOKUP('Données projet'!$B$12,Paramètres!$A$1:$I$89,3,0)*VLOOKUP('Données projet'!$B$12,Paramètres!$A$1:$I$89,5,0)</f>
        <v>131.274</v>
      </c>
      <c r="CA23" s="13">
        <f t="shared" si="39"/>
        <v>34.290576031111669</v>
      </c>
      <c r="CB23" s="20">
        <f t="shared" si="10"/>
        <v>288.35830325418613</v>
      </c>
      <c r="CC23" s="59">
        <f t="shared" si="11"/>
        <v>581.6916365875195</v>
      </c>
      <c r="CD23" s="59">
        <f ca="1">AVERAGE(OFFSET($CC$3,0,0,'Données projet'!$E$12+1,1))-AVERAGE(OFFSET($H$3,0,0,'Données projet'!$E$12+1,1))</f>
        <v>314.94704727988847</v>
      </c>
      <c r="CE23" s="59">
        <f t="shared" si="40"/>
        <v>366.49199094166454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84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10.366215156073137</v>
      </c>
      <c r="CM23" s="21">
        <f>EXP(-LN(2)/2)*CM22+(1-EXP(-LN(2)/2))/(LN(2)/2)*CG23*CJ23*VLOOKUP('Données projet'!$B$12,Paramètres!$A$1:$I$89,3,0)*0.475*44/12</f>
        <v>15.805122544811143</v>
      </c>
      <c r="CN23" s="22">
        <f t="shared" si="12"/>
        <v>26.17133770088428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4.0628205128205126</v>
      </c>
      <c r="CT23" s="12">
        <f>IF('Données projet'!$A$140&gt;35,CT22+CS23-DB22,IF(A23&lt;'Données projet'!$A$140,$CQ$205^A23,IF(A23='Données projet'!$A$140,'Données projet'!$B$140,CT22+CS23-DB22)))</f>
        <v>24.582870545650774</v>
      </c>
      <c r="CU23" s="17">
        <f>CT23*VLOOKUP('Données projet'!$B$13,Paramètres!$A$1:$I$89,3,0)*VLOOKUP('Données projet'!$B$13,Paramètres!$A$1:$I$89,5,0)</f>
        <v>22.242581269704818</v>
      </c>
      <c r="CV23" s="13">
        <f t="shared" si="41"/>
        <v>7.1437277532311274</v>
      </c>
      <c r="CW23" s="20">
        <f t="shared" si="13"/>
        <v>51.181154881613445</v>
      </c>
      <c r="CX23" s="59">
        <f t="shared" si="14"/>
        <v>344.51448821494677</v>
      </c>
      <c r="CY23" s="59">
        <f ca="1">AVERAGE(OFFSET($CX$3,0,0,'Données projet'!$E$13+1,1))-AVERAGE(OFFSET($H$3,0,0,'Données projet'!$E$13+1,1))</f>
        <v>221.7429870520005</v>
      </c>
      <c r="CZ23" s="59">
        <f t="shared" si="42"/>
        <v>182.2029938397186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79.890999999999977</v>
      </c>
      <c r="P24" s="13">
        <f t="shared" si="33"/>
        <v>22.11053094756765</v>
      </c>
      <c r="Q24" s="20">
        <f t="shared" si="2"/>
        <v>177.65266640034693</v>
      </c>
      <c r="R24" s="59">
        <f t="shared" si="0"/>
        <v>470.98599973368027</v>
      </c>
      <c r="S24" s="59">
        <f ca="1">AVERAGE(OFFSET($R$3,0,0,'Données projet'!$E$9+1,1))-AVERAGE(OFFSET($H$3,0,0,'Données projet'!$E$9+1,1))</f>
        <v>199.01551760562705</v>
      </c>
      <c r="T24" s="59">
        <f t="shared" si="34"/>
        <v>269.50915104901367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10.540769092869196</v>
      </c>
      <c r="AB24" s="21">
        <f>EXP(-LN(2)/2)*AB23+(1-EXP(-LN(2)/2))/(LN(2)/2)*V24*Y24*VLOOKUP('Données projet'!$B$9,Paramètres!$A$1:$I$89,3,0)*0.475*44/12</f>
        <v>6.3097006726973737</v>
      </c>
      <c r="AC24" s="22">
        <f t="shared" si="3"/>
        <v>16.850469765566569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15.3</v>
      </c>
      <c r="AI24" s="13">
        <f>IF('Données projet'!$A$62&gt;35,AI23+AH24-AQ23,IF(A24&lt;'Données projet'!$A$62,$AF$205^A24,IF(A24='Données projet'!$A$62,'Données projet'!$B$62,AI23+AH24-AQ23)))</f>
        <v>92.3</v>
      </c>
      <c r="AJ24" s="13">
        <f>AI24*VLOOKUP('Données projet'!$B$10,Paramètres!$A$1:$I$89,3,0)*VLOOKUP('Données projet'!$B$10,Paramètres!$A$1:$I$89,5,0)</f>
        <v>55.195399999999999</v>
      </c>
      <c r="AK24" s="13">
        <f t="shared" si="35"/>
        <v>15.947677847278364</v>
      </c>
      <c r="AL24" s="20">
        <f t="shared" si="4"/>
        <v>123.90752725067647</v>
      </c>
      <c r="AM24" s="59">
        <f t="shared" si="5"/>
        <v>417.24086058400979</v>
      </c>
      <c r="AN24" s="59">
        <f ca="1">AVERAGE(OFFSET($AM$3,0,0,'Données projet'!$E$10+1,1))-AVERAGE(OFFSET($H$3,0,0,'Données projet'!$E$10+1,1))</f>
        <v>316.58509520829671</v>
      </c>
      <c r="AO24" s="59">
        <f t="shared" si="36"/>
        <v>240.71332110643596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5.0148217231323127</v>
      </c>
      <c r="AW24" s="21">
        <f>EXP(-LN(2)/2)*AW23+(1-EXP(-LN(2)/2))/(LN(2)/2)*AQ24*AT24*VLOOKUP('Données projet'!$B$10,Paramètres!$A$1:$I$89,3,0)*0.475*44/12</f>
        <v>6.9420818135683602</v>
      </c>
      <c r="AX24" s="21">
        <f t="shared" si="6"/>
        <v>11.956903536700672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16.600000000000001</v>
      </c>
      <c r="BD24" s="12">
        <f>IF('Données projet'!$A$88&gt;35,BD23+BC24-BL23,IF(A24&lt;'Données projet'!$A$88,$BA$205^A24,IF(A24='Données projet'!$A$88,'Données projet'!$B$88,BD23+BC24-BL23)))</f>
        <v>97.6</v>
      </c>
      <c r="BE24" s="13">
        <f>BD24*VLOOKUP('Données projet'!$B$11,Paramètres!$A$1:$I$89,3,0)*VLOOKUP('Données projet'!$B$11,Paramètres!$A$1:$I$89,5,0)</f>
        <v>77.650559999999999</v>
      </c>
      <c r="BF24" s="13">
        <f t="shared" si="37"/>
        <v>21.561741073650076</v>
      </c>
      <c r="BG24" s="20">
        <f t="shared" si="7"/>
        <v>172.79475770327392</v>
      </c>
      <c r="BH24" s="59">
        <f t="shared" si="8"/>
        <v>466.1280910366072</v>
      </c>
      <c r="BI24" s="59">
        <f ca="1">AVERAGE(OFFSET($BH$3,0,0,'Données projet'!$E$11+1,1))-AVERAGE(OFFSET($H$3,0,0,'Données projet'!$E$11+1,1))</f>
        <v>314.94704727988847</v>
      </c>
      <c r="BJ24" s="59">
        <f t="shared" si="38"/>
        <v>366.49199094166454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10.082750457494754</v>
      </c>
      <c r="BR24" s="21">
        <f>EXP(-LN(2)/2)*BR23+(1-EXP(-LN(2)/2))/(LN(2)/2)*BL24*BO24*VLOOKUP('Données projet'!$B$11,Paramètres!$A$1:$I$89,3,0)*0.475*44/12</f>
        <v>11.175909328920342</v>
      </c>
      <c r="BS24" s="22">
        <f t="shared" si="9"/>
        <v>21.258659786415095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16.600000000000001</v>
      </c>
      <c r="BY24" s="12">
        <f>IF('Données projet'!$A$114&gt;35,BY23+BX24-CG23,IF(A24&lt;'Données projet'!$A$114,$BV$205^A24,IF(A24='Données projet'!$A$114,'Données projet'!$B$114,BY23+BX24-CG23)))</f>
        <v>97.6</v>
      </c>
      <c r="BZ24" s="13">
        <f>BY24*VLOOKUP('Données projet'!$B$12,Paramètres!$A$1:$I$89,3,0)*VLOOKUP('Données projet'!$B$12,Paramètres!$A$1:$I$89,5,0)</f>
        <v>77.650559999999999</v>
      </c>
      <c r="CA24" s="13">
        <f t="shared" si="39"/>
        <v>21.561741073650076</v>
      </c>
      <c r="CB24" s="20">
        <f t="shared" si="10"/>
        <v>172.79475770327392</v>
      </c>
      <c r="CC24" s="59">
        <f t="shared" si="11"/>
        <v>466.1280910366072</v>
      </c>
      <c r="CD24" s="59">
        <f ca="1">AVERAGE(OFFSET($CC$3,0,0,'Données projet'!$E$12+1,1))-AVERAGE(OFFSET($H$3,0,0,'Données projet'!$E$12+1,1))</f>
        <v>314.94704727988847</v>
      </c>
      <c r="CE24" s="59">
        <f t="shared" si="40"/>
        <v>366.49199094166454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10.082750457494754</v>
      </c>
      <c r="CM24" s="21">
        <f>EXP(-LN(2)/2)*CM23+(1-EXP(-LN(2)/2))/(LN(2)/2)*CG24*CJ24*VLOOKUP('Données projet'!$B$12,Paramètres!$A$1:$I$89,3,0)*0.475*44/12</f>
        <v>11.175909328920342</v>
      </c>
      <c r="CN24" s="22">
        <f t="shared" si="12"/>
        <v>21.258659786415095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4.0628205128205126</v>
      </c>
      <c r="CT24" s="12">
        <f>IF('Données projet'!$A$140&gt;35,CT23+CS24-DB23,IF(A24&lt;'Données projet'!$A$140,$CQ$205^A24,IF(A24='Données projet'!$A$140,'Données projet'!$B$140,CT23+CS24-DB23)))</f>
        <v>28.851222752799568</v>
      </c>
      <c r="CU24" s="17">
        <f>CT24*VLOOKUP('Données projet'!$B$13,Paramètres!$A$1:$I$89,3,0)*VLOOKUP('Données projet'!$B$13,Paramètres!$A$1:$I$89,5,0)</f>
        <v>26.104586346733051</v>
      </c>
      <c r="CV24" s="13">
        <f t="shared" si="41"/>
        <v>8.2293028123778775</v>
      </c>
      <c r="CW24" s="20">
        <f t="shared" si="13"/>
        <v>59.798190285451518</v>
      </c>
      <c r="CX24" s="59">
        <f t="shared" si="14"/>
        <v>353.13152361878485</v>
      </c>
      <c r="CY24" s="59">
        <f ca="1">AVERAGE(OFFSET($CX$3,0,0,'Données projet'!$E$13+1,1))-AVERAGE(OFFSET($H$3,0,0,'Données projet'!$E$13+1,1))</f>
        <v>221.7429870520005</v>
      </c>
      <c r="CZ24" s="59">
        <f t="shared" si="42"/>
        <v>182.2029938397186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89.29083333333331</v>
      </c>
      <c r="P25" s="13">
        <f t="shared" si="33"/>
        <v>24.394112404442311</v>
      </c>
      <c r="Q25" s="20">
        <f t="shared" si="2"/>
        <v>198.00128049329251</v>
      </c>
      <c r="R25" s="59">
        <f t="shared" si="0"/>
        <v>491.33461382662585</v>
      </c>
      <c r="S25" s="59">
        <f ca="1">AVERAGE(OFFSET($R$3,0,0,'Données projet'!$E$9+1,1))-AVERAGE(OFFSET($H$3,0,0,'Données projet'!$E$9+1,1))</f>
        <v>199.01551760562705</v>
      </c>
      <c r="T25" s="59">
        <f t="shared" si="34"/>
        <v>269.50915104901367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10.252531207709733</v>
      </c>
      <c r="AB25" s="21">
        <f>EXP(-LN(2)/2)*AB24+(1-EXP(-LN(2)/2))/(LN(2)/2)*V25*Y25*VLOOKUP('Données projet'!$B$9,Paramètres!$A$1:$I$89,3,0)*0.475*44/12</f>
        <v>4.4616321329216335</v>
      </c>
      <c r="AC25" s="22">
        <f t="shared" si="3"/>
        <v>14.714163340631366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15.3</v>
      </c>
      <c r="AI25" s="13">
        <f>IF('Données projet'!$A$62&gt;35,AI24+AH25-AQ24,IF(A25&lt;'Données projet'!$A$62,$AF$205^A25,IF(A25='Données projet'!$A$62,'Données projet'!$B$62,AI24+AH25-AQ24)))</f>
        <v>107.6</v>
      </c>
      <c r="AJ25" s="13">
        <f>AI25*VLOOKUP('Données projet'!$B$10,Paramètres!$A$1:$I$89,3,0)*VLOOKUP('Données projet'!$B$10,Paramètres!$A$1:$I$89,5,0)</f>
        <v>64.344800000000006</v>
      </c>
      <c r="AK25" s="13">
        <f t="shared" si="35"/>
        <v>18.262261364330694</v>
      </c>
      <c r="AL25" s="20">
        <f t="shared" si="4"/>
        <v>143.87396520954266</v>
      </c>
      <c r="AM25" s="59">
        <f t="shared" si="5"/>
        <v>437.20729854287595</v>
      </c>
      <c r="AN25" s="59">
        <f ca="1">AVERAGE(OFFSET($AM$3,0,0,'Données projet'!$E$10+1,1))-AVERAGE(OFFSET($H$3,0,0,'Données projet'!$E$10+1,1))</f>
        <v>316.58509520829671</v>
      </c>
      <c r="AO25" s="59">
        <f t="shared" si="36"/>
        <v>240.71332110643596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4.8776911593952468</v>
      </c>
      <c r="AW25" s="21">
        <f>EXP(-LN(2)/2)*AW24+(1-EXP(-LN(2)/2))/(LN(2)/2)*AQ25*AT25*VLOOKUP('Données projet'!$B$10,Paramètres!$A$1:$I$89,3,0)*0.475*44/12</f>
        <v>4.9087931259259934</v>
      </c>
      <c r="AX25" s="21">
        <f t="shared" si="6"/>
        <v>9.7864842853212402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16.600000000000001</v>
      </c>
      <c r="BD25" s="12">
        <f>IF('Données projet'!$A$88&gt;35,BD24+BC25-BL24,IF(A25&lt;'Données projet'!$A$88,$BA$205^A25,IF(A25='Données projet'!$A$88,'Données projet'!$B$88,BD24+BC25-BL24)))</f>
        <v>114.19999999999999</v>
      </c>
      <c r="BE25" s="13">
        <f>BD25*VLOOKUP('Données projet'!$B$11,Paramètres!$A$1:$I$89,3,0)*VLOOKUP('Données projet'!$B$11,Paramètres!$A$1:$I$89,5,0)</f>
        <v>90.857519999999994</v>
      </c>
      <c r="BF25" s="13">
        <f t="shared" si="37"/>
        <v>24.771923889440387</v>
      </c>
      <c r="BG25" s="20">
        <f t="shared" si="7"/>
        <v>201.38794810744199</v>
      </c>
      <c r="BH25" s="59">
        <f t="shared" si="8"/>
        <v>494.72128144077533</v>
      </c>
      <c r="BI25" s="59">
        <f ca="1">AVERAGE(OFFSET($BH$3,0,0,'Données projet'!$E$11+1,1))-AVERAGE(OFFSET($H$3,0,0,'Données projet'!$E$11+1,1))</f>
        <v>314.94704727988847</v>
      </c>
      <c r="BJ25" s="59">
        <f t="shared" si="38"/>
        <v>366.49199094166454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9.8070371160057572</v>
      </c>
      <c r="BR25" s="21">
        <f>EXP(-LN(2)/2)*BR24+(1-EXP(-LN(2)/2))/(LN(2)/2)*BL25*BO25*VLOOKUP('Données projet'!$B$11,Paramètres!$A$1:$I$89,3,0)*0.475*44/12</f>
        <v>7.9025612724055723</v>
      </c>
      <c r="BS25" s="22">
        <f t="shared" si="9"/>
        <v>17.709598388411329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16.600000000000001</v>
      </c>
      <c r="BY25" s="12">
        <f>IF('Données projet'!$A$114&gt;35,BY24+BX25-CG24,IF(A25&lt;'Données projet'!$A$114,$BV$205^A25,IF(A25='Données projet'!$A$114,'Données projet'!$B$114,BY24+BX25-CG24)))</f>
        <v>114.19999999999999</v>
      </c>
      <c r="BZ25" s="13">
        <f>BY25*VLOOKUP('Données projet'!$B$12,Paramètres!$A$1:$I$89,3,0)*VLOOKUP('Données projet'!$B$12,Paramètres!$A$1:$I$89,5,0)</f>
        <v>90.857519999999994</v>
      </c>
      <c r="CA25" s="13">
        <f t="shared" si="39"/>
        <v>24.771923889440387</v>
      </c>
      <c r="CB25" s="20">
        <f t="shared" si="10"/>
        <v>201.38794810744199</v>
      </c>
      <c r="CC25" s="59">
        <f t="shared" si="11"/>
        <v>494.72128144077533</v>
      </c>
      <c r="CD25" s="59">
        <f ca="1">AVERAGE(OFFSET($CC$3,0,0,'Données projet'!$E$12+1,1))-AVERAGE(OFFSET($H$3,0,0,'Données projet'!$E$12+1,1))</f>
        <v>314.94704727988847</v>
      </c>
      <c r="CE25" s="59">
        <f t="shared" si="40"/>
        <v>366.49199094166454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9.8070371160057572</v>
      </c>
      <c r="CM25" s="21">
        <f>EXP(-LN(2)/2)*CM24+(1-EXP(-LN(2)/2))/(LN(2)/2)*CG25*CJ25*VLOOKUP('Données projet'!$B$12,Paramètres!$A$1:$I$89,3,0)*0.475*44/12</f>
        <v>7.9025612724055723</v>
      </c>
      <c r="CN25" s="22">
        <f t="shared" si="12"/>
        <v>17.709598388411329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4.0628205128205126</v>
      </c>
      <c r="CT25" s="12">
        <f>IF('Données projet'!$A$140&gt;35,CT24+CS25-DB24,IF(A25&lt;'Données projet'!$A$140,$CQ$205^A25,IF(A25='Données projet'!$A$140,'Données projet'!$B$140,CT24+CS25-DB24)))</f>
        <v>33.860693883812012</v>
      </c>
      <c r="CU25" s="17">
        <f>CT25*VLOOKUP('Données projet'!$B$13,Paramètres!$A$1:$I$89,3,0)*VLOOKUP('Données projet'!$B$13,Paramètres!$A$1:$I$89,5,0)</f>
        <v>30.637155826073108</v>
      </c>
      <c r="CV25" s="13">
        <f t="shared" si="41"/>
        <v>9.4798440138175533</v>
      </c>
      <c r="CW25" s="20">
        <f t="shared" si="13"/>
        <v>69.870441387809549</v>
      </c>
      <c r="CX25" s="59">
        <f t="shared" si="14"/>
        <v>363.20377472114285</v>
      </c>
      <c r="CY25" s="59">
        <f ca="1">AVERAGE(OFFSET($CX$3,0,0,'Données projet'!$E$13+1,1))-AVERAGE(OFFSET($H$3,0,0,'Données projet'!$E$13+1,1))</f>
        <v>221.7429870520005</v>
      </c>
      <c r="CZ25" s="59">
        <f t="shared" si="42"/>
        <v>182.2029938397186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98.69066666666663</v>
      </c>
      <c r="P26" s="13">
        <f t="shared" si="33"/>
        <v>26.649828069561607</v>
      </c>
      <c r="Q26" s="20">
        <f t="shared" si="2"/>
        <v>218.30136166559748</v>
      </c>
      <c r="R26" s="59">
        <f t="shared" si="0"/>
        <v>511.6346949989308</v>
      </c>
      <c r="S26" s="59">
        <f ca="1">AVERAGE(OFFSET($R$3,0,0,'Données projet'!$E$9+1,1))-AVERAGE(OFFSET($H$3,0,0,'Données projet'!$E$9+1,1))</f>
        <v>199.01551760562705</v>
      </c>
      <c r="T26" s="59">
        <f t="shared" si="34"/>
        <v>269.50915104901367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9.9721752026777271</v>
      </c>
      <c r="AB26" s="21">
        <f>EXP(-LN(2)/2)*AB25+(1-EXP(-LN(2)/2))/(LN(2)/2)*V26*Y26*VLOOKUP('Données projet'!$B$9,Paramètres!$A$1:$I$89,3,0)*0.475*44/12</f>
        <v>3.1548503363486868</v>
      </c>
      <c r="AC26" s="22">
        <f t="shared" si="3"/>
        <v>13.127025539026414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15.3</v>
      </c>
      <c r="AI26" s="13">
        <f>IF('Données projet'!$A$62&gt;35,AI25+AH26-AQ25,IF(A26&lt;'Données projet'!$A$62,$AF$205^A26,IF(A26='Données projet'!$A$62,'Données projet'!$B$62,AI25+AH26-AQ25)))</f>
        <v>122.89999999999999</v>
      </c>
      <c r="AJ26" s="13">
        <f>AI26*VLOOKUP('Données projet'!$B$10,Paramètres!$A$1:$I$89,3,0)*VLOOKUP('Données projet'!$B$10,Paramètres!$A$1:$I$89,5,0)</f>
        <v>73.494200000000006</v>
      </c>
      <c r="AK26" s="13">
        <f t="shared" si="35"/>
        <v>20.538715292443293</v>
      </c>
      <c r="AL26" s="20">
        <f t="shared" si="4"/>
        <v>163.77399413433875</v>
      </c>
      <c r="AM26" s="59">
        <f t="shared" si="5"/>
        <v>457.10732746767206</v>
      </c>
      <c r="AN26" s="59">
        <f ca="1">AVERAGE(OFFSET($AM$3,0,0,'Données projet'!$E$10+1,1))-AVERAGE(OFFSET($H$3,0,0,'Données projet'!$E$10+1,1))</f>
        <v>316.58509520829671</v>
      </c>
      <c r="AO26" s="59">
        <f t="shared" si="36"/>
        <v>240.71332110643596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4.7443104381349537</v>
      </c>
      <c r="AW26" s="21">
        <f>EXP(-LN(2)/2)*AW25+(1-EXP(-LN(2)/2))/(LN(2)/2)*AQ26*AT26*VLOOKUP('Données projet'!$B$10,Paramètres!$A$1:$I$89,3,0)*0.475*44/12</f>
        <v>3.4710409067841801</v>
      </c>
      <c r="AX26" s="21">
        <f t="shared" si="6"/>
        <v>8.2153513449191333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16.600000000000001</v>
      </c>
      <c r="BD26" s="12">
        <f>IF('Données projet'!$A$88&gt;35,BD25+BC26-BL25,IF(A26&lt;'Données projet'!$A$88,$BA$205^A26,IF(A26='Données projet'!$A$88,'Données projet'!$B$88,BD25+BC26-BL25)))</f>
        <v>130.79999999999998</v>
      </c>
      <c r="BE26" s="13">
        <f>BD26*VLOOKUP('Données projet'!$B$11,Paramètres!$A$1:$I$89,3,0)*VLOOKUP('Données projet'!$B$11,Paramètres!$A$1:$I$89,5,0)</f>
        <v>104.06448</v>
      </c>
      <c r="BF26" s="13">
        <f t="shared" si="37"/>
        <v>27.928047224076721</v>
      </c>
      <c r="BG26" s="20">
        <f t="shared" si="7"/>
        <v>229.88698491526694</v>
      </c>
      <c r="BH26" s="59">
        <f t="shared" si="8"/>
        <v>523.22031824860028</v>
      </c>
      <c r="BI26" s="59">
        <f ca="1">AVERAGE(OFFSET($BH$3,0,0,'Données projet'!$E$11+1,1))-AVERAGE(OFFSET($H$3,0,0,'Données projet'!$E$11+1,1))</f>
        <v>314.94704727988847</v>
      </c>
      <c r="BJ26" s="59">
        <f t="shared" si="38"/>
        <v>366.49199094166454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9.538863170338912</v>
      </c>
      <c r="BR26" s="21">
        <f>EXP(-LN(2)/2)*BR25+(1-EXP(-LN(2)/2))/(LN(2)/2)*BL26*BO26*VLOOKUP('Données projet'!$B$11,Paramètres!$A$1:$I$89,3,0)*0.475*44/12</f>
        <v>5.5879546644601721</v>
      </c>
      <c r="BS26" s="22">
        <f t="shared" si="9"/>
        <v>15.126817834799084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16.600000000000001</v>
      </c>
      <c r="BY26" s="12">
        <f>IF('Données projet'!$A$114&gt;35,BY25+BX26-CG25,IF(A26&lt;'Données projet'!$A$114,$BV$205^A26,IF(A26='Données projet'!$A$114,'Données projet'!$B$114,BY25+BX26-CG25)))</f>
        <v>130.79999999999998</v>
      </c>
      <c r="BZ26" s="13">
        <f>BY26*VLOOKUP('Données projet'!$B$12,Paramètres!$A$1:$I$89,3,0)*VLOOKUP('Données projet'!$B$12,Paramètres!$A$1:$I$89,5,0)</f>
        <v>104.06448</v>
      </c>
      <c r="CA26" s="13">
        <f t="shared" si="39"/>
        <v>27.928047224076721</v>
      </c>
      <c r="CB26" s="20">
        <f t="shared" si="10"/>
        <v>229.88698491526694</v>
      </c>
      <c r="CC26" s="59">
        <f t="shared" si="11"/>
        <v>523.22031824860028</v>
      </c>
      <c r="CD26" s="59">
        <f ca="1">AVERAGE(OFFSET($CC$3,0,0,'Données projet'!$E$12+1,1))-AVERAGE(OFFSET($H$3,0,0,'Données projet'!$E$12+1,1))</f>
        <v>314.94704727988847</v>
      </c>
      <c r="CE26" s="59">
        <f t="shared" si="40"/>
        <v>366.49199094166454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9.538863170338912</v>
      </c>
      <c r="CM26" s="21">
        <f>EXP(-LN(2)/2)*CM25+(1-EXP(-LN(2)/2))/(LN(2)/2)*CG26*CJ26*VLOOKUP('Données projet'!$B$12,Paramètres!$A$1:$I$89,3,0)*0.475*44/12</f>
        <v>5.5879546644601721</v>
      </c>
      <c r="CN26" s="22">
        <f t="shared" si="12"/>
        <v>15.126817834799084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4.0628205128205126</v>
      </c>
      <c r="CT26" s="12">
        <f>IF('Données projet'!$A$140&gt;35,CT25+CS26-DB25,IF(A26&lt;'Données projet'!$A$140,$CQ$205^A26,IF(A26='Données projet'!$A$140,'Données projet'!$B$140,CT25+CS26-DB25)))</f>
        <v>39.739965273463824</v>
      </c>
      <c r="CU26" s="17">
        <f>CT26*VLOOKUP('Données projet'!$B$13,Paramètres!$A$1:$I$89,3,0)*VLOOKUP('Données projet'!$B$13,Paramètres!$A$1:$I$89,5,0)</f>
        <v>35.956720579430062</v>
      </c>
      <c r="CV26" s="13">
        <f t="shared" si="41"/>
        <v>10.920419940209383</v>
      </c>
      <c r="CW26" s="20">
        <f t="shared" si="13"/>
        <v>81.644353071705368</v>
      </c>
      <c r="CX26" s="59">
        <f t="shared" si="14"/>
        <v>374.9776864050387</v>
      </c>
      <c r="CY26" s="59">
        <f ca="1">AVERAGE(OFFSET($CX$3,0,0,'Données projet'!$E$13+1,1))-AVERAGE(OFFSET($H$3,0,0,'Données projet'!$E$13+1,1))</f>
        <v>221.7429870520005</v>
      </c>
      <c r="CZ26" s="59">
        <f t="shared" si="42"/>
        <v>182.2029938397186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108.09049999999996</v>
      </c>
      <c r="P27" s="13">
        <f t="shared" si="33"/>
        <v>28.880633988967684</v>
      </c>
      <c r="Q27" s="20">
        <f t="shared" si="2"/>
        <v>238.55805836411864</v>
      </c>
      <c r="R27" s="59">
        <f t="shared" si="0"/>
        <v>531.89139169745192</v>
      </c>
      <c r="S27" s="59">
        <f ca="1">AVERAGE(OFFSET($R$3,0,0,'Données projet'!$E$9+1,1))-AVERAGE(OFFSET($H$3,0,0,'Données projet'!$E$9+1,1))</f>
        <v>199.01551760562705</v>
      </c>
      <c r="T27" s="59">
        <f t="shared" si="34"/>
        <v>269.50915104901367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2.8324936908990614</v>
      </c>
      <c r="AA27" s="21">
        <f>EXP(-LN(2)/25)*AA26+(1-EXP(-LN(2)/25))/(LN(2)/25)*Calculateur!V27*Calculateur!X27*VLOOKUP('Données projet'!$B$9,Paramètres!$A$1:$I$89,3,0)*0.475*44/12</f>
        <v>15.342167715293167</v>
      </c>
      <c r="AB27" s="21">
        <f>EXP(-LN(2)/2)*AB26+(1-EXP(-LN(2)/2))/(LN(2)/2)*V27*Y27*VLOOKUP('Données projet'!$B$9,Paramètres!$A$1:$I$89,3,0)*0.475*44/12</f>
        <v>11.021920517375309</v>
      </c>
      <c r="AC27" s="22">
        <f t="shared" si="3"/>
        <v>29.196581923567535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15.3</v>
      </c>
      <c r="AI27" s="13">
        <f>IF('Données projet'!$A$62&gt;35,AI26+AH27-AQ26,IF(A27&lt;'Données projet'!$A$62,$AF$205^A27,IF(A27='Données projet'!$A$62,'Données projet'!$B$62,AI26+AH27-AQ26)))</f>
        <v>138.19999999999999</v>
      </c>
      <c r="AJ27" s="13">
        <f>AI27*VLOOKUP('Données projet'!$B$10,Paramètres!$A$1:$I$89,3,0)*VLOOKUP('Données projet'!$B$10,Paramètres!$A$1:$I$89,5,0)</f>
        <v>82.643599999999992</v>
      </c>
      <c r="AK27" s="13">
        <f t="shared" si="35"/>
        <v>22.782329978216918</v>
      </c>
      <c r="AL27" s="20">
        <f t="shared" si="4"/>
        <v>183.61682804539444</v>
      </c>
      <c r="AM27" s="59">
        <f t="shared" si="5"/>
        <v>476.95016137872778</v>
      </c>
      <c r="AN27" s="59">
        <f ca="1">AVERAGE(OFFSET($AM$3,0,0,'Données projet'!$E$10+1,1))-AVERAGE(OFFSET($H$3,0,0,'Données projet'!$E$10+1,1))</f>
        <v>316.58509520829671</v>
      </c>
      <c r="AO27" s="59">
        <f t="shared" si="36"/>
        <v>240.71332110643596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4.6145770197117111</v>
      </c>
      <c r="AW27" s="21">
        <f>EXP(-LN(2)/2)*AW26+(1-EXP(-LN(2)/2))/(LN(2)/2)*AQ27*AT27*VLOOKUP('Données projet'!$B$10,Paramètres!$A$1:$I$89,3,0)*0.475*44/12</f>
        <v>2.4543965629629967</v>
      </c>
      <c r="AX27" s="21">
        <f t="shared" si="6"/>
        <v>7.0689735826747082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16.600000000000001</v>
      </c>
      <c r="BD27" s="12">
        <f>IF('Données projet'!$A$88&gt;35,BD26+BC27-BL26,IF(A27&lt;'Données projet'!$A$88,$BA$205^A27,IF(A27='Données projet'!$A$88,'Données projet'!$B$88,BD26+BC27-BL26)))</f>
        <v>147.39999999999998</v>
      </c>
      <c r="BE27" s="13">
        <f>BD27*VLOOKUP('Données projet'!$B$11,Paramètres!$A$1:$I$89,3,0)*VLOOKUP('Données projet'!$B$11,Paramètres!$A$1:$I$89,5,0)</f>
        <v>117.27144</v>
      </c>
      <c r="BF27" s="13">
        <f t="shared" si="37"/>
        <v>31.037758098997106</v>
      </c>
      <c r="BG27" s="20">
        <f t="shared" si="7"/>
        <v>258.30518668908661</v>
      </c>
      <c r="BH27" s="59">
        <f t="shared" si="8"/>
        <v>551.63852002241993</v>
      </c>
      <c r="BI27" s="59">
        <f ca="1">AVERAGE(OFFSET($BH$3,0,0,'Données projet'!$E$11+1,1))-AVERAGE(OFFSET($H$3,0,0,'Données projet'!$E$11+1,1))</f>
        <v>314.94704727988847</v>
      </c>
      <c r="BJ27" s="59">
        <f t="shared" si="38"/>
        <v>366.49199094166454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9.2780224553189825</v>
      </c>
      <c r="BR27" s="21">
        <f>EXP(-LN(2)/2)*BR26+(1-EXP(-LN(2)/2))/(LN(2)/2)*BL27*BO27*VLOOKUP('Données projet'!$B$11,Paramètres!$A$1:$I$89,3,0)*0.475*44/12</f>
        <v>3.9512806362027866</v>
      </c>
      <c r="BS27" s="22">
        <f t="shared" si="9"/>
        <v>13.22930309152177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16.600000000000001</v>
      </c>
      <c r="BY27" s="12">
        <f>IF('Données projet'!$A$114&gt;35,BY26+BX27-CG26,IF(A27&lt;'Données projet'!$A$114,$BV$205^A27,IF(A27='Données projet'!$A$114,'Données projet'!$B$114,BY26+BX27-CG26)))</f>
        <v>147.39999999999998</v>
      </c>
      <c r="BZ27" s="13">
        <f>BY27*VLOOKUP('Données projet'!$B$12,Paramètres!$A$1:$I$89,3,0)*VLOOKUP('Données projet'!$B$12,Paramètres!$A$1:$I$89,5,0)</f>
        <v>117.27144</v>
      </c>
      <c r="CA27" s="13">
        <f t="shared" si="39"/>
        <v>31.037758098997106</v>
      </c>
      <c r="CB27" s="20">
        <f t="shared" si="10"/>
        <v>258.30518668908661</v>
      </c>
      <c r="CC27" s="59">
        <f t="shared" si="11"/>
        <v>551.63852002241993</v>
      </c>
      <c r="CD27" s="59">
        <f ca="1">AVERAGE(OFFSET($CC$3,0,0,'Données projet'!$E$12+1,1))-AVERAGE(OFFSET($H$3,0,0,'Données projet'!$E$12+1,1))</f>
        <v>314.94704727988847</v>
      </c>
      <c r="CE27" s="59">
        <f t="shared" si="40"/>
        <v>366.49199094166454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9.2780224553189825</v>
      </c>
      <c r="CM27" s="21">
        <f>EXP(-LN(2)/2)*CM26+(1-EXP(-LN(2)/2))/(LN(2)/2)*CG27*CJ27*VLOOKUP('Données projet'!$B$12,Paramètres!$A$1:$I$89,3,0)*0.475*44/12</f>
        <v>3.9512806362027866</v>
      </c>
      <c r="CN27" s="22">
        <f t="shared" si="12"/>
        <v>13.22930309152177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4.0628205128205126</v>
      </c>
      <c r="CT27" s="12">
        <f>IF('Données projet'!$A$140&gt;35,CT26+CS27-DB26,IF(A27&lt;'Données projet'!$A$140,$CQ$205^A27,IF(A27='Données projet'!$A$140,'Données projet'!$B$140,CT26+CS27-DB26)))</f>
        <v>46.640061345320483</v>
      </c>
      <c r="CU27" s="17">
        <f>CT27*VLOOKUP('Données projet'!$B$13,Paramètres!$A$1:$I$89,3,0)*VLOOKUP('Données projet'!$B$13,Paramètres!$A$1:$I$89,5,0)</f>
        <v>42.199927505245967</v>
      </c>
      <c r="CV27" s="13">
        <f t="shared" si="41"/>
        <v>12.579908645827834</v>
      </c>
      <c r="CW27" s="20">
        <f t="shared" si="13"/>
        <v>95.408214629786869</v>
      </c>
      <c r="CX27" s="59">
        <f t="shared" si="14"/>
        <v>388.74154796312018</v>
      </c>
      <c r="CY27" s="59">
        <f ca="1">AVERAGE(OFFSET($CX$3,0,0,'Données projet'!$E$13+1,1))-AVERAGE(OFFSET($H$3,0,0,'Données projet'!$E$13+1,1))</f>
        <v>221.7429870520005</v>
      </c>
      <c r="CZ27" s="59">
        <f t="shared" si="42"/>
        <v>182.2029938397186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99.066333333333276</v>
      </c>
      <c r="P28" s="13">
        <f t="shared" si="33"/>
        <v>26.739443049051463</v>
      </c>
      <c r="Q28" s="20">
        <f t="shared" si="2"/>
        <v>219.11172719932006</v>
      </c>
      <c r="R28" s="59">
        <f t="shared" si="0"/>
        <v>512.44506053265332</v>
      </c>
      <c r="S28" s="59">
        <f ca="1">AVERAGE(OFFSET($R$3,0,0,'Données projet'!$E$9+1,1))-AVERAGE(OFFSET($H$3,0,0,'Données projet'!$E$9+1,1))</f>
        <v>199.01551760562705</v>
      </c>
      <c r="T28" s="59">
        <f t="shared" si="34"/>
        <v>269.50915104901367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2.7769502172710911</v>
      </c>
      <c r="AA28" s="21">
        <f>EXP(-LN(2)/25)*AA27+(1-EXP(-LN(2)/25))/(LN(2)/25)*Calculateur!V28*Calculateur!X28*VLOOKUP('Données projet'!$B$9,Paramètres!$A$1:$I$89,3,0)*0.475*44/12</f>
        <v>14.922635332308939</v>
      </c>
      <c r="AB28" s="21">
        <f>EXP(-LN(2)/2)*AB27+(1-EXP(-LN(2)/2))/(LN(2)/2)*V28*Y28*VLOOKUP('Données projet'!$B$9,Paramètres!$A$1:$I$89,3,0)*0.475*44/12</f>
        <v>7.7936747395352217</v>
      </c>
      <c r="AC28" s="22">
        <f t="shared" si="3"/>
        <v>25.493260289115248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15.3</v>
      </c>
      <c r="AI28" s="13">
        <f>IF('Données projet'!$A$62&gt;35,AI27+AH28-AQ27,IF(A28&lt;'Données projet'!$A$62,$AF$205^A28,IF(A28='Données projet'!$A$62,'Données projet'!$B$62,AI27+AH28-AQ27)))</f>
        <v>153.5</v>
      </c>
      <c r="AJ28" s="13">
        <f>AI28*VLOOKUP('Données projet'!$B$10,Paramètres!$A$1:$I$89,3,0)*VLOOKUP('Données projet'!$B$10,Paramètres!$A$1:$I$89,5,0)</f>
        <v>91.793000000000006</v>
      </c>
      <c r="AK28" s="13">
        <f t="shared" si="35"/>
        <v>24.997155707793262</v>
      </c>
      <c r="AL28" s="20">
        <f t="shared" si="4"/>
        <v>203.40952119107328</v>
      </c>
      <c r="AM28" s="59">
        <f t="shared" si="5"/>
        <v>496.7428545244066</v>
      </c>
      <c r="AN28" s="59">
        <f ca="1">AVERAGE(OFFSET($AM$3,0,0,'Données projet'!$E$10+1,1))-AVERAGE(OFFSET($H$3,0,0,'Données projet'!$E$10+1,1))</f>
        <v>316.58509520829671</v>
      </c>
      <c r="AO28" s="59">
        <f t="shared" si="36"/>
        <v>240.71332110643596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4.4883911684376354</v>
      </c>
      <c r="AW28" s="21">
        <f>EXP(-LN(2)/2)*AW27+(1-EXP(-LN(2)/2))/(LN(2)/2)*AQ28*AT28*VLOOKUP('Données projet'!$B$10,Paramètres!$A$1:$I$89,3,0)*0.475*44/12</f>
        <v>1.73552045339209</v>
      </c>
      <c r="AX28" s="21">
        <f t="shared" si="6"/>
        <v>6.2239116218297257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16.600000000000001</v>
      </c>
      <c r="BD28" s="12">
        <f>IF('Données projet'!$A$88&gt;35,BD27+BC28-BL27,IF(A28&lt;'Données projet'!$A$88,$BA$205^A28,IF(A28='Données projet'!$A$88,'Données projet'!$B$88,BD27+BC28-BL27)))</f>
        <v>163.99999999999997</v>
      </c>
      <c r="BE28" s="13">
        <f>BD28*VLOOKUP('Données projet'!$B$11,Paramètres!$A$1:$I$89,3,0)*VLOOKUP('Données projet'!$B$11,Paramètres!$A$1:$I$89,5,0)</f>
        <v>130.47839999999999</v>
      </c>
      <c r="BF28" s="13">
        <f t="shared" si="37"/>
        <v>34.106879882626828</v>
      </c>
      <c r="BG28" s="20">
        <f t="shared" si="7"/>
        <v>286.65269579557503</v>
      </c>
      <c r="BH28" s="59">
        <f t="shared" si="8"/>
        <v>579.98602912890829</v>
      </c>
      <c r="BI28" s="59">
        <f ca="1">AVERAGE(OFFSET($BH$3,0,0,'Données projet'!$E$11+1,1))-AVERAGE(OFFSET($H$3,0,0,'Données projet'!$E$11+1,1))</f>
        <v>314.94704727988847</v>
      </c>
      <c r="BJ28" s="59">
        <f t="shared" si="38"/>
        <v>366.49199094166454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9.02431444336829</v>
      </c>
      <c r="BR28" s="21">
        <f>EXP(-LN(2)/2)*BR27+(1-EXP(-LN(2)/2))/(LN(2)/2)*BL28*BO28*VLOOKUP('Données projet'!$B$11,Paramètres!$A$1:$I$89,3,0)*0.475*44/12</f>
        <v>2.7939773322300865</v>
      </c>
      <c r="BS28" s="22">
        <f t="shared" si="9"/>
        <v>11.818291775598377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16.600000000000001</v>
      </c>
      <c r="BY28" s="12">
        <f>IF('Données projet'!$A$114&gt;35,BY27+BX28-CG27,IF(A28&lt;'Données projet'!$A$114,$BV$205^A28,IF(A28='Données projet'!$A$114,'Données projet'!$B$114,BY27+BX28-CG27)))</f>
        <v>163.99999999999997</v>
      </c>
      <c r="BZ28" s="13">
        <f>BY28*VLOOKUP('Données projet'!$B$12,Paramètres!$A$1:$I$89,3,0)*VLOOKUP('Données projet'!$B$12,Paramètres!$A$1:$I$89,5,0)</f>
        <v>130.47839999999999</v>
      </c>
      <c r="CA28" s="13">
        <f t="shared" si="39"/>
        <v>34.106879882626828</v>
      </c>
      <c r="CB28" s="20">
        <f t="shared" si="10"/>
        <v>286.65269579557503</v>
      </c>
      <c r="CC28" s="59">
        <f t="shared" si="11"/>
        <v>579.98602912890829</v>
      </c>
      <c r="CD28" s="59">
        <f ca="1">AVERAGE(OFFSET($CC$3,0,0,'Données projet'!$E$12+1,1))-AVERAGE(OFFSET($H$3,0,0,'Données projet'!$E$12+1,1))</f>
        <v>314.94704727988847</v>
      </c>
      <c r="CE28" s="59">
        <f t="shared" si="40"/>
        <v>366.49199094166454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9.02431444336829</v>
      </c>
      <c r="CM28" s="21">
        <f>EXP(-LN(2)/2)*CM27+(1-EXP(-LN(2)/2))/(LN(2)/2)*CG28*CJ28*VLOOKUP('Données projet'!$B$12,Paramètres!$A$1:$I$89,3,0)*0.475*44/12</f>
        <v>2.7939773322300865</v>
      </c>
      <c r="CN28" s="22">
        <f t="shared" si="12"/>
        <v>11.818291775598377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4.0628205128205126</v>
      </c>
      <c r="CT28" s="12">
        <f>IF('Données projet'!$A$140&gt;35,CT27+CS28-DB27,IF(A28&lt;'Données projet'!$A$140,$CQ$205^A28,IF(A28='Données projet'!$A$140,'Données projet'!$B$140,CT27+CS28-DB27)))</f>
        <v>54.738229068051083</v>
      </c>
      <c r="CU28" s="17">
        <f>CT28*VLOOKUP('Données projet'!$B$13,Paramètres!$A$1:$I$89,3,0)*VLOOKUP('Données projet'!$B$13,Paramètres!$A$1:$I$89,5,0)</f>
        <v>49.527149660772622</v>
      </c>
      <c r="CV28" s="13">
        <f t="shared" si="41"/>
        <v>14.49157655143614</v>
      </c>
      <c r="CW28" s="20">
        <f t="shared" si="13"/>
        <v>111.49928148626357</v>
      </c>
      <c r="CX28" s="59">
        <f t="shared" si="14"/>
        <v>404.83261481959687</v>
      </c>
      <c r="CY28" s="59">
        <f ca="1">AVERAGE(OFFSET($CX$3,0,0,'Données projet'!$E$13+1,1))-AVERAGE(OFFSET($H$3,0,0,'Données projet'!$E$13+1,1))</f>
        <v>221.7429870520005</v>
      </c>
      <c r="CZ28" s="59">
        <f t="shared" si="42"/>
        <v>182.2029938397186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109.45316666666662</v>
      </c>
      <c r="P29" s="13">
        <f t="shared" si="33"/>
        <v>29.202109028889065</v>
      </c>
      <c r="Q29" s="20">
        <f t="shared" si="2"/>
        <v>241.49127183642611</v>
      </c>
      <c r="R29" s="59">
        <f t="shared" si="0"/>
        <v>534.82460516975948</v>
      </c>
      <c r="S29" s="59">
        <f ca="1">AVERAGE(OFFSET($R$3,0,0,'Données projet'!$E$9+1,1))-AVERAGE(OFFSET($H$3,0,0,'Données projet'!$E$9+1,1))</f>
        <v>199.01551760562705</v>
      </c>
      <c r="T29" s="59">
        <f t="shared" si="34"/>
        <v>269.50915104901367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2.7224959172827914</v>
      </c>
      <c r="AA29" s="21">
        <f>EXP(-LN(2)/25)*AA28+(1-EXP(-LN(2)/25))/(LN(2)/25)*Calculateur!V29*Calculateur!X29*VLOOKUP('Données projet'!$B$9,Paramètres!$A$1:$I$89,3,0)*0.475*44/12</f>
        <v>14.514575084399665</v>
      </c>
      <c r="AB29" s="21">
        <f>EXP(-LN(2)/2)*AB28+(1-EXP(-LN(2)/2))/(LN(2)/2)*V29*Y29*VLOOKUP('Données projet'!$B$9,Paramètres!$A$1:$I$89,3,0)*0.475*44/12</f>
        <v>5.5109602586876552</v>
      </c>
      <c r="AC29" s="22">
        <f t="shared" si="3"/>
        <v>22.748031260370112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15.3</v>
      </c>
      <c r="AI29" s="13">
        <f>IF('Données projet'!$A$62&gt;35,AI28+AH29-AQ28,IF(A29&lt;'Données projet'!$A$62,$AF$205^A29,IF(A29='Données projet'!$A$62,'Données projet'!$B$62,AI28+AH29-AQ28)))</f>
        <v>168.8</v>
      </c>
      <c r="AJ29" s="13">
        <f>AI29*VLOOKUP('Données projet'!$B$10,Paramètres!$A$1:$I$89,3,0)*VLOOKUP('Données projet'!$B$10,Paramètres!$A$1:$I$89,5,0)</f>
        <v>100.94240000000002</v>
      </c>
      <c r="AK29" s="13">
        <f t="shared" si="35"/>
        <v>27.186388642071154</v>
      </c>
      <c r="AL29" s="20">
        <f t="shared" si="4"/>
        <v>223.15764021827397</v>
      </c>
      <c r="AM29" s="59">
        <f t="shared" si="5"/>
        <v>516.49097355160734</v>
      </c>
      <c r="AN29" s="59">
        <f ca="1">AVERAGE(OFFSET($AM$3,0,0,'Données projet'!$E$10+1,1))-AVERAGE(OFFSET($H$3,0,0,'Données projet'!$E$10+1,1))</f>
        <v>316.58509520829671</v>
      </c>
      <c r="AO29" s="59">
        <f t="shared" si="36"/>
        <v>240.71332110643596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4.3656558759024753</v>
      </c>
      <c r="AW29" s="21">
        <f>EXP(-LN(2)/2)*AW28+(1-EXP(-LN(2)/2))/(LN(2)/2)*AQ29*AT29*VLOOKUP('Données projet'!$B$10,Paramètres!$A$1:$I$89,3,0)*0.475*44/12</f>
        <v>1.2271982814814983</v>
      </c>
      <c r="AX29" s="21">
        <f t="shared" si="6"/>
        <v>5.5928541573839734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16.600000000000001</v>
      </c>
      <c r="BD29" s="12">
        <f>IF('Données projet'!$A$88&gt;35,BD28+BC29-BL28,IF(A29&lt;'Données projet'!$A$88,$BA$205^A29,IF(A29='Données projet'!$A$88,'Données projet'!$B$88,BD28+BC29-BL28)))</f>
        <v>180.59999999999997</v>
      </c>
      <c r="BE29" s="13">
        <f>BD29*VLOOKUP('Données projet'!$B$11,Paramètres!$A$1:$I$89,3,0)*VLOOKUP('Données projet'!$B$11,Paramètres!$A$1:$I$89,5,0)</f>
        <v>143.68535999999997</v>
      </c>
      <c r="BF29" s="13">
        <f t="shared" si="37"/>
        <v>37.139988755891473</v>
      </c>
      <c r="BG29" s="20">
        <f t="shared" si="7"/>
        <v>314.93748241651093</v>
      </c>
      <c r="BH29" s="59">
        <f t="shared" si="8"/>
        <v>608.27081574984425</v>
      </c>
      <c r="BI29" s="59">
        <f ca="1">AVERAGE(OFFSET($BH$3,0,0,'Données projet'!$E$11+1,1))-AVERAGE(OFFSET($H$3,0,0,'Données projet'!$E$11+1,1))</f>
        <v>314.94704727988847</v>
      </c>
      <c r="BJ29" s="59">
        <f t="shared" si="38"/>
        <v>366.49199094166454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8.7775440903463124</v>
      </c>
      <c r="BR29" s="21">
        <f>EXP(-LN(2)/2)*BR28+(1-EXP(-LN(2)/2))/(LN(2)/2)*BL29*BO29*VLOOKUP('Données projet'!$B$11,Paramètres!$A$1:$I$89,3,0)*0.475*44/12</f>
        <v>1.9756403181013937</v>
      </c>
      <c r="BS29" s="22">
        <f t="shared" si="9"/>
        <v>10.753184408447707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16.600000000000001</v>
      </c>
      <c r="BY29" s="12">
        <f>IF('Données projet'!$A$114&gt;35,BY28+BX29-CG28,IF(A29&lt;'Données projet'!$A$114,$BV$205^A29,IF(A29='Données projet'!$A$114,'Données projet'!$B$114,BY28+BX29-CG28)))</f>
        <v>180.59999999999997</v>
      </c>
      <c r="BZ29" s="13">
        <f>BY29*VLOOKUP('Données projet'!$B$12,Paramètres!$A$1:$I$89,3,0)*VLOOKUP('Données projet'!$B$12,Paramètres!$A$1:$I$89,5,0)</f>
        <v>143.68535999999997</v>
      </c>
      <c r="CA29" s="13">
        <f t="shared" si="39"/>
        <v>37.139988755891473</v>
      </c>
      <c r="CB29" s="20">
        <f t="shared" si="10"/>
        <v>314.93748241651093</v>
      </c>
      <c r="CC29" s="59">
        <f t="shared" si="11"/>
        <v>608.27081574984425</v>
      </c>
      <c r="CD29" s="59">
        <f ca="1">AVERAGE(OFFSET($CC$3,0,0,'Données projet'!$E$12+1,1))-AVERAGE(OFFSET($H$3,0,0,'Données projet'!$E$12+1,1))</f>
        <v>314.94704727988847</v>
      </c>
      <c r="CE29" s="59">
        <f t="shared" si="40"/>
        <v>366.49199094166454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8.7775440903463124</v>
      </c>
      <c r="CM29" s="21">
        <f>EXP(-LN(2)/2)*CM28+(1-EXP(-LN(2)/2))/(LN(2)/2)*CG29*CJ29*VLOOKUP('Données projet'!$B$12,Paramètres!$A$1:$I$89,3,0)*0.475*44/12</f>
        <v>1.9756403181013937</v>
      </c>
      <c r="CN29" s="22">
        <f t="shared" si="12"/>
        <v>10.753184408447707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4.0628205128205126</v>
      </c>
      <c r="CT29" s="12">
        <f>IF('Données projet'!$A$140&gt;35,CT28+CS29-DB28,IF(A29&lt;'Données projet'!$A$140,$CQ$205^A29,IF(A29='Données projet'!$A$140,'Données projet'!$B$140,CT28+CS29-DB28)))</f>
        <v>64.242491006222849</v>
      </c>
      <c r="CU29" s="17">
        <f>CT29*VLOOKUP('Données projet'!$B$13,Paramètres!$A$1:$I$89,3,0)*VLOOKUP('Données projet'!$B$13,Paramètres!$A$1:$I$89,5,0)</f>
        <v>58.126605862430431</v>
      </c>
      <c r="CV29" s="13">
        <f t="shared" si="41"/>
        <v>16.69374530917462</v>
      </c>
      <c r="CW29" s="20">
        <f t="shared" si="13"/>
        <v>130.31211162387879</v>
      </c>
      <c r="CX29" s="59">
        <f t="shared" si="14"/>
        <v>423.64544495721213</v>
      </c>
      <c r="CY29" s="59">
        <f ca="1">AVERAGE(OFFSET($CX$3,0,0,'Données projet'!$E$13+1,1))-AVERAGE(OFFSET($H$3,0,0,'Données projet'!$E$13+1,1))</f>
        <v>221.7429870520005</v>
      </c>
      <c r="CZ29" s="59">
        <f t="shared" si="42"/>
        <v>182.2029938397186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119.83999999999993</v>
      </c>
      <c r="P30" s="13">
        <f t="shared" si="33"/>
        <v>31.637679024355371</v>
      </c>
      <c r="Q30" s="20">
        <f t="shared" si="2"/>
        <v>263.8236243007521</v>
      </c>
      <c r="R30" s="59">
        <f t="shared" si="0"/>
        <v>557.15695763408542</v>
      </c>
      <c r="S30" s="59">
        <f ca="1">AVERAGE(OFFSET($R$3,0,0,'Données projet'!$E$9+1,1))-AVERAGE(OFFSET($H$3,0,0,'Données projet'!$E$9+1,1))</f>
        <v>199.01551760562705</v>
      </c>
      <c r="T30" s="59">
        <f t="shared" si="34"/>
        <v>269.50915104901367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2.6691094329034191</v>
      </c>
      <c r="AA30" s="21">
        <f>EXP(-LN(2)/25)*AA29+(1-EXP(-LN(2)/25))/(LN(2)/25)*Calculateur!V30*Calculateur!X30*VLOOKUP('Données projet'!$B$9,Paramètres!$A$1:$I$89,3,0)*0.475*44/12</f>
        <v>14.117673265428426</v>
      </c>
      <c r="AB30" s="21">
        <f>EXP(-LN(2)/2)*AB29+(1-EXP(-LN(2)/2))/(LN(2)/2)*V30*Y30*VLOOKUP('Données projet'!$B$9,Paramètres!$A$1:$I$89,3,0)*0.475*44/12</f>
        <v>3.8968373697676113</v>
      </c>
      <c r="AC30" s="22">
        <f t="shared" si="3"/>
        <v>20.683620068099454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15.3</v>
      </c>
      <c r="AI30" s="13">
        <f>IF('Données projet'!$A$62&gt;35,AI29+AH30-AQ29,IF(A30&lt;'Données projet'!$A$62,$AF$205^A30,IF(A30='Données projet'!$A$62,'Données projet'!$B$62,AI29+AH30-AQ29)))</f>
        <v>184.10000000000002</v>
      </c>
      <c r="AJ30" s="13">
        <f>AI30*VLOOKUP('Données projet'!$B$10,Paramètres!$A$1:$I$89,3,0)*VLOOKUP('Données projet'!$B$10,Paramètres!$A$1:$I$89,5,0)</f>
        <v>110.09180000000001</v>
      </c>
      <c r="AK30" s="13">
        <f t="shared" si="35"/>
        <v>29.352612318376288</v>
      </c>
      <c r="AL30" s="20">
        <f t="shared" si="4"/>
        <v>242.86568478783872</v>
      </c>
      <c r="AM30" s="59">
        <f t="shared" si="5"/>
        <v>536.199018121172</v>
      </c>
      <c r="AN30" s="59">
        <f ca="1">AVERAGE(OFFSET($AM$3,0,0,'Données projet'!$E$10+1,1))-AVERAGE(OFFSET($H$3,0,0,'Données projet'!$E$10+1,1))</f>
        <v>316.58509520829671</v>
      </c>
      <c r="AO30" s="59">
        <f t="shared" si="36"/>
        <v>240.71332110643596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4.2462767863960575</v>
      </c>
      <c r="AW30" s="21">
        <f>EXP(-LN(2)/2)*AW29+(1-EXP(-LN(2)/2))/(LN(2)/2)*AQ30*AT30*VLOOKUP('Données projet'!$B$10,Paramètres!$A$1:$I$89,3,0)*0.475*44/12</f>
        <v>0.86776022669604502</v>
      </c>
      <c r="AX30" s="21">
        <f t="shared" si="6"/>
        <v>5.1140370130921022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16.600000000000001</v>
      </c>
      <c r="BD30" s="12">
        <f>IF('Données projet'!$A$88&gt;35,BD29+BC30-BL29,IF(A30&lt;'Données projet'!$A$88,$BA$205^A30,IF(A30='Données projet'!$A$88,'Données projet'!$B$88,BD29+BC30-BL29)))</f>
        <v>197.19999999999996</v>
      </c>
      <c r="BE30" s="13">
        <f>BD30*VLOOKUP('Données projet'!$B$11,Paramètres!$A$1:$I$89,3,0)*VLOOKUP('Données projet'!$B$11,Paramètres!$A$1:$I$89,5,0)</f>
        <v>156.89231999999998</v>
      </c>
      <c r="BF30" s="13">
        <f t="shared" si="37"/>
        <v>40.140771359113288</v>
      </c>
      <c r="BG30" s="20">
        <f t="shared" si="7"/>
        <v>343.16596745045558</v>
      </c>
      <c r="BH30" s="59">
        <f t="shared" si="8"/>
        <v>636.49930078378884</v>
      </c>
      <c r="BI30" s="59">
        <f ca="1">AVERAGE(OFFSET($BH$3,0,0,'Données projet'!$E$11+1,1))-AVERAGE(OFFSET($H$3,0,0,'Données projet'!$E$11+1,1))</f>
        <v>314.94704727988847</v>
      </c>
      <c r="BJ30" s="59">
        <f t="shared" si="38"/>
        <v>366.49199094166454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8.5375216856048102</v>
      </c>
      <c r="BR30" s="21">
        <f>EXP(-LN(2)/2)*BR29+(1-EXP(-LN(2)/2))/(LN(2)/2)*BL30*BO30*VLOOKUP('Données projet'!$B$11,Paramètres!$A$1:$I$89,3,0)*0.475*44/12</f>
        <v>1.3969886661150435</v>
      </c>
      <c r="BS30" s="22">
        <f t="shared" si="9"/>
        <v>9.9345103517198545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16.600000000000001</v>
      </c>
      <c r="BY30" s="12">
        <f>IF('Données projet'!$A$114&gt;35,BY29+BX30-CG29,IF(A30&lt;'Données projet'!$A$114,$BV$205^A30,IF(A30='Données projet'!$A$114,'Données projet'!$B$114,BY29+BX30-CG29)))</f>
        <v>197.19999999999996</v>
      </c>
      <c r="BZ30" s="13">
        <f>BY30*VLOOKUP('Données projet'!$B$12,Paramètres!$A$1:$I$89,3,0)*VLOOKUP('Données projet'!$B$12,Paramètres!$A$1:$I$89,5,0)</f>
        <v>156.89231999999998</v>
      </c>
      <c r="CA30" s="13">
        <f t="shared" si="39"/>
        <v>40.140771359113288</v>
      </c>
      <c r="CB30" s="20">
        <f t="shared" si="10"/>
        <v>343.16596745045558</v>
      </c>
      <c r="CC30" s="59">
        <f t="shared" si="11"/>
        <v>636.49930078378884</v>
      </c>
      <c r="CD30" s="59">
        <f ca="1">AVERAGE(OFFSET($CC$3,0,0,'Données projet'!$E$12+1,1))-AVERAGE(OFFSET($H$3,0,0,'Données projet'!$E$12+1,1))</f>
        <v>314.94704727988847</v>
      </c>
      <c r="CE30" s="59">
        <f t="shared" si="40"/>
        <v>366.49199094166454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8.5375216856048102</v>
      </c>
      <c r="CM30" s="21">
        <f>EXP(-LN(2)/2)*CM29+(1-EXP(-LN(2)/2))/(LN(2)/2)*CG30*CJ30*VLOOKUP('Données projet'!$B$12,Paramètres!$A$1:$I$89,3,0)*0.475*44/12</f>
        <v>1.3969886661150435</v>
      </c>
      <c r="CN30" s="22">
        <f t="shared" si="12"/>
        <v>9.9345103517198545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4.0628205128205126</v>
      </c>
      <c r="CT30" s="12">
        <f>IF('Données projet'!$A$140&gt;35,CT29+CS30-DB29,IF(A30&lt;'Données projet'!$A$140,$CQ$205^A30,IF(A30='Données projet'!$A$140,'Données projet'!$B$140,CT29+CS30-DB29)))</f>
        <v>75.396988922564091</v>
      </c>
      <c r="CU30" s="17">
        <f>CT30*VLOOKUP('Données projet'!$B$13,Paramètres!$A$1:$I$89,3,0)*VLOOKUP('Données projet'!$B$13,Paramètres!$A$1:$I$89,5,0)</f>
        <v>68.219195577135991</v>
      </c>
      <c r="CV30" s="13">
        <f t="shared" si="41"/>
        <v>19.230560005562129</v>
      </c>
      <c r="CW30" s="20">
        <f t="shared" si="13"/>
        <v>152.30832430653254</v>
      </c>
      <c r="CX30" s="59">
        <f t="shared" si="14"/>
        <v>445.64165763986585</v>
      </c>
      <c r="CY30" s="59">
        <f ca="1">AVERAGE(OFFSET($CX$3,0,0,'Données projet'!$E$13+1,1))-AVERAGE(OFFSET($H$3,0,0,'Données projet'!$E$13+1,1))</f>
        <v>221.7429870520005</v>
      </c>
      <c r="CZ30" s="59">
        <f t="shared" si="42"/>
        <v>182.2029938397186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130.22683333333327</v>
      </c>
      <c r="P31" s="13">
        <f t="shared" si="33"/>
        <v>34.048768536370034</v>
      </c>
      <c r="Q31" s="20">
        <f t="shared" si="2"/>
        <v>286.11333992306658</v>
      </c>
      <c r="R31" s="59">
        <f t="shared" si="0"/>
        <v>579.44667325639989</v>
      </c>
      <c r="S31" s="59">
        <f ca="1">AVERAGE(OFFSET($R$3,0,0,'Données projet'!$E$9+1,1))-AVERAGE(OFFSET($H$3,0,0,'Données projet'!$E$9+1,1))</f>
        <v>199.01551760562705</v>
      </c>
      <c r="T31" s="59">
        <f t="shared" si="34"/>
        <v>269.50915104901367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2.6167698249201856</v>
      </c>
      <c r="AA31" s="21">
        <f>EXP(-LN(2)/25)*AA30+(1-EXP(-LN(2)/25))/(LN(2)/25)*Calculateur!V31*Calculateur!X31*VLOOKUP('Données projet'!$B$9,Paramètres!$A$1:$I$89,3,0)*0.475*44/12</f>
        <v>13.731624747569114</v>
      </c>
      <c r="AB31" s="21">
        <f>EXP(-LN(2)/2)*AB30+(1-EXP(-LN(2)/2))/(LN(2)/2)*V31*Y31*VLOOKUP('Données projet'!$B$9,Paramètres!$A$1:$I$89,3,0)*0.475*44/12</f>
        <v>2.755480129343828</v>
      </c>
      <c r="AC31" s="22">
        <f t="shared" si="3"/>
        <v>19.103874701833128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15.3</v>
      </c>
      <c r="AI31" s="13">
        <f>IF('Données projet'!$A$62&gt;35,AI30+AH31-AQ30,IF(A31&lt;'Données projet'!$A$62,$AF$205^A31,IF(A31='Données projet'!$A$62,'Données projet'!$B$62,AI30+AH31-AQ30)))</f>
        <v>199.40000000000003</v>
      </c>
      <c r="AJ31" s="13">
        <f>AI31*VLOOKUP('Données projet'!$B$10,Paramètres!$A$1:$I$89,3,0)*VLOOKUP('Données projet'!$B$10,Paramètres!$A$1:$I$89,5,0)</f>
        <v>119.24120000000002</v>
      </c>
      <c r="AK31" s="13">
        <f t="shared" si="35"/>
        <v>31.497956370300944</v>
      </c>
      <c r="AL31" s="20">
        <f t="shared" si="4"/>
        <v>262.53736401160751</v>
      </c>
      <c r="AM31" s="59">
        <f t="shared" si="5"/>
        <v>555.87069734494082</v>
      </c>
      <c r="AN31" s="59">
        <f ca="1">AVERAGE(OFFSET($AM$3,0,0,'Données projet'!$E$10+1,1))-AVERAGE(OFFSET($H$3,0,0,'Données projet'!$E$10+1,1))</f>
        <v>316.58509520829671</v>
      </c>
      <c r="AO31" s="59">
        <f t="shared" si="36"/>
        <v>240.71332110643596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4.1301621243700666</v>
      </c>
      <c r="AW31" s="21">
        <f>EXP(-LN(2)/2)*AW30+(1-EXP(-LN(2)/2))/(LN(2)/2)*AQ31*AT31*VLOOKUP('Données projet'!$B$10,Paramètres!$A$1:$I$89,3,0)*0.475*44/12</f>
        <v>0.61359914074074917</v>
      </c>
      <c r="AX31" s="21">
        <f t="shared" si="6"/>
        <v>4.7437612651108161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16.600000000000001</v>
      </c>
      <c r="BD31" s="12">
        <f>IF('Données projet'!$A$88&gt;35,BD30+BC31-BL30,IF(A31&lt;'Données projet'!$A$88,$BA$205^A31,IF(A31='Données projet'!$A$88,'Données projet'!$B$88,BD30+BC31-BL30)))</f>
        <v>213.79999999999995</v>
      </c>
      <c r="BE31" s="13">
        <f>BD31*VLOOKUP('Données projet'!$B$11,Paramètres!$A$1:$I$89,3,0)*VLOOKUP('Données projet'!$B$11,Paramètres!$A$1:$I$89,5,0)</f>
        <v>170.09927999999996</v>
      </c>
      <c r="BF31" s="13">
        <f t="shared" si="37"/>
        <v>43.112258247107711</v>
      </c>
      <c r="BG31" s="20">
        <f t="shared" si="7"/>
        <v>371.34342911371255</v>
      </c>
      <c r="BH31" s="59">
        <f t="shared" si="8"/>
        <v>664.6767624470458</v>
      </c>
      <c r="BI31" s="59">
        <f ca="1">AVERAGE(OFFSET($BH$3,0,0,'Données projet'!$E$11+1,1))-AVERAGE(OFFSET($H$3,0,0,'Données projet'!$E$11+1,1))</f>
        <v>314.94704727988847</v>
      </c>
      <c r="BJ31" s="59">
        <f t="shared" si="38"/>
        <v>366.49199094166454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8.3040627061431938</v>
      </c>
      <c r="BR31" s="21">
        <f>EXP(-LN(2)/2)*BR30+(1-EXP(-LN(2)/2))/(LN(2)/2)*BL31*BO31*VLOOKUP('Données projet'!$B$11,Paramètres!$A$1:$I$89,3,0)*0.475*44/12</f>
        <v>0.98782015905069698</v>
      </c>
      <c r="BS31" s="22">
        <f t="shared" si="9"/>
        <v>9.291882865193891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16.600000000000001</v>
      </c>
      <c r="BY31" s="12">
        <f>IF('Données projet'!$A$114&gt;35,BY30+BX31-CG30,IF(A31&lt;'Données projet'!$A$114,$BV$205^A31,IF(A31='Données projet'!$A$114,'Données projet'!$B$114,BY30+BX31-CG30)))</f>
        <v>213.79999999999995</v>
      </c>
      <c r="BZ31" s="13">
        <f>BY31*VLOOKUP('Données projet'!$B$12,Paramètres!$A$1:$I$89,3,0)*VLOOKUP('Données projet'!$B$12,Paramètres!$A$1:$I$89,5,0)</f>
        <v>170.09927999999996</v>
      </c>
      <c r="CA31" s="13">
        <f t="shared" si="39"/>
        <v>43.112258247107711</v>
      </c>
      <c r="CB31" s="20">
        <f t="shared" si="10"/>
        <v>371.34342911371255</v>
      </c>
      <c r="CC31" s="59">
        <f t="shared" si="11"/>
        <v>664.6767624470458</v>
      </c>
      <c r="CD31" s="59">
        <f ca="1">AVERAGE(OFFSET($CC$3,0,0,'Données projet'!$E$12+1,1))-AVERAGE(OFFSET($H$3,0,0,'Données projet'!$E$12+1,1))</f>
        <v>314.94704727988847</v>
      </c>
      <c r="CE31" s="59">
        <f t="shared" si="40"/>
        <v>366.49199094166454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8.3040627061431938</v>
      </c>
      <c r="CM31" s="21">
        <f>EXP(-LN(2)/2)*CM30+(1-EXP(-LN(2)/2))/(LN(2)/2)*CG31*CJ31*VLOOKUP('Données projet'!$B$12,Paramètres!$A$1:$I$89,3,0)*0.475*44/12</f>
        <v>0.98782015905069698</v>
      </c>
      <c r="CN31" s="22">
        <f t="shared" si="12"/>
        <v>9.291882865193891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4.0628205128205126</v>
      </c>
      <c r="CT31" s="12">
        <f>IF('Données projet'!$A$140&gt;35,CT30+CS31-DB30,IF(A31&lt;'Données projet'!$A$140,$CQ$205^A31,IF(A31='Données projet'!$A$140,'Données projet'!$B$140,CT30+CS31-DB30)))</f>
        <v>88.488255196060223</v>
      </c>
      <c r="CU31" s="17">
        <f>CT31*VLOOKUP('Données projet'!$B$13,Paramètres!$A$1:$I$89,3,0)*VLOOKUP('Données projet'!$B$13,Paramètres!$A$1:$I$89,5,0)</f>
        <v>80.064173301395286</v>
      </c>
      <c r="CV31" s="13">
        <f t="shared" si="41"/>
        <v>22.15287410215139</v>
      </c>
      <c r="CW31" s="20">
        <f t="shared" si="13"/>
        <v>178.02802422784376</v>
      </c>
      <c r="CX31" s="59">
        <f t="shared" si="14"/>
        <v>471.3613575611771</v>
      </c>
      <c r="CY31" s="59">
        <f ca="1">AVERAGE(OFFSET($CX$3,0,0,'Données projet'!$E$13+1,1))-AVERAGE(OFFSET($H$3,0,0,'Données projet'!$E$13+1,1))</f>
        <v>221.7429870520005</v>
      </c>
      <c r="CZ31" s="59">
        <f t="shared" si="42"/>
        <v>182.2029938397186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140.6136666666666</v>
      </c>
      <c r="P32" s="13">
        <f t="shared" si="33"/>
        <v>36.437552105336117</v>
      </c>
      <c r="Q32" s="20">
        <f t="shared" si="2"/>
        <v>308.36420602790474</v>
      </c>
      <c r="R32" s="59">
        <f t="shared" si="0"/>
        <v>601.69753936123811</v>
      </c>
      <c r="S32" s="59">
        <f ca="1">AVERAGE(OFFSET($R$3,0,0,'Données projet'!$E$9+1,1))-AVERAGE(OFFSET($H$3,0,0,'Données projet'!$E$9+1,1))</f>
        <v>199.01551760562705</v>
      </c>
      <c r="T32" s="59">
        <f t="shared" si="34"/>
        <v>269.50915104901367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2.565456564725495</v>
      </c>
      <c r="AA32" s="21">
        <f>EXP(-LN(2)/25)*AA31+(1-EXP(-LN(2)/25))/(LN(2)/25)*Calculateur!V32*Calculateur!X32*VLOOKUP('Données projet'!$B$9,Paramètres!$A$1:$I$89,3,0)*0.475*44/12</f>
        <v>13.356132746732076</v>
      </c>
      <c r="AB32" s="21">
        <f>EXP(-LN(2)/2)*AB31+(1-EXP(-LN(2)/2))/(LN(2)/2)*V32*Y32*VLOOKUP('Données projet'!$B$9,Paramètres!$A$1:$I$89,3,0)*0.475*44/12</f>
        <v>1.9484186848838061</v>
      </c>
      <c r="AC32" s="22">
        <f t="shared" si="3"/>
        <v>17.870007996341375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15.3</v>
      </c>
      <c r="AI32" s="13">
        <f>IF('Données projet'!$A$62&gt;35,AI31+AH32-AQ31,IF(A32&lt;'Données projet'!$A$62,$AF$205^A32,IF(A32='Données projet'!$A$62,'Données projet'!$B$62,AI31+AH32-AQ31)))</f>
        <v>214.70000000000005</v>
      </c>
      <c r="AJ32" s="13">
        <f>AI32*VLOOKUP('Données projet'!$B$10,Paramètres!$A$1:$I$89,3,0)*VLOOKUP('Données projet'!$B$10,Paramètres!$A$1:$I$89,5,0)</f>
        <v>128.39060000000003</v>
      </c>
      <c r="AK32" s="13">
        <f t="shared" si="35"/>
        <v>33.624205053748</v>
      </c>
      <c r="AL32" s="20">
        <f t="shared" si="4"/>
        <v>282.17578546861114</v>
      </c>
      <c r="AM32" s="59">
        <f t="shared" si="5"/>
        <v>575.5091188019444</v>
      </c>
      <c r="AN32" s="59">
        <f ca="1">AVERAGE(OFFSET($AM$3,0,0,'Données projet'!$E$10+1,1))-AVERAGE(OFFSET($H$3,0,0,'Données projet'!$E$10+1,1))</f>
        <v>316.58509520829671</v>
      </c>
      <c r="AO32" s="59">
        <f t="shared" si="36"/>
        <v>240.71332110643596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4.0172226238833808</v>
      </c>
      <c r="AW32" s="21">
        <f>EXP(-LN(2)/2)*AW31+(1-EXP(-LN(2)/2))/(LN(2)/2)*AQ32*AT32*VLOOKUP('Données projet'!$B$10,Paramètres!$A$1:$I$89,3,0)*0.475*44/12</f>
        <v>0.43388011334802251</v>
      </c>
      <c r="AX32" s="21">
        <f t="shared" si="6"/>
        <v>4.4511027372314036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16.600000000000001</v>
      </c>
      <c r="BD32" s="12">
        <f>IF('Données projet'!$A$88&gt;35,BD31+BC32-BL31,IF(A32&lt;'Données projet'!$A$88,$BA$205^A32,IF(A32='Données projet'!$A$88,'Données projet'!$B$88,BD31+BC32-BL31)))</f>
        <v>230.39999999999995</v>
      </c>
      <c r="BE32" s="13">
        <f>BD32*VLOOKUP('Données projet'!$B$11,Paramètres!$A$1:$I$89,3,0)*VLOOKUP('Données projet'!$B$11,Paramètres!$A$1:$I$89,5,0)</f>
        <v>183.30623999999997</v>
      </c>
      <c r="BF32" s="13">
        <f t="shared" si="37"/>
        <v>46.056982630723049</v>
      </c>
      <c r="BG32" s="20">
        <f t="shared" si="7"/>
        <v>399.47427941517589</v>
      </c>
      <c r="BH32" s="59">
        <f t="shared" si="8"/>
        <v>692.8076127485092</v>
      </c>
      <c r="BI32" s="59">
        <f ca="1">AVERAGE(OFFSET($BH$3,0,0,'Données projet'!$E$11+1,1))-AVERAGE(OFFSET($H$3,0,0,'Données projet'!$E$11+1,1))</f>
        <v>314.94704727988847</v>
      </c>
      <c r="BJ32" s="59">
        <f t="shared" si="38"/>
        <v>366.49199094166454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8.0769876747520293</v>
      </c>
      <c r="BR32" s="21">
        <f>EXP(-LN(2)/2)*BR31+(1-EXP(-LN(2)/2))/(LN(2)/2)*BL32*BO32*VLOOKUP('Données projet'!$B$11,Paramètres!$A$1:$I$89,3,0)*0.475*44/12</f>
        <v>0.69849433305752184</v>
      </c>
      <c r="BS32" s="22">
        <f t="shared" si="9"/>
        <v>8.7754820078095506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16.600000000000001</v>
      </c>
      <c r="BY32" s="12">
        <f>IF('Données projet'!$A$114&gt;35,BY31+BX32-CG31,IF(A32&lt;'Données projet'!$A$114,$BV$205^A32,IF(A32='Données projet'!$A$114,'Données projet'!$B$114,BY31+BX32-CG31)))</f>
        <v>230.39999999999995</v>
      </c>
      <c r="BZ32" s="13">
        <f>BY32*VLOOKUP('Données projet'!$B$12,Paramètres!$A$1:$I$89,3,0)*VLOOKUP('Données projet'!$B$12,Paramètres!$A$1:$I$89,5,0)</f>
        <v>183.30623999999997</v>
      </c>
      <c r="CA32" s="13">
        <f t="shared" si="39"/>
        <v>46.056982630723049</v>
      </c>
      <c r="CB32" s="20">
        <f t="shared" si="10"/>
        <v>399.47427941517589</v>
      </c>
      <c r="CC32" s="59">
        <f t="shared" si="11"/>
        <v>692.8076127485092</v>
      </c>
      <c r="CD32" s="59">
        <f ca="1">AVERAGE(OFFSET($CC$3,0,0,'Données projet'!$E$12+1,1))-AVERAGE(OFFSET($H$3,0,0,'Données projet'!$E$12+1,1))</f>
        <v>314.94704727988847</v>
      </c>
      <c r="CE32" s="59">
        <f t="shared" si="40"/>
        <v>366.49199094166454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8.0769876747520293</v>
      </c>
      <c r="CM32" s="21">
        <f>EXP(-LN(2)/2)*CM31+(1-EXP(-LN(2)/2))/(LN(2)/2)*CG32*CJ32*VLOOKUP('Données projet'!$B$12,Paramètres!$A$1:$I$89,3,0)*0.475*44/12</f>
        <v>0.69849433305752184</v>
      </c>
      <c r="CN32" s="22">
        <f t="shared" si="12"/>
        <v>8.7754820078095506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4.0628205128205126</v>
      </c>
      <c r="CT32" s="12">
        <f>IF('Données projet'!$A$140&gt;35,CT31+CS32-DB31,IF(A32&lt;'Données projet'!$A$140,$CQ$205^A32,IF(A32='Données projet'!$A$140,'Données projet'!$B$140,CT31+CS32-DB31)))</f>
        <v>103.85257315361756</v>
      </c>
      <c r="CU32" s="17">
        <f>CT32*VLOOKUP('Données projet'!$B$13,Paramètres!$A$1:$I$89,3,0)*VLOOKUP('Données projet'!$B$13,Paramètres!$A$1:$I$89,5,0)</f>
        <v>93.965808189393158</v>
      </c>
      <c r="CV32" s="13">
        <f t="shared" si="41"/>
        <v>25.519268853524185</v>
      </c>
      <c r="CW32" s="20">
        <f t="shared" si="13"/>
        <v>208.10317584974769</v>
      </c>
      <c r="CX32" s="59">
        <f t="shared" si="14"/>
        <v>501.436509183081</v>
      </c>
      <c r="CY32" s="59">
        <f ca="1">AVERAGE(OFFSET($CX$3,0,0,'Données projet'!$E$13+1,1))-AVERAGE(OFFSET($H$3,0,0,'Données projet'!$E$13+1,1))</f>
        <v>221.7429870520005</v>
      </c>
      <c r="CZ32" s="59">
        <f t="shared" si="42"/>
        <v>182.2029938397186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151.00049999999993</v>
      </c>
      <c r="P33" s="13">
        <f t="shared" si="33"/>
        <v>38.805864791732255</v>
      </c>
      <c r="Q33" s="20">
        <f t="shared" si="2"/>
        <v>330.57941867893356</v>
      </c>
      <c r="R33" s="59">
        <f t="shared" si="0"/>
        <v>623.91275201226688</v>
      </c>
      <c r="S33" s="59">
        <f ca="1">AVERAGE(OFFSET($R$3,0,0,'Données projet'!$E$9+1,1))-AVERAGE(OFFSET($H$3,0,0,'Données projet'!$E$9+1,1))</f>
        <v>199.01551760562705</v>
      </c>
      <c r="T33" s="59">
        <f t="shared" si="34"/>
        <v>269.50915104901367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2.5151495262652239</v>
      </c>
      <c r="AA33" s="21">
        <f>EXP(-LN(2)/25)*AA32+(1-EXP(-LN(2)/25))/(LN(2)/25)*Calculateur!V33*Calculateur!X33*VLOOKUP('Données projet'!$B$9,Paramètres!$A$1:$I$89,3,0)*0.475*44/12</f>
        <v>12.990908594404193</v>
      </c>
      <c r="AB33" s="21">
        <f>EXP(-LN(2)/2)*AB32+(1-EXP(-LN(2)/2))/(LN(2)/2)*V33*Y33*VLOOKUP('Données projet'!$B$9,Paramètres!$A$1:$I$89,3,0)*0.475*44/12</f>
        <v>1.3777400646719142</v>
      </c>
      <c r="AC33" s="22">
        <f t="shared" si="3"/>
        <v>16.88379818534133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230</v>
      </c>
      <c r="AG33" s="12">
        <f>VLOOKUP(A33,'Données projet'!$A$61:$I$81,9,0)</f>
        <v>15.3</v>
      </c>
      <c r="AH33" s="12">
        <f t="array" ref="AH33">INDEX(AG:AG,MIN(IF(ISNUMBER(AG33:AG229),ROW(AG33:AG229),"")))</f>
        <v>15.3</v>
      </c>
      <c r="AI33" s="13">
        <f>IF('Données projet'!$A$62&gt;35,AI32+AH33-AQ32,IF(A33&lt;'Données projet'!$A$62,$AF$205^A33,IF(A33='Données projet'!$A$62,'Données projet'!$B$62,AI32+AH33-AQ32)))</f>
        <v>230.00000000000006</v>
      </c>
      <c r="AJ33" s="13">
        <f>AI33*VLOOKUP('Données projet'!$B$10,Paramètres!$A$1:$I$89,3,0)*VLOOKUP('Données projet'!$B$10,Paramètres!$A$1:$I$89,5,0)</f>
        <v>137.54000000000005</v>
      </c>
      <c r="AK33" s="13">
        <f t="shared" si="35"/>
        <v>35.73287391561098</v>
      </c>
      <c r="AL33" s="20">
        <f t="shared" si="4"/>
        <v>301.78358873635585</v>
      </c>
      <c r="AM33" s="59">
        <f t="shared" si="5"/>
        <v>595.11692206968917</v>
      </c>
      <c r="AN33" s="59">
        <f ca="1">AVERAGE(OFFSET($AM$3,0,0,'Données projet'!$E$10+1,1))-AVERAGE(OFFSET($H$3,0,0,'Données projet'!$E$10+1,1))</f>
        <v>316.58509520829671</v>
      </c>
      <c r="AO33" s="59">
        <f t="shared" si="36"/>
        <v>240.71332110643596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71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2.5345473142073405</v>
      </c>
      <c r="AV33" s="21">
        <f>EXP(-LN(2)/25)*AV32+(1-EXP(-LN(2)/25))/(LN(2)/25)*Calculateur!AQ33*Calculateur!AS33*VLOOKUP('Données projet'!$B$10,Paramètres!$A$1:$I$89,3,0)*0.475*44/12</f>
        <v>15.267926720595529</v>
      </c>
      <c r="AW33" s="21">
        <f>EXP(-LN(2)/2)*AW32+(1-EXP(-LN(2)/2))/(LN(2)/2)*AQ33*AT33*VLOOKUP('Données projet'!$B$10,Paramètres!$A$1:$I$89,3,0)*0.475*44/12</f>
        <v>21.939343070140783</v>
      </c>
      <c r="AX33" s="21">
        <f t="shared" si="6"/>
        <v>39.741817104943649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247</v>
      </c>
      <c r="BB33" s="12">
        <f>VLOOKUP(A33,'Données projet'!$A$87:$I$107,9,0)</f>
        <v>16.600000000000001</v>
      </c>
      <c r="BC33" s="12">
        <f t="array" ref="BC33">INDEX(BB:BB,MIN(IF(ISNUMBER(BB33:BB229),ROW(BB33:BB229),"")))</f>
        <v>16.600000000000001</v>
      </c>
      <c r="BD33" s="12">
        <f>IF('Données projet'!$A$88&gt;35,BD32+BC33-BL32,IF(A33&lt;'Données projet'!$A$88,$BA$205^A33,IF(A33='Données projet'!$A$88,'Données projet'!$B$88,BD32+BC33-BL32)))</f>
        <v>246.99999999999994</v>
      </c>
      <c r="BE33" s="13">
        <f>BD33*VLOOKUP('Données projet'!$B$11,Paramètres!$A$1:$I$89,3,0)*VLOOKUP('Données projet'!$B$11,Paramètres!$A$1:$I$89,5,0)</f>
        <v>196.51319999999996</v>
      </c>
      <c r="BF33" s="13">
        <f t="shared" si="37"/>
        <v>48.977092002823696</v>
      </c>
      <c r="BG33" s="20">
        <f t="shared" si="7"/>
        <v>427.56225857158444</v>
      </c>
      <c r="BH33" s="59">
        <f t="shared" si="8"/>
        <v>720.89559190491775</v>
      </c>
      <c r="BI33" s="59">
        <f ca="1">AVERAGE(OFFSET($BH$3,0,0,'Données projet'!$E$11+1,1))-AVERAGE(OFFSET($H$3,0,0,'Données projet'!$E$11+1,1))</f>
        <v>314.94704727988847</v>
      </c>
      <c r="BJ33" s="59">
        <f t="shared" si="38"/>
        <v>366.49199094166454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3.9155884655739612</v>
      </c>
      <c r="BQ33" s="21">
        <f>EXP(-LN(2)/25)*BQ32+(1-EXP(-LN(2)/25))/(LN(2)/25)*Calculateur!BL33*Calculateur!BN33*VLOOKUP('Données projet'!$B$11,Paramètres!$A$1:$I$89,3,0)*0.475*44/12</f>
        <v>25.406892880265318</v>
      </c>
      <c r="BR33" s="21">
        <f>EXP(-LN(2)/2)*BR32+(1-EXP(-LN(2)/2))/(LN(2)/2)*BL33*BO33*VLOOKUP('Données projet'!$B$11,Paramètres!$A$1:$I$89,3,0)*0.475*44/12</f>
        <v>28.869236580755118</v>
      </c>
      <c r="BS33" s="22">
        <f t="shared" si="9"/>
        <v>58.191717926594393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247</v>
      </c>
      <c r="BW33" s="12">
        <f>VLOOKUP(A33,'Données projet'!$A$113:$I$133,9,0)</f>
        <v>16.600000000000001</v>
      </c>
      <c r="BX33" s="12">
        <f t="array" ref="BX33">INDEX(BW:BW,MIN(IF(ISNUMBER(BW33:BW229),ROW(BW33:BW229),"")))</f>
        <v>16.600000000000001</v>
      </c>
      <c r="BY33" s="12">
        <f>IF('Données projet'!$A$114&gt;35,BY32+BX33-CG32,IF(A33&lt;'Données projet'!$A$114,$BV$205^A33,IF(A33='Données projet'!$A$114,'Données projet'!$B$114,BY32+BX33-CG32)))</f>
        <v>246.99999999999994</v>
      </c>
      <c r="BZ33" s="13">
        <f>BY33*VLOOKUP('Données projet'!$B$12,Paramètres!$A$1:$I$89,3,0)*VLOOKUP('Données projet'!$B$12,Paramètres!$A$1:$I$89,5,0)</f>
        <v>196.51319999999996</v>
      </c>
      <c r="CA33" s="13">
        <f t="shared" si="39"/>
        <v>48.977092002823696</v>
      </c>
      <c r="CB33" s="20">
        <f t="shared" si="10"/>
        <v>427.56225857158444</v>
      </c>
      <c r="CC33" s="59">
        <f t="shared" si="11"/>
        <v>720.89559190491775</v>
      </c>
      <c r="CD33" s="59">
        <f ca="1">AVERAGE(OFFSET($CC$3,0,0,'Données projet'!$E$12+1,1))-AVERAGE(OFFSET($H$3,0,0,'Données projet'!$E$12+1,1))</f>
        <v>314.94704727988847</v>
      </c>
      <c r="CE33" s="59">
        <f t="shared" si="40"/>
        <v>366.49199094166454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5.3000000000000005E-2</v>
      </c>
      <c r="CI33" s="16">
        <f>IF(ISNA(VLOOKUP(A33,'Données projet'!$A$113:$I$133,6,0)),0%,VLOOKUP(A33,'Données projet'!$A$113:$I$133,6,0)*VLOOKUP('Données projet'!$B$12,Paramètres!$A$1:$I$89,7,0))</f>
        <v>0.23850000000000002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3.9155884655739612</v>
      </c>
      <c r="CL33" s="21">
        <f>EXP(-LN(2)/25)*CL32+(1-EXP(-LN(2)/25))/(LN(2)/25)*Calculateur!CG33*Calculateur!CI33*VLOOKUP('Données projet'!$B$12,Paramètres!$A$1:$I$89,3,0)*0.475*44/12</f>
        <v>25.406892880265318</v>
      </c>
      <c r="CM33" s="21">
        <f>EXP(-LN(2)/2)*CM32+(1-EXP(-LN(2)/2))/(LN(2)/2)*CG33*CJ33*VLOOKUP('Données projet'!$B$12,Paramètres!$A$1:$I$89,3,0)*0.475*44/12</f>
        <v>28.869236580755118</v>
      </c>
      <c r="CN33" s="22">
        <f t="shared" si="12"/>
        <v>58.191717926594393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121.88461538461537</v>
      </c>
      <c r="CR33" s="12">
        <f>VLOOKUP(A33,'Données projet'!$A$139:$I$159,9,0)</f>
        <v>4.0628205128205126</v>
      </c>
      <c r="CS33" s="12">
        <f t="array" ref="CS33">INDEX(CR:CR,MIN(IF(ISNUMBER(CR33:CR229),ROW(CR33:CR229),"")))</f>
        <v>4.0628205128205126</v>
      </c>
      <c r="CT33" s="12">
        <f>IF('Données projet'!$A$140&gt;35,CT32+CS33-DB32,IF(A33&lt;'Données projet'!$A$140,$CQ$205^A33,IF(A33='Données projet'!$A$140,'Données projet'!$B$140,CT32+CS33-DB32)))</f>
        <v>121.88461538461537</v>
      </c>
      <c r="CU33" s="17">
        <f>CT33*VLOOKUP('Données projet'!$B$13,Paramètres!$A$1:$I$89,3,0)*VLOOKUP('Données projet'!$B$13,Paramètres!$A$1:$I$89,5,0)</f>
        <v>110.2812</v>
      </c>
      <c r="CV33" s="13">
        <f t="shared" si="41"/>
        <v>29.397227638069996</v>
      </c>
      <c r="CW33" s="20">
        <f t="shared" si="13"/>
        <v>243.27326146963856</v>
      </c>
      <c r="CX33" s="59">
        <f t="shared" si="14"/>
        <v>536.60659480297181</v>
      </c>
      <c r="CY33" s="59">
        <f ca="1">AVERAGE(OFFSET($CX$3,0,0,'Données projet'!$E$13+1,1))-AVERAGE(OFFSET($H$3,0,0,'Données projet'!$E$13+1,1))</f>
        <v>221.7429870520005</v>
      </c>
      <c r="CZ33" s="59">
        <f t="shared" si="42"/>
        <v>182.2029938397186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131.53349999999995</v>
      </c>
      <c r="P34" s="13">
        <f t="shared" si="33"/>
        <v>34.350463947059481</v>
      </c>
      <c r="Q34" s="20">
        <f t="shared" si="2"/>
        <v>288.91457054112851</v>
      </c>
      <c r="R34" s="59">
        <f t="shared" si="0"/>
        <v>582.24790387446183</v>
      </c>
      <c r="S34" s="59">
        <f ca="1">AVERAGE(OFFSET($R$3,0,0,'Données projet'!$E$9+1,1))-AVERAGE(OFFSET($H$3,0,0,'Données projet'!$E$9+1,1))</f>
        <v>199.01551760562705</v>
      </c>
      <c r="T34" s="59">
        <f t="shared" si="34"/>
        <v>269.50915104901367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2.465828978144895</v>
      </c>
      <c r="AA34" s="21">
        <f>EXP(-LN(2)/25)*AA33+(1-EXP(-LN(2)/25))/(LN(2)/25)*Calculateur!V34*Calculateur!X34*VLOOKUP('Données projet'!$B$9,Paramètres!$A$1:$I$89,3,0)*0.475*44/12</f>
        <v>12.635671515728019</v>
      </c>
      <c r="AB34" s="21">
        <f>EXP(-LN(2)/2)*AB33+(1-EXP(-LN(2)/2))/(LN(2)/2)*V34*Y34*VLOOKUP('Données projet'!$B$9,Paramètres!$A$1:$I$89,3,0)*0.475*44/12</f>
        <v>0.97420934244190316</v>
      </c>
      <c r="AC34" s="22">
        <f t="shared" si="3"/>
        <v>16.075709836314818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18.2</v>
      </c>
      <c r="AI34" s="13">
        <f>IF('Données projet'!$A$62&gt;35,AI33+AH34-AQ33,IF(A34&lt;'Données projet'!$A$62,$AF$205^A34,IF(A34='Données projet'!$A$62,'Données projet'!$B$62,AI33+AH34-AQ33)))</f>
        <v>177.20000000000005</v>
      </c>
      <c r="AJ34" s="13">
        <f>AI34*VLOOKUP('Données projet'!$B$10,Paramètres!$A$1:$I$89,3,0)*VLOOKUP('Données projet'!$B$10,Paramètres!$A$1:$I$89,5,0)</f>
        <v>105.96560000000004</v>
      </c>
      <c r="AK34" s="13">
        <f t="shared" si="35"/>
        <v>28.378391242376729</v>
      </c>
      <c r="AL34" s="20">
        <f t="shared" si="4"/>
        <v>233.98245141380619</v>
      </c>
      <c r="AM34" s="59">
        <f t="shared" si="5"/>
        <v>527.31578474713956</v>
      </c>
      <c r="AN34" s="59">
        <f ca="1">AVERAGE(OFFSET($AM$3,0,0,'Données projet'!$E$10+1,1))-AVERAGE(OFFSET($H$3,0,0,'Données projet'!$E$10+1,1))</f>
        <v>316.58509520829671</v>
      </c>
      <c r="AO34" s="59">
        <f t="shared" si="36"/>
        <v>240.71332110643596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2.4848463872969493</v>
      </c>
      <c r="AV34" s="21">
        <f>EXP(-LN(2)/25)*AV33+(1-EXP(-LN(2)/25))/(LN(2)/25)*Calculateur!AQ34*Calculateur!AS34*VLOOKUP('Données projet'!$B$10,Paramètres!$A$1:$I$89,3,0)*0.475*44/12</f>
        <v>14.850424461515473</v>
      </c>
      <c r="AW34" s="21">
        <f>EXP(-LN(2)/2)*AW33+(1-EXP(-LN(2)/2))/(LN(2)/2)*AQ34*AT34*VLOOKUP('Données projet'!$B$10,Paramètres!$A$1:$I$89,3,0)*0.475*44/12</f>
        <v>15.513458259674637</v>
      </c>
      <c r="AX34" s="21">
        <f t="shared" si="6"/>
        <v>32.848729108487056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14.2</v>
      </c>
      <c r="BD34" s="12">
        <f>IF('Données projet'!$A$88&gt;35,BD33+BC34-BL33,IF(A34&lt;'Données projet'!$A$88,$BA$205^A34,IF(A34='Données projet'!$A$88,'Données projet'!$B$88,BD33+BC34-BL33)))</f>
        <v>177.19999999999993</v>
      </c>
      <c r="BE34" s="13">
        <f>BD34*VLOOKUP('Données projet'!$B$11,Paramètres!$A$1:$I$89,3,0)*VLOOKUP('Données projet'!$B$11,Paramètres!$A$1:$I$89,5,0)</f>
        <v>140.98031999999995</v>
      </c>
      <c r="BF34" s="13">
        <f t="shared" si="37"/>
        <v>36.521491755743504</v>
      </c>
      <c r="BG34" s="20">
        <f t="shared" si="7"/>
        <v>309.14898880791981</v>
      </c>
      <c r="BH34" s="59">
        <f t="shared" si="8"/>
        <v>602.48232214125312</v>
      </c>
      <c r="BI34" s="59">
        <f ca="1">AVERAGE(OFFSET($BH$3,0,0,'Données projet'!$E$11+1,1))-AVERAGE(OFFSET($H$3,0,0,'Données projet'!$E$11+1,1))</f>
        <v>314.94704727988847</v>
      </c>
      <c r="BJ34" s="59">
        <f t="shared" si="38"/>
        <v>366.49199094166454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3.8388061640371975</v>
      </c>
      <c r="BQ34" s="21">
        <f>EXP(-LN(2)/25)*BQ33+(1-EXP(-LN(2)/25))/(LN(2)/25)*Calculateur!BL34*Calculateur!BN34*VLOOKUP('Données projet'!$B$11,Paramètres!$A$1:$I$89,3,0)*0.475*44/12</f>
        <v>24.712140058364035</v>
      </c>
      <c r="BR34" s="21">
        <f>EXP(-LN(2)/2)*BR33+(1-EXP(-LN(2)/2))/(LN(2)/2)*BL34*BO34*VLOOKUP('Données projet'!$B$11,Paramètres!$A$1:$I$89,3,0)*0.475*44/12</f>
        <v>20.413632953930684</v>
      </c>
      <c r="BS34" s="22">
        <f t="shared" si="9"/>
        <v>48.964579176331917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14.2</v>
      </c>
      <c r="BY34" s="12">
        <f>IF('Données projet'!$A$114&gt;35,BY33+BX34-CG33,IF(A34&lt;'Données projet'!$A$114,$BV$205^A34,IF(A34='Données projet'!$A$114,'Données projet'!$B$114,BY33+BX34-CG33)))</f>
        <v>177.19999999999993</v>
      </c>
      <c r="BZ34" s="13">
        <f>BY34*VLOOKUP('Données projet'!$B$12,Paramètres!$A$1:$I$89,3,0)*VLOOKUP('Données projet'!$B$12,Paramètres!$A$1:$I$89,5,0)</f>
        <v>140.98031999999995</v>
      </c>
      <c r="CA34" s="13">
        <f t="shared" si="39"/>
        <v>36.521491755743504</v>
      </c>
      <c r="CB34" s="20">
        <f t="shared" si="10"/>
        <v>309.14898880791981</v>
      </c>
      <c r="CC34" s="59">
        <f t="shared" si="11"/>
        <v>602.48232214125312</v>
      </c>
      <c r="CD34" s="59">
        <f ca="1">AVERAGE(OFFSET($CC$3,0,0,'Données projet'!$E$12+1,1))-AVERAGE(OFFSET($H$3,0,0,'Données projet'!$E$12+1,1))</f>
        <v>314.94704727988847</v>
      </c>
      <c r="CE34" s="59">
        <f t="shared" si="40"/>
        <v>366.49199094166454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3.8388061640371975</v>
      </c>
      <c r="CL34" s="21">
        <f>EXP(-LN(2)/25)*CL33+(1-EXP(-LN(2)/25))/(LN(2)/25)*Calculateur!CG34*Calculateur!CI34*VLOOKUP('Données projet'!$B$12,Paramètres!$A$1:$I$89,3,0)*0.475*44/12</f>
        <v>24.712140058364035</v>
      </c>
      <c r="CM34" s="21">
        <f>EXP(-LN(2)/2)*CM33+(1-EXP(-LN(2)/2))/(LN(2)/2)*CG34*CJ34*VLOOKUP('Données projet'!$B$12,Paramètres!$A$1:$I$89,3,0)*0.475*44/12</f>
        <v>20.413632953930684</v>
      </c>
      <c r="CN34" s="22">
        <f t="shared" si="12"/>
        <v>48.964579176331917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8.0564102564102562</v>
      </c>
      <c r="CT34" s="12">
        <f>IF('Données projet'!$A$140&gt;35,CT33+CS34-DB33,IF(A34&lt;'Données projet'!$A$140,$CQ$205^A34,IF(A34='Données projet'!$A$140,'Données projet'!$B$140,CT33+CS34-DB33)))</f>
        <v>129.94102564102562</v>
      </c>
      <c r="CU34" s="17">
        <f>CT34*VLOOKUP('Données projet'!$B$13,Paramètres!$A$1:$I$89,3,0)*VLOOKUP('Données projet'!$B$13,Paramètres!$A$1:$I$89,5,0)</f>
        <v>117.57063999999997</v>
      </c>
      <c r="CV34" s="13">
        <f t="shared" si="41"/>
        <v>31.107718284302781</v>
      </c>
      <c r="CW34" s="20">
        <f t="shared" si="13"/>
        <v>258.94814067849393</v>
      </c>
      <c r="CX34" s="59">
        <f t="shared" si="14"/>
        <v>552.28147401182719</v>
      </c>
      <c r="CY34" s="59">
        <f ca="1">AVERAGE(OFFSET($CX$3,0,0,'Données projet'!$E$13+1,1))-AVERAGE(OFFSET($H$3,0,0,'Données projet'!$E$13+1,1))</f>
        <v>221.7429870520005</v>
      </c>
      <c r="CZ34" s="59">
        <f t="shared" si="42"/>
        <v>182.2029938397186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141.94599999999991</v>
      </c>
      <c r="P35" s="13">
        <f t="shared" si="33"/>
        <v>36.742447975949794</v>
      </c>
      <c r="Q35" s="20">
        <f t="shared" ref="Q35:Q66" si="53">(O35+P35)*0.475*44/12</f>
        <v>311.21571355811238</v>
      </c>
      <c r="R35" s="59">
        <f t="shared" si="0"/>
        <v>604.54904689144564</v>
      </c>
      <c r="S35" s="59">
        <f ca="1">AVERAGE(OFFSET($R$3,0,0,'Données projet'!$E$9+1,1))-AVERAGE(OFFSET($H$3,0,0,'Données projet'!$E$9+1,1))</f>
        <v>199.01551760562705</v>
      </c>
      <c r="T35" s="59">
        <f t="shared" si="34"/>
        <v>269.50915104901367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2.4174755758906419</v>
      </c>
      <c r="AA35" s="21">
        <f>EXP(-LN(2)/25)*AA34+(1-EXP(-LN(2)/25))/(LN(2)/25)*Calculateur!V35*Calculateur!X35*VLOOKUP('Données projet'!$B$9,Paramètres!$A$1:$I$89,3,0)*0.475*44/12</f>
        <v>12.29014841364935</v>
      </c>
      <c r="AB35" s="21">
        <f>EXP(-LN(2)/2)*AB34+(1-EXP(-LN(2)/2))/(LN(2)/2)*V35*Y35*VLOOKUP('Données projet'!$B$9,Paramètres!$A$1:$I$89,3,0)*0.475*44/12</f>
        <v>0.68887003233595723</v>
      </c>
      <c r="AC35" s="22">
        <f t="shared" si="3"/>
        <v>15.396494021875949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18.2</v>
      </c>
      <c r="AI35" s="13">
        <f>IF('Données projet'!$A$62&gt;35,AI34+AH35-AQ34,IF(A35&lt;'Données projet'!$A$62,$AF$205^A35,IF(A35='Données projet'!$A$62,'Données projet'!$B$62,AI34+AH35-AQ34)))</f>
        <v>195.40000000000003</v>
      </c>
      <c r="AJ35" s="13">
        <f>AI35*VLOOKUP('Données projet'!$B$10,Paramètres!$A$1:$I$89,3,0)*VLOOKUP('Données projet'!$B$10,Paramètres!$A$1:$I$89,5,0)</f>
        <v>116.84920000000002</v>
      </c>
      <c r="AK35" s="13">
        <f t="shared" si="35"/>
        <v>30.938992822101849</v>
      </c>
      <c r="AL35" s="20">
        <f t="shared" si="4"/>
        <v>257.39776916516081</v>
      </c>
      <c r="AM35" s="59">
        <f t="shared" si="5"/>
        <v>550.73110249849412</v>
      </c>
      <c r="AN35" s="59">
        <f ca="1">AVERAGE(OFFSET($AM$3,0,0,'Données projet'!$E$10+1,1))-AVERAGE(OFFSET($H$3,0,0,'Données projet'!$E$10+1,1))</f>
        <v>316.58509520829671</v>
      </c>
      <c r="AO35" s="59">
        <f t="shared" si="36"/>
        <v>240.71332110643596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2.4361200652486987</v>
      </c>
      <c r="AV35" s="21">
        <f>EXP(-LN(2)/25)*AV34+(1-EXP(-LN(2)/25))/(LN(2)/25)*Calculateur!AQ35*Calculateur!AS35*VLOOKUP('Données projet'!$B$10,Paramètres!$A$1:$I$89,3,0)*0.475*44/12</f>
        <v>14.444338823665451</v>
      </c>
      <c r="AW35" s="21">
        <f>EXP(-LN(2)/2)*AW34+(1-EXP(-LN(2)/2))/(LN(2)/2)*AQ35*AT35*VLOOKUP('Données projet'!$B$10,Paramètres!$A$1:$I$89,3,0)*0.475*44/12</f>
        <v>10.969671535070393</v>
      </c>
      <c r="AX35" s="21">
        <f t="shared" si="6"/>
        <v>27.850130423984542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14.2</v>
      </c>
      <c r="BD35" s="12">
        <f>IF('Données projet'!$A$88&gt;35,BD34+BC35-BL34,IF(A35&lt;'Données projet'!$A$88,$BA$205^A35,IF(A35='Données projet'!$A$88,'Données projet'!$B$88,BD34+BC35-BL34)))</f>
        <v>191.39999999999992</v>
      </c>
      <c r="BE35" s="13">
        <f>BD35*VLOOKUP('Données projet'!$B$11,Paramètres!$A$1:$I$89,3,0)*VLOOKUP('Données projet'!$B$11,Paramètres!$A$1:$I$89,5,0)</f>
        <v>152.27783999999994</v>
      </c>
      <c r="BF35" s="13">
        <f t="shared" si="37"/>
        <v>39.095778001655354</v>
      </c>
      <c r="BG35" s="20">
        <f t="shared" si="7"/>
        <v>333.30905135288299</v>
      </c>
      <c r="BH35" s="59">
        <f t="shared" si="8"/>
        <v>626.64238468621625</v>
      </c>
      <c r="BI35" s="59">
        <f ca="1">AVERAGE(OFFSET($BH$3,0,0,'Données projet'!$E$11+1,1))-AVERAGE(OFFSET($H$3,0,0,'Données projet'!$E$11+1,1))</f>
        <v>314.94704727988847</v>
      </c>
      <c r="BJ35" s="59">
        <f t="shared" si="38"/>
        <v>366.49199094166454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3.7635295166009901</v>
      </c>
      <c r="BQ35" s="21">
        <f>EXP(-LN(2)/25)*BQ34+(1-EXP(-LN(2)/25))/(LN(2)/25)*Calculateur!BL35*Calculateur!BN35*VLOOKUP('Données projet'!$B$11,Paramètres!$A$1:$I$89,3,0)*0.475*44/12</f>
        <v>24.036385288913106</v>
      </c>
      <c r="BR35" s="21">
        <f>EXP(-LN(2)/2)*BR34+(1-EXP(-LN(2)/2))/(LN(2)/2)*BL35*BO35*VLOOKUP('Données projet'!$B$11,Paramètres!$A$1:$I$89,3,0)*0.475*44/12</f>
        <v>14.434618290377561</v>
      </c>
      <c r="BS35" s="22">
        <f t="shared" si="9"/>
        <v>42.234533095891656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14.2</v>
      </c>
      <c r="BY35" s="12">
        <f>IF('Données projet'!$A$114&gt;35,BY34+BX35-CG34,IF(A35&lt;'Données projet'!$A$114,$BV$205^A35,IF(A35='Données projet'!$A$114,'Données projet'!$B$114,BY34+BX35-CG34)))</f>
        <v>191.39999999999992</v>
      </c>
      <c r="BZ35" s="13">
        <f>BY35*VLOOKUP('Données projet'!$B$12,Paramètres!$A$1:$I$89,3,0)*VLOOKUP('Données projet'!$B$12,Paramètres!$A$1:$I$89,5,0)</f>
        <v>152.27783999999994</v>
      </c>
      <c r="CA35" s="13">
        <f t="shared" si="39"/>
        <v>39.095778001655354</v>
      </c>
      <c r="CB35" s="20">
        <f t="shared" si="10"/>
        <v>333.30905135288299</v>
      </c>
      <c r="CC35" s="59">
        <f t="shared" si="11"/>
        <v>626.64238468621625</v>
      </c>
      <c r="CD35" s="59">
        <f ca="1">AVERAGE(OFFSET($CC$3,0,0,'Données projet'!$E$12+1,1))-AVERAGE(OFFSET($H$3,0,0,'Données projet'!$E$12+1,1))</f>
        <v>314.94704727988847</v>
      </c>
      <c r="CE35" s="59">
        <f t="shared" si="40"/>
        <v>366.49199094166454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3.7635295166009901</v>
      </c>
      <c r="CL35" s="21">
        <f>EXP(-LN(2)/25)*CL34+(1-EXP(-LN(2)/25))/(LN(2)/25)*Calculateur!CG35*Calculateur!CI35*VLOOKUP('Données projet'!$B$12,Paramètres!$A$1:$I$89,3,0)*0.475*44/12</f>
        <v>24.036385288913106</v>
      </c>
      <c r="CM35" s="21">
        <f>EXP(-LN(2)/2)*CM34+(1-EXP(-LN(2)/2))/(LN(2)/2)*CG35*CJ35*VLOOKUP('Données projet'!$B$12,Paramètres!$A$1:$I$89,3,0)*0.475*44/12</f>
        <v>14.434618290377561</v>
      </c>
      <c r="CN35" s="22">
        <f t="shared" si="12"/>
        <v>42.234533095891656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8.0564102564102562</v>
      </c>
      <c r="CT35" s="12">
        <f>IF('Données projet'!$A$140&gt;35,CT34+CS35-DB34,IF(A35&lt;'Données projet'!$A$140,$CQ$205^A35,IF(A35='Données projet'!$A$140,'Données projet'!$B$140,CT34+CS35-DB34)))</f>
        <v>137.99743589743588</v>
      </c>
      <c r="CU35" s="17">
        <f>CT35*VLOOKUP('Données projet'!$B$13,Paramètres!$A$1:$I$89,3,0)*VLOOKUP('Données projet'!$B$13,Paramètres!$A$1:$I$89,5,0)</f>
        <v>124.86007999999998</v>
      </c>
      <c r="CV35" s="13">
        <f t="shared" si="41"/>
        <v>32.805900674075268</v>
      </c>
      <c r="CW35" s="20">
        <f t="shared" si="13"/>
        <v>274.60158300734776</v>
      </c>
      <c r="CX35" s="59">
        <f t="shared" si="14"/>
        <v>567.93491634068107</v>
      </c>
      <c r="CY35" s="59">
        <f ca="1">AVERAGE(OFFSET($CX$3,0,0,'Données projet'!$E$13+1,1))-AVERAGE(OFFSET($H$3,0,0,'Données projet'!$E$13+1,1))</f>
        <v>221.7429870520005</v>
      </c>
      <c r="CZ35" s="59">
        <f t="shared" si="42"/>
        <v>182.2029938397186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152.35849999999991</v>
      </c>
      <c r="P36" s="13">
        <f t="shared" si="33"/>
        <v>39.114075583185979</v>
      </c>
      <c r="Q36" s="20">
        <f t="shared" si="53"/>
        <v>333.48140247404876</v>
      </c>
      <c r="R36" s="59">
        <f t="shared" si="0"/>
        <v>626.81473580738202</v>
      </c>
      <c r="S36" s="59">
        <f ca="1">AVERAGE(OFFSET($R$3,0,0,'Données projet'!$E$9+1,1))-AVERAGE(OFFSET($H$3,0,0,'Données projet'!$E$9+1,1))</f>
        <v>199.01551760562705</v>
      </c>
      <c r="T36" s="59">
        <f t="shared" si="34"/>
        <v>269.50915104901367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2.3700703543619315</v>
      </c>
      <c r="AA36" s="21">
        <f>EXP(-LN(2)/25)*AA35+(1-EXP(-LN(2)/25))/(LN(2)/25)*Calculateur!V36*Calculateur!X36*VLOOKUP('Données projet'!$B$9,Paramètres!$A$1:$I$89,3,0)*0.475*44/12</f>
        <v>11.954073658967292</v>
      </c>
      <c r="AB36" s="21">
        <f>EXP(-LN(2)/2)*AB35+(1-EXP(-LN(2)/2))/(LN(2)/2)*V36*Y36*VLOOKUP('Données projet'!$B$9,Paramètres!$A$1:$I$89,3,0)*0.475*44/12</f>
        <v>0.48710467122095163</v>
      </c>
      <c r="AC36" s="22">
        <f t="shared" si="3"/>
        <v>14.811248684550176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18.2</v>
      </c>
      <c r="AI36" s="13">
        <f>IF('Données projet'!$A$62&gt;35,AI35+AH36-AQ35,IF(A36&lt;'Données projet'!$A$62,$AF$205^A36,IF(A36='Données projet'!$A$62,'Données projet'!$B$62,AI35+AH36-AQ35)))</f>
        <v>213.60000000000002</v>
      </c>
      <c r="AJ36" s="13">
        <f>AI36*VLOOKUP('Données projet'!$B$10,Paramètres!$A$1:$I$89,3,0)*VLOOKUP('Données projet'!$B$10,Paramètres!$A$1:$I$89,5,0)</f>
        <v>127.73280000000003</v>
      </c>
      <c r="AK36" s="13">
        <f t="shared" si="35"/>
        <v>33.471940749957469</v>
      </c>
      <c r="AL36" s="20">
        <f t="shared" si="4"/>
        <v>280.76492347284267</v>
      </c>
      <c r="AM36" s="59">
        <f t="shared" si="5"/>
        <v>574.09825680617598</v>
      </c>
      <c r="AN36" s="59">
        <f ca="1">AVERAGE(OFFSET($AM$3,0,0,'Données projet'!$E$10+1,1))-AVERAGE(OFFSET($H$3,0,0,'Données projet'!$E$10+1,1))</f>
        <v>316.58509520829671</v>
      </c>
      <c r="AO36" s="59">
        <f t="shared" si="36"/>
        <v>240.71332110643596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2.3883492366556927</v>
      </c>
      <c r="AV36" s="21">
        <f>EXP(-LN(2)/25)*AV35+(1-EXP(-LN(2)/25))/(LN(2)/25)*Calculateur!AQ36*Calculateur!AS36*VLOOKUP('Données projet'!$B$10,Paramètres!$A$1:$I$89,3,0)*0.475*44/12</f>
        <v>14.049357618937552</v>
      </c>
      <c r="AW36" s="21">
        <f>EXP(-LN(2)/2)*AW35+(1-EXP(-LN(2)/2))/(LN(2)/2)*AQ36*AT36*VLOOKUP('Données projet'!$B$10,Paramètres!$A$1:$I$89,3,0)*0.475*44/12</f>
        <v>7.7567291298373204</v>
      </c>
      <c r="AX36" s="21">
        <f t="shared" si="6"/>
        <v>24.194435985430566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14.2</v>
      </c>
      <c r="BD36" s="12">
        <f>IF('Données projet'!$A$88&gt;35,BD35+BC36-BL35,IF(A36&lt;'Données projet'!$A$88,$BA$205^A36,IF(A36='Données projet'!$A$88,'Données projet'!$B$88,BD35+BC36-BL35)))</f>
        <v>205.59999999999991</v>
      </c>
      <c r="BE36" s="13">
        <f>BD36*VLOOKUP('Données projet'!$B$11,Paramètres!$A$1:$I$89,3,0)*VLOOKUP('Données projet'!$B$11,Paramètres!$A$1:$I$89,5,0)</f>
        <v>163.57535999999993</v>
      </c>
      <c r="BF36" s="13">
        <f t="shared" si="37"/>
        <v>41.647907659103069</v>
      </c>
      <c r="BG36" s="20">
        <f t="shared" si="7"/>
        <v>357.43052450627101</v>
      </c>
      <c r="BH36" s="59">
        <f t="shared" si="8"/>
        <v>650.76385783960427</v>
      </c>
      <c r="BI36" s="59">
        <f ca="1">AVERAGE(OFFSET($BH$3,0,0,'Données projet'!$E$11+1,1))-AVERAGE(OFFSET($H$3,0,0,'Données projet'!$E$11+1,1))</f>
        <v>314.94704727988847</v>
      </c>
      <c r="BJ36" s="59">
        <f t="shared" si="38"/>
        <v>366.49199094166454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3.6897289983067854</v>
      </c>
      <c r="BQ36" s="21">
        <f>EXP(-LN(2)/25)*BQ35+(1-EXP(-LN(2)/25))/(LN(2)/25)*Calculateur!BL36*Calculateur!BN36*VLOOKUP('Données projet'!$B$11,Paramètres!$A$1:$I$89,3,0)*0.475*44/12</f>
        <v>23.37910906916921</v>
      </c>
      <c r="BR36" s="21">
        <f>EXP(-LN(2)/2)*BR35+(1-EXP(-LN(2)/2))/(LN(2)/2)*BL36*BO36*VLOOKUP('Données projet'!$B$11,Paramètres!$A$1:$I$89,3,0)*0.475*44/12</f>
        <v>10.206816476965344</v>
      </c>
      <c r="BS36" s="22">
        <f t="shared" si="9"/>
        <v>37.275654544441338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14.2</v>
      </c>
      <c r="BY36" s="12">
        <f>IF('Données projet'!$A$114&gt;35,BY35+BX36-CG35,IF(A36&lt;'Données projet'!$A$114,$BV$205^A36,IF(A36='Données projet'!$A$114,'Données projet'!$B$114,BY35+BX36-CG35)))</f>
        <v>205.59999999999991</v>
      </c>
      <c r="BZ36" s="13">
        <f>BY36*VLOOKUP('Données projet'!$B$12,Paramètres!$A$1:$I$89,3,0)*VLOOKUP('Données projet'!$B$12,Paramètres!$A$1:$I$89,5,0)</f>
        <v>163.57535999999993</v>
      </c>
      <c r="CA36" s="13">
        <f t="shared" si="39"/>
        <v>41.647907659103069</v>
      </c>
      <c r="CB36" s="20">
        <f t="shared" si="10"/>
        <v>357.43052450627101</v>
      </c>
      <c r="CC36" s="59">
        <f t="shared" si="11"/>
        <v>650.76385783960427</v>
      </c>
      <c r="CD36" s="59">
        <f ca="1">AVERAGE(OFFSET($CC$3,0,0,'Données projet'!$E$12+1,1))-AVERAGE(OFFSET($H$3,0,0,'Données projet'!$E$12+1,1))</f>
        <v>314.94704727988847</v>
      </c>
      <c r="CE36" s="59">
        <f t="shared" si="40"/>
        <v>366.49199094166454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3.6897289983067854</v>
      </c>
      <c r="CL36" s="21">
        <f>EXP(-LN(2)/25)*CL35+(1-EXP(-LN(2)/25))/(LN(2)/25)*Calculateur!CG36*Calculateur!CI36*VLOOKUP('Données projet'!$B$12,Paramètres!$A$1:$I$89,3,0)*0.475*44/12</f>
        <v>23.37910906916921</v>
      </c>
      <c r="CM36" s="21">
        <f>EXP(-LN(2)/2)*CM35+(1-EXP(-LN(2)/2))/(LN(2)/2)*CG36*CJ36*VLOOKUP('Données projet'!$B$12,Paramètres!$A$1:$I$89,3,0)*0.475*44/12</f>
        <v>10.206816476965344</v>
      </c>
      <c r="CN36" s="22">
        <f t="shared" si="12"/>
        <v>37.275654544441338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8.0564102564102562</v>
      </c>
      <c r="CT36" s="12">
        <f>IF('Données projet'!$A$140&gt;35,CT35+CS36-DB35,IF(A36&lt;'Données projet'!$A$140,$CQ$205^A36,IF(A36='Données projet'!$A$140,'Données projet'!$B$140,CT35+CS36-DB35)))</f>
        <v>146.05384615384614</v>
      </c>
      <c r="CU36" s="17">
        <f>CT36*VLOOKUP('Données projet'!$B$13,Paramètres!$A$1:$I$89,3,0)*VLOOKUP('Données projet'!$B$13,Paramètres!$A$1:$I$89,5,0)</f>
        <v>132.14951999999997</v>
      </c>
      <c r="CV36" s="13">
        <f t="shared" si="41"/>
        <v>34.49257523106499</v>
      </c>
      <c r="CW36" s="20">
        <f t="shared" si="13"/>
        <v>290.23498252743809</v>
      </c>
      <c r="CX36" s="59">
        <f t="shared" si="14"/>
        <v>583.56831586077146</v>
      </c>
      <c r="CY36" s="59">
        <f ca="1">AVERAGE(OFFSET($CX$3,0,0,'Données projet'!$E$13+1,1))-AVERAGE(OFFSET($H$3,0,0,'Données projet'!$E$13+1,1))</f>
        <v>221.7429870520005</v>
      </c>
      <c r="CZ36" s="59">
        <f t="shared" si="42"/>
        <v>182.2029938397186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162.7709999999999</v>
      </c>
      <c r="P37" s="13">
        <f t="shared" si="33"/>
        <v>41.466896238428177</v>
      </c>
      <c r="Q37" s="20">
        <f t="shared" si="53"/>
        <v>355.71433594859559</v>
      </c>
      <c r="R37" s="59">
        <f t="shared" si="0"/>
        <v>649.04766928192885</v>
      </c>
      <c r="S37" s="59">
        <f ca="1">AVERAGE(OFFSET($R$3,0,0,'Données projet'!$E$9+1,1))-AVERAGE(OFFSET($H$3,0,0,'Données projet'!$E$9+1,1))</f>
        <v>199.01551760562705</v>
      </c>
      <c r="T37" s="59">
        <f t="shared" si="34"/>
        <v>269.50915104901367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2.3235947203130691</v>
      </c>
      <c r="AA37" s="21">
        <f>EXP(-LN(2)/25)*AA36+(1-EXP(-LN(2)/25))/(LN(2)/25)*Calculateur!V37*Calculateur!X37*VLOOKUP('Données projet'!$B$9,Paramètres!$A$1:$I$89,3,0)*0.475*44/12</f>
        <v>11.627188886125419</v>
      </c>
      <c r="AB37" s="21">
        <f>EXP(-LN(2)/2)*AB36+(1-EXP(-LN(2)/2))/(LN(2)/2)*V37*Y37*VLOOKUP('Données projet'!$B$9,Paramètres!$A$1:$I$89,3,0)*0.475*44/12</f>
        <v>0.34443501616797867</v>
      </c>
      <c r="AC37" s="22">
        <f t="shared" si="3"/>
        <v>14.295218622606466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18.2</v>
      </c>
      <c r="AI37" s="13">
        <f>IF('Données projet'!$A$62&gt;35,AI36+AH37-AQ36,IF(A37&lt;'Données projet'!$A$62,$AF$205^A37,IF(A37='Données projet'!$A$62,'Données projet'!$B$62,AI36+AH37-AQ36)))</f>
        <v>231.8</v>
      </c>
      <c r="AJ37" s="13">
        <f>AI37*VLOOKUP('Données projet'!$B$10,Paramètres!$A$1:$I$89,3,0)*VLOOKUP('Données projet'!$B$10,Paramètres!$A$1:$I$89,5,0)</f>
        <v>138.61640000000003</v>
      </c>
      <c r="AK37" s="13">
        <f t="shared" si="35"/>
        <v>35.97985917844175</v>
      </c>
      <c r="AL37" s="20">
        <f t="shared" si="4"/>
        <v>304.08848473578604</v>
      </c>
      <c r="AM37" s="59">
        <f t="shared" si="5"/>
        <v>597.42181806911935</v>
      </c>
      <c r="AN37" s="59">
        <f ca="1">AVERAGE(OFFSET($AM$3,0,0,'Données projet'!$E$10+1,1))-AVERAGE(OFFSET($H$3,0,0,'Données projet'!$E$10+1,1))</f>
        <v>316.58509520829671</v>
      </c>
      <c r="AO37" s="59">
        <f t="shared" si="36"/>
        <v>240.71332110643596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2.3415151648740666</v>
      </c>
      <c r="AV37" s="21">
        <f>EXP(-LN(2)/25)*AV36+(1-EXP(-LN(2)/25))/(LN(2)/25)*Calculateur!AQ37*Calculateur!AS37*VLOOKUP('Données projet'!$B$10,Paramètres!$A$1:$I$89,3,0)*0.475*44/12</f>
        <v>13.665177196024098</v>
      </c>
      <c r="AW37" s="21">
        <f>EXP(-LN(2)/2)*AW36+(1-EXP(-LN(2)/2))/(LN(2)/2)*AQ37*AT37*VLOOKUP('Données projet'!$B$10,Paramètres!$A$1:$I$89,3,0)*0.475*44/12</f>
        <v>5.4848357675351975</v>
      </c>
      <c r="AX37" s="21">
        <f t="shared" si="6"/>
        <v>21.491528128433362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14.2</v>
      </c>
      <c r="BD37" s="12">
        <f>IF('Données projet'!$A$88&gt;35,BD36+BC37-BL36,IF(A37&lt;'Données projet'!$A$88,$BA$205^A37,IF(A37='Données projet'!$A$88,'Données projet'!$B$88,BD36+BC37-BL36)))</f>
        <v>219.7999999999999</v>
      </c>
      <c r="BE37" s="13">
        <f>BD37*VLOOKUP('Données projet'!$B$11,Paramètres!$A$1:$I$89,3,0)*VLOOKUP('Données projet'!$B$11,Paramètres!$A$1:$I$89,5,0)</f>
        <v>174.87287999999992</v>
      </c>
      <c r="BF37" s="13">
        <f t="shared" si="37"/>
        <v>44.179585076423599</v>
      </c>
      <c r="BG37" s="20">
        <f t="shared" si="7"/>
        <v>381.51637667477098</v>
      </c>
      <c r="BH37" s="59">
        <f t="shared" si="8"/>
        <v>674.84971000810424</v>
      </c>
      <c r="BI37" s="59">
        <f ca="1">AVERAGE(OFFSET($BH$3,0,0,'Données projet'!$E$11+1,1))-AVERAGE(OFFSET($H$3,0,0,'Données projet'!$E$11+1,1))</f>
        <v>314.94704727988847</v>
      </c>
      <c r="BJ37" s="59">
        <f t="shared" si="38"/>
        <v>366.49199094166454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3.6173756631624587</v>
      </c>
      <c r="BQ37" s="21">
        <f>EXP(-LN(2)/25)*BQ36+(1-EXP(-LN(2)/25))/(LN(2)/25)*Calculateur!BL37*Calculateur!BN37*VLOOKUP('Données projet'!$B$11,Paramètres!$A$1:$I$89,3,0)*0.475*44/12</f>
        <v>22.739806102218868</v>
      </c>
      <c r="BR37" s="21">
        <f>EXP(-LN(2)/2)*BR36+(1-EXP(-LN(2)/2))/(LN(2)/2)*BL37*BO37*VLOOKUP('Données projet'!$B$11,Paramètres!$A$1:$I$89,3,0)*0.475*44/12</f>
        <v>7.2173091451887812</v>
      </c>
      <c r="BS37" s="22">
        <f t="shared" si="9"/>
        <v>33.574490910570105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14.2</v>
      </c>
      <c r="BY37" s="12">
        <f>IF('Données projet'!$A$114&gt;35,BY36+BX37-CG36,IF(A37&lt;'Données projet'!$A$114,$BV$205^A37,IF(A37='Données projet'!$A$114,'Données projet'!$B$114,BY36+BX37-CG36)))</f>
        <v>219.7999999999999</v>
      </c>
      <c r="BZ37" s="13">
        <f>BY37*VLOOKUP('Données projet'!$B$12,Paramètres!$A$1:$I$89,3,0)*VLOOKUP('Données projet'!$B$12,Paramètres!$A$1:$I$89,5,0)</f>
        <v>174.87287999999992</v>
      </c>
      <c r="CA37" s="13">
        <f t="shared" si="39"/>
        <v>44.179585076423599</v>
      </c>
      <c r="CB37" s="20">
        <f t="shared" si="10"/>
        <v>381.51637667477098</v>
      </c>
      <c r="CC37" s="59">
        <f t="shared" si="11"/>
        <v>674.84971000810424</v>
      </c>
      <c r="CD37" s="59">
        <f ca="1">AVERAGE(OFFSET($CC$3,0,0,'Données projet'!$E$12+1,1))-AVERAGE(OFFSET($H$3,0,0,'Données projet'!$E$12+1,1))</f>
        <v>314.94704727988847</v>
      </c>
      <c r="CE37" s="59">
        <f t="shared" si="40"/>
        <v>366.49199094166454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3.6173756631624587</v>
      </c>
      <c r="CL37" s="21">
        <f>EXP(-LN(2)/25)*CL36+(1-EXP(-LN(2)/25))/(LN(2)/25)*Calculateur!CG37*Calculateur!CI37*VLOOKUP('Données projet'!$B$12,Paramètres!$A$1:$I$89,3,0)*0.475*44/12</f>
        <v>22.739806102218868</v>
      </c>
      <c r="CM37" s="21">
        <f>EXP(-LN(2)/2)*CM36+(1-EXP(-LN(2)/2))/(LN(2)/2)*CG37*CJ37*VLOOKUP('Données projet'!$B$12,Paramètres!$A$1:$I$89,3,0)*0.475*44/12</f>
        <v>7.2173091451887812</v>
      </c>
      <c r="CN37" s="22">
        <f t="shared" si="12"/>
        <v>33.574490910570105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8.0564102564102562</v>
      </c>
      <c r="CT37" s="12">
        <f>IF('Données projet'!$A$140&gt;35,CT36+CS37-DB36,IF(A37&lt;'Données projet'!$A$140,$CQ$205^A37,IF(A37='Données projet'!$A$140,'Données projet'!$B$140,CT36+CS37-DB36)))</f>
        <v>154.1102564102564</v>
      </c>
      <c r="CU37" s="17">
        <f>CT37*VLOOKUP('Données projet'!$B$13,Paramètres!$A$1:$I$89,3,0)*VLOOKUP('Données projet'!$B$13,Paramètres!$A$1:$I$89,5,0)</f>
        <v>139.43895999999998</v>
      </c>
      <c r="CV37" s="13">
        <f t="shared" si="41"/>
        <v>36.168449088081644</v>
      </c>
      <c r="CW37" s="20">
        <f t="shared" si="13"/>
        <v>305.84957082840884</v>
      </c>
      <c r="CX37" s="59">
        <f t="shared" si="14"/>
        <v>599.18290416174216</v>
      </c>
      <c r="CY37" s="59">
        <f ca="1">AVERAGE(OFFSET($CX$3,0,0,'Données projet'!$E$13+1,1))-AVERAGE(OFFSET($H$3,0,0,'Données projet'!$E$13+1,1))</f>
        <v>221.7429870520005</v>
      </c>
      <c r="CZ37" s="59">
        <f t="shared" si="42"/>
        <v>182.2029938397186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173.1834999999999</v>
      </c>
      <c r="P38" s="13">
        <f t="shared" si="33"/>
        <v>43.802249963590604</v>
      </c>
      <c r="Q38" s="20">
        <f t="shared" si="53"/>
        <v>377.9168478532535</v>
      </c>
      <c r="R38" s="59">
        <f t="shared" si="0"/>
        <v>671.25018118658681</v>
      </c>
      <c r="S38" s="59">
        <f ca="1">AVERAGE(OFFSET($R$3,0,0,'Données projet'!$E$9+1,1))-AVERAGE(OFFSET($H$3,0,0,'Données projet'!$E$9+1,1))</f>
        <v>199.01551760562705</v>
      </c>
      <c r="T38" s="59">
        <f t="shared" si="34"/>
        <v>269.50915104901367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2.2780304451005673</v>
      </c>
      <c r="AA38" s="21">
        <f>EXP(-LN(2)/25)*AA37+(1-EXP(-LN(2)/25))/(LN(2)/25)*Calculateur!V38*Calculateur!X38*VLOOKUP('Données projet'!$B$9,Paramètres!$A$1:$I$89,3,0)*0.475*44/12</f>
        <v>11.30924279458703</v>
      </c>
      <c r="AB38" s="21">
        <f>EXP(-LN(2)/2)*AB37+(1-EXP(-LN(2)/2))/(LN(2)/2)*V38*Y38*VLOOKUP('Données projet'!$B$9,Paramètres!$A$1:$I$89,3,0)*0.475*44/12</f>
        <v>0.24355233561047587</v>
      </c>
      <c r="AC38" s="22">
        <f t="shared" si="3"/>
        <v>13.830825575298073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18.2</v>
      </c>
      <c r="AI38" s="13">
        <f>IF('Données projet'!$A$62&gt;35,AI37+AH38-AQ37,IF(A38&lt;'Données projet'!$A$62,$AF$205^A38,IF(A38='Données projet'!$A$62,'Données projet'!$B$62,AI37+AH38-AQ37)))</f>
        <v>250</v>
      </c>
      <c r="AJ38" s="13">
        <f>AI38*VLOOKUP('Données projet'!$B$10,Paramètres!$A$1:$I$89,3,0)*VLOOKUP('Données projet'!$B$10,Paramètres!$A$1:$I$89,5,0)</f>
        <v>149.5</v>
      </c>
      <c r="AK38" s="13">
        <f t="shared" si="35"/>
        <v>38.464936755681478</v>
      </c>
      <c r="AL38" s="20">
        <f t="shared" si="4"/>
        <v>327.3722648494786</v>
      </c>
      <c r="AM38" s="59">
        <f t="shared" si="5"/>
        <v>620.70559818281185</v>
      </c>
      <c r="AN38" s="59">
        <f ca="1">AVERAGE(OFFSET($AM$3,0,0,'Données projet'!$E$10+1,1))-AVERAGE(OFFSET($H$3,0,0,'Données projet'!$E$10+1,1))</f>
        <v>316.58509520829671</v>
      </c>
      <c r="AO38" s="59">
        <f t="shared" si="36"/>
        <v>240.71332110643596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2.2955994806741153</v>
      </c>
      <c r="AV38" s="21">
        <f>EXP(-LN(2)/25)*AV37+(1-EXP(-LN(2)/25))/(LN(2)/25)*Calculateur!AQ38*Calculateur!AS38*VLOOKUP('Données projet'!$B$10,Paramètres!$A$1:$I$89,3,0)*0.475*44/12</f>
        <v>13.291502206978382</v>
      </c>
      <c r="AW38" s="21">
        <f>EXP(-LN(2)/2)*AW37+(1-EXP(-LN(2)/2))/(LN(2)/2)*AQ38*AT38*VLOOKUP('Données projet'!$B$10,Paramètres!$A$1:$I$89,3,0)*0.475*44/12</f>
        <v>3.8783645649186607</v>
      </c>
      <c r="AX38" s="21">
        <f t="shared" si="6"/>
        <v>19.465466252571158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14.2</v>
      </c>
      <c r="BD38" s="12">
        <f>IF('Données projet'!$A$88&gt;35,BD37+BC38-BL37,IF(A38&lt;'Données projet'!$A$88,$BA$205^A38,IF(A38='Données projet'!$A$88,'Données projet'!$B$88,BD37+BC38-BL37)))</f>
        <v>233.99999999999989</v>
      </c>
      <c r="BE38" s="13">
        <f>BD38*VLOOKUP('Données projet'!$B$11,Paramètres!$A$1:$I$89,3,0)*VLOOKUP('Données projet'!$B$11,Paramètres!$A$1:$I$89,5,0)</f>
        <v>186.17039999999992</v>
      </c>
      <c r="BF38" s="13">
        <f t="shared" si="37"/>
        <v>46.692281933796018</v>
      </c>
      <c r="BG38" s="20">
        <f t="shared" si="7"/>
        <v>405.56917103469459</v>
      </c>
      <c r="BH38" s="59">
        <f t="shared" si="8"/>
        <v>698.90250436802785</v>
      </c>
      <c r="BI38" s="59">
        <f ca="1">AVERAGE(OFFSET($BH$3,0,0,'Données projet'!$E$11+1,1))-AVERAGE(OFFSET($H$3,0,0,'Données projet'!$E$11+1,1))</f>
        <v>314.94704727988847</v>
      </c>
      <c r="BJ38" s="59">
        <f t="shared" si="38"/>
        <v>366.49199094166454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3.5464411327891354</v>
      </c>
      <c r="BQ38" s="21">
        <f>EXP(-LN(2)/25)*BQ37+(1-EXP(-LN(2)/25))/(LN(2)/25)*Calculateur!BL38*Calculateur!BN38*VLOOKUP('Données projet'!$B$11,Paramètres!$A$1:$I$89,3,0)*0.475*44/12</f>
        <v>22.117984908519261</v>
      </c>
      <c r="BR38" s="21">
        <f>EXP(-LN(2)/2)*BR37+(1-EXP(-LN(2)/2))/(LN(2)/2)*BL38*BO38*VLOOKUP('Données projet'!$B$11,Paramètres!$A$1:$I$89,3,0)*0.475*44/12</f>
        <v>5.1034082384826718</v>
      </c>
      <c r="BS38" s="22">
        <f t="shared" si="9"/>
        <v>30.767834279791067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14.2</v>
      </c>
      <c r="BY38" s="12">
        <f>IF('Données projet'!$A$114&gt;35,BY37+BX38-CG37,IF(A38&lt;'Données projet'!$A$114,$BV$205^A38,IF(A38='Données projet'!$A$114,'Données projet'!$B$114,BY37+BX38-CG37)))</f>
        <v>233.99999999999989</v>
      </c>
      <c r="BZ38" s="13">
        <f>BY38*VLOOKUP('Données projet'!$B$12,Paramètres!$A$1:$I$89,3,0)*VLOOKUP('Données projet'!$B$12,Paramètres!$A$1:$I$89,5,0)</f>
        <v>186.17039999999992</v>
      </c>
      <c r="CA38" s="13">
        <f t="shared" si="39"/>
        <v>46.692281933796018</v>
      </c>
      <c r="CB38" s="20">
        <f t="shared" si="10"/>
        <v>405.56917103469459</v>
      </c>
      <c r="CC38" s="59">
        <f t="shared" si="11"/>
        <v>698.90250436802785</v>
      </c>
      <c r="CD38" s="59">
        <f ca="1">AVERAGE(OFFSET($CC$3,0,0,'Données projet'!$E$12+1,1))-AVERAGE(OFFSET($H$3,0,0,'Données projet'!$E$12+1,1))</f>
        <v>314.94704727988847</v>
      </c>
      <c r="CE38" s="59">
        <f t="shared" si="40"/>
        <v>366.49199094166454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3.5464411327891354</v>
      </c>
      <c r="CL38" s="21">
        <f>EXP(-LN(2)/25)*CL37+(1-EXP(-LN(2)/25))/(LN(2)/25)*Calculateur!CG38*Calculateur!CI38*VLOOKUP('Données projet'!$B$12,Paramètres!$A$1:$I$89,3,0)*0.475*44/12</f>
        <v>22.117984908519261</v>
      </c>
      <c r="CM38" s="21">
        <f>EXP(-LN(2)/2)*CM37+(1-EXP(-LN(2)/2))/(LN(2)/2)*CG38*CJ38*VLOOKUP('Données projet'!$B$12,Paramètres!$A$1:$I$89,3,0)*0.475*44/12</f>
        <v>5.1034082384826718</v>
      </c>
      <c r="CN38" s="22">
        <f t="shared" si="12"/>
        <v>30.767834279791067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162.16666666666666</v>
      </c>
      <c r="CR38" s="12">
        <f>VLOOKUP(A38,'Données projet'!$A$139:$I$159,9,0)</f>
        <v>8.0564102564102562</v>
      </c>
      <c r="CS38" s="12">
        <f t="array" ref="CS38">INDEX(CR:CR,MIN(IF(ISNUMBER(CR38:CR234),ROW(CR38:CR234),"")))</f>
        <v>8.0564102564102562</v>
      </c>
      <c r="CT38" s="12">
        <f>IF('Données projet'!$A$140&gt;35,CT37+CS38-DB37,IF(A38&lt;'Données projet'!$A$140,$CQ$205^A38,IF(A38='Données projet'!$A$140,'Données projet'!$B$140,CT37+CS38-DB37)))</f>
        <v>162.16666666666666</v>
      </c>
      <c r="CU38" s="17">
        <f>CT38*VLOOKUP('Données projet'!$B$13,Paramètres!$A$1:$I$89,3,0)*VLOOKUP('Données projet'!$B$13,Paramètres!$A$1:$I$89,5,0)</f>
        <v>146.72839999999999</v>
      </c>
      <c r="CV38" s="13">
        <f t="shared" si="41"/>
        <v>37.834151268675086</v>
      </c>
      <c r="CW38" s="20">
        <f t="shared" si="13"/>
        <v>321.44644345960904</v>
      </c>
      <c r="CX38" s="59">
        <f t="shared" si="14"/>
        <v>614.77977679294236</v>
      </c>
      <c r="CY38" s="59">
        <f ca="1">AVERAGE(OFFSET($CX$3,0,0,'Données projet'!$E$13+1,1))-AVERAGE(OFFSET($H$3,0,0,'Données projet'!$E$13+1,1))</f>
        <v>221.7429870520005</v>
      </c>
      <c r="CZ38" s="59">
        <f t="shared" si="42"/>
        <v>182.2029938397186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60.602564102564102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183.59599999999986</v>
      </c>
      <c r="P39" s="13">
        <f t="shared" si="33"/>
        <v>46.121306541391064</v>
      </c>
      <c r="Q39" s="20">
        <f t="shared" si="53"/>
        <v>400.0909755595892</v>
      </c>
      <c r="R39" s="59">
        <f t="shared" si="0"/>
        <v>693.42430889292245</v>
      </c>
      <c r="S39" s="59">
        <f ca="1">AVERAGE(OFFSET($R$3,0,0,'Données projet'!$E$9+1,1))-AVERAGE(OFFSET($H$3,0,0,'Données projet'!$E$9+1,1))</f>
        <v>199.01551760562705</v>
      </c>
      <c r="T39" s="59">
        <f t="shared" si="34"/>
        <v>269.50915104901367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2.2333596575335188</v>
      </c>
      <c r="AA39" s="21">
        <f>EXP(-LN(2)/25)*AA38+(1-EXP(-LN(2)/25))/(LN(2)/25)*Calculateur!V39*Calculateur!X39*VLOOKUP('Données projet'!$B$9,Paramètres!$A$1:$I$89,3,0)*0.475*44/12</f>
        <v>10.999990955641817</v>
      </c>
      <c r="AB39" s="21">
        <f>EXP(-LN(2)/2)*AB38+(1-EXP(-LN(2)/2))/(LN(2)/2)*V39*Y39*VLOOKUP('Données projet'!$B$9,Paramètres!$A$1:$I$89,3,0)*0.475*44/12</f>
        <v>0.17221750808398936</v>
      </c>
      <c r="AC39" s="22">
        <f t="shared" si="3"/>
        <v>13.405568121259325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18.2</v>
      </c>
      <c r="AI39" s="13">
        <f>IF('Données projet'!$A$62&gt;35,AI38+AH39-AQ38,IF(A39&lt;'Données projet'!$A$62,$AF$205^A39,IF(A39='Données projet'!$A$62,'Données projet'!$B$62,AI38+AH39-AQ38)))</f>
        <v>268.2</v>
      </c>
      <c r="AJ39" s="13">
        <f>AI39*VLOOKUP('Données projet'!$B$10,Paramètres!$A$1:$I$89,3,0)*VLOOKUP('Données projet'!$B$10,Paramètres!$A$1:$I$89,5,0)</f>
        <v>160.3836</v>
      </c>
      <c r="AK39" s="13">
        <f t="shared" si="35"/>
        <v>40.929025395397886</v>
      </c>
      <c r="AL39" s="20">
        <f t="shared" si="4"/>
        <v>350.61948923031804</v>
      </c>
      <c r="AM39" s="59">
        <f t="shared" si="5"/>
        <v>643.95282256365135</v>
      </c>
      <c r="AN39" s="59">
        <f ca="1">AVERAGE(OFFSET($AM$3,0,0,'Données projet'!$E$10+1,1))-AVERAGE(OFFSET($H$3,0,0,'Données projet'!$E$10+1,1))</f>
        <v>316.58509520829671</v>
      </c>
      <c r="AO39" s="59">
        <f t="shared" si="36"/>
        <v>240.71332110643596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2.2505841750355233</v>
      </c>
      <c r="AV39" s="21">
        <f>EXP(-LN(2)/25)*AV38+(1-EXP(-LN(2)/25))/(LN(2)/25)*Calculateur!AQ39*Calculateur!AS39*VLOOKUP('Données projet'!$B$10,Paramètres!$A$1:$I$89,3,0)*0.475*44/12</f>
        <v>12.928045380158835</v>
      </c>
      <c r="AW39" s="21">
        <f>EXP(-LN(2)/2)*AW38+(1-EXP(-LN(2)/2))/(LN(2)/2)*AQ39*AT39*VLOOKUP('Données projet'!$B$10,Paramètres!$A$1:$I$89,3,0)*0.475*44/12</f>
        <v>2.7424178837675992</v>
      </c>
      <c r="AX39" s="21">
        <f t="shared" si="6"/>
        <v>17.921047438961956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14.2</v>
      </c>
      <c r="BD39" s="12">
        <f>IF('Données projet'!$A$88&gt;35,BD38+BC39-BL38,IF(A39&lt;'Données projet'!$A$88,$BA$205^A39,IF(A39='Données projet'!$A$88,'Données projet'!$B$88,BD38+BC39-BL38)))</f>
        <v>248.19999999999987</v>
      </c>
      <c r="BE39" s="13">
        <f>BD39*VLOOKUP('Données projet'!$B$11,Paramètres!$A$1:$I$89,3,0)*VLOOKUP('Données projet'!$B$11,Paramètres!$A$1:$I$89,5,0)</f>
        <v>197.46791999999991</v>
      </c>
      <c r="BF39" s="13">
        <f t="shared" si="37"/>
        <v>49.187281204902298</v>
      </c>
      <c r="BG39" s="20">
        <f t="shared" si="7"/>
        <v>429.591142098538</v>
      </c>
      <c r="BH39" s="59">
        <f t="shared" si="8"/>
        <v>722.92447543187131</v>
      </c>
      <c r="BI39" s="59">
        <f ca="1">AVERAGE(OFFSET($BH$3,0,0,'Données projet'!$E$11+1,1))-AVERAGE(OFFSET($H$3,0,0,'Données projet'!$E$11+1,1))</f>
        <v>314.94704727988847</v>
      </c>
      <c r="BJ39" s="59">
        <f t="shared" si="38"/>
        <v>366.49199094166454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3.4768975852906414</v>
      </c>
      <c r="BQ39" s="21">
        <f>EXP(-LN(2)/25)*BQ38+(1-EXP(-LN(2)/25))/(LN(2)/25)*Calculateur!BL39*Calculateur!BN39*VLOOKUP('Données projet'!$B$11,Paramètres!$A$1:$I$89,3,0)*0.475*44/12</f>
        <v>21.513167448061527</v>
      </c>
      <c r="BR39" s="21">
        <f>EXP(-LN(2)/2)*BR38+(1-EXP(-LN(2)/2))/(LN(2)/2)*BL39*BO39*VLOOKUP('Données projet'!$B$11,Paramètres!$A$1:$I$89,3,0)*0.475*44/12</f>
        <v>3.6086545725943906</v>
      </c>
      <c r="BS39" s="22">
        <f t="shared" si="9"/>
        <v>28.598719605946556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14.2</v>
      </c>
      <c r="BY39" s="12">
        <f>IF('Données projet'!$A$114&gt;35,BY38+BX39-CG38,IF(A39&lt;'Données projet'!$A$114,$BV$205^A39,IF(A39='Données projet'!$A$114,'Données projet'!$B$114,BY38+BX39-CG38)))</f>
        <v>248.19999999999987</v>
      </c>
      <c r="BZ39" s="13">
        <f>BY39*VLOOKUP('Données projet'!$B$12,Paramètres!$A$1:$I$89,3,0)*VLOOKUP('Données projet'!$B$12,Paramètres!$A$1:$I$89,5,0)</f>
        <v>197.46791999999991</v>
      </c>
      <c r="CA39" s="13">
        <f t="shared" si="39"/>
        <v>49.187281204902298</v>
      </c>
      <c r="CB39" s="20">
        <f t="shared" si="10"/>
        <v>429.591142098538</v>
      </c>
      <c r="CC39" s="59">
        <f t="shared" si="11"/>
        <v>722.92447543187131</v>
      </c>
      <c r="CD39" s="59">
        <f ca="1">AVERAGE(OFFSET($CC$3,0,0,'Données projet'!$E$12+1,1))-AVERAGE(OFFSET($H$3,0,0,'Données projet'!$E$12+1,1))</f>
        <v>314.94704727988847</v>
      </c>
      <c r="CE39" s="59">
        <f t="shared" si="40"/>
        <v>366.49199094166454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3.4768975852906414</v>
      </c>
      <c r="CL39" s="21">
        <f>EXP(-LN(2)/25)*CL38+(1-EXP(-LN(2)/25))/(LN(2)/25)*Calculateur!CG39*Calculateur!CI39*VLOOKUP('Données projet'!$B$12,Paramètres!$A$1:$I$89,3,0)*0.475*44/12</f>
        <v>21.513167448061527</v>
      </c>
      <c r="CM39" s="21">
        <f>EXP(-LN(2)/2)*CM38+(1-EXP(-LN(2)/2))/(LN(2)/2)*CG39*CJ39*VLOOKUP('Données projet'!$B$12,Paramètres!$A$1:$I$89,3,0)*0.475*44/12</f>
        <v>3.6086545725943906</v>
      </c>
      <c r="CN39" s="22">
        <f t="shared" si="12"/>
        <v>28.598719605946556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9.3141025641025674</v>
      </c>
      <c r="CT39" s="12">
        <f>IF('Données projet'!$A$140&gt;35,CT38+CS39-DB38,IF(A39&lt;'Données projet'!$A$140,$CQ$205^A39,IF(A39='Données projet'!$A$140,'Données projet'!$B$140,CT38+CS39-DB38)))</f>
        <v>110.87820512820512</v>
      </c>
      <c r="CU39" s="17">
        <f>CT39*VLOOKUP('Données projet'!$B$13,Paramètres!$A$1:$I$89,3,0)*VLOOKUP('Données projet'!$B$13,Paramètres!$A$1:$I$89,5,0)</f>
        <v>100.32259999999999</v>
      </c>
      <c r="CV39" s="13">
        <f t="shared" si="41"/>
        <v>27.038838137326771</v>
      </c>
      <c r="CW39" s="20">
        <f t="shared" si="13"/>
        <v>221.82117142251073</v>
      </c>
      <c r="CX39" s="59">
        <f t="shared" si="14"/>
        <v>515.15450475584407</v>
      </c>
      <c r="CY39" s="59">
        <f ca="1">AVERAGE(OFFSET($CX$3,0,0,'Données projet'!$E$13+1,1))-AVERAGE(OFFSET($H$3,0,0,'Données projet'!$E$13+1,1))</f>
        <v>221.7429870520005</v>
      </c>
      <c r="CZ39" s="59">
        <f t="shared" si="42"/>
        <v>182.2029938397186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162.26524999999984</v>
      </c>
      <c r="P40" s="13">
        <f t="shared" si="33"/>
        <v>41.35303006753103</v>
      </c>
      <c r="Q40" s="20">
        <f t="shared" si="53"/>
        <v>354.63517111761621</v>
      </c>
      <c r="R40" s="59">
        <f t="shared" si="0"/>
        <v>647.96850445094947</v>
      </c>
      <c r="S40" s="59">
        <f ca="1">AVERAGE(OFFSET($R$3,0,0,'Données projet'!$E$9+1,1))-AVERAGE(OFFSET($H$3,0,0,'Données projet'!$E$9+1,1))</f>
        <v>199.01551760562705</v>
      </c>
      <c r="T40" s="59">
        <f t="shared" si="34"/>
        <v>269.50915104901367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2.1895648368641702</v>
      </c>
      <c r="AA40" s="21">
        <f>EXP(-LN(2)/25)*AA39+(1-EXP(-LN(2)/25))/(LN(2)/25)*Calculateur!V40*Calculateur!X40*VLOOKUP('Données projet'!$B$9,Paramètres!$A$1:$I$89,3,0)*0.475*44/12</f>
        <v>10.699195624495408</v>
      </c>
      <c r="AB40" s="21">
        <f>EXP(-LN(2)/2)*AB39+(1-EXP(-LN(2)/2))/(LN(2)/2)*V40*Y40*VLOOKUP('Données projet'!$B$9,Paramètres!$A$1:$I$89,3,0)*0.475*44/12</f>
        <v>0.12177616780523795</v>
      </c>
      <c r="AC40" s="22">
        <f t="shared" si="3"/>
        <v>13.010536629164816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18.2</v>
      </c>
      <c r="AI40" s="13">
        <f>IF('Données projet'!$A$62&gt;35,AI39+AH40-AQ39,IF(A40&lt;'Données projet'!$A$62,$AF$205^A40,IF(A40='Données projet'!$A$62,'Données projet'!$B$62,AI39+AH40-AQ39)))</f>
        <v>286.39999999999998</v>
      </c>
      <c r="AJ40" s="13">
        <f>AI40*VLOOKUP('Données projet'!$B$10,Paramètres!$A$1:$I$89,3,0)*VLOOKUP('Données projet'!$B$10,Paramètres!$A$1:$I$89,5,0)</f>
        <v>171.2672</v>
      </c>
      <c r="AK40" s="13">
        <f t="shared" si="35"/>
        <v>43.373711445811836</v>
      </c>
      <c r="AL40" s="20">
        <f t="shared" si="4"/>
        <v>373.83292076812228</v>
      </c>
      <c r="AM40" s="59">
        <f t="shared" si="5"/>
        <v>667.16625410145559</v>
      </c>
      <c r="AN40" s="59">
        <f ca="1">AVERAGE(OFFSET($AM$3,0,0,'Données projet'!$E$10+1,1))-AVERAGE(OFFSET($H$3,0,0,'Données projet'!$E$10+1,1))</f>
        <v>316.58509520829671</v>
      </c>
      <c r="AO40" s="59">
        <f t="shared" si="36"/>
        <v>240.71332110643596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2.2064515920838788</v>
      </c>
      <c r="AV40" s="21">
        <f>EXP(-LN(2)/25)*AV39+(1-EXP(-LN(2)/25))/(LN(2)/25)*Calculateur!AQ40*Calculateur!AS40*VLOOKUP('Données projet'!$B$10,Paramètres!$A$1:$I$89,3,0)*0.475*44/12</f>
        <v>12.574527299382032</v>
      </c>
      <c r="AW40" s="21">
        <f>EXP(-LN(2)/2)*AW39+(1-EXP(-LN(2)/2))/(LN(2)/2)*AQ40*AT40*VLOOKUP('Données projet'!$B$10,Paramètres!$A$1:$I$89,3,0)*0.475*44/12</f>
        <v>1.9391822824593306</v>
      </c>
      <c r="AX40" s="21">
        <f t="shared" si="6"/>
        <v>16.720161173925241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14.2</v>
      </c>
      <c r="BD40" s="12">
        <f>IF('Données projet'!$A$88&gt;35,BD39+BC40-BL39,IF(A40&lt;'Données projet'!$A$88,$BA$205^A40,IF(A40='Données projet'!$A$88,'Données projet'!$B$88,BD39+BC40-BL39)))</f>
        <v>262.39999999999986</v>
      </c>
      <c r="BE40" s="13">
        <f>BD40*VLOOKUP('Données projet'!$B$11,Paramètres!$A$1:$I$89,3,0)*VLOOKUP('Données projet'!$B$11,Paramètres!$A$1:$I$89,5,0)</f>
        <v>208.7654399999999</v>
      </c>
      <c r="BF40" s="13">
        <f t="shared" si="37"/>
        <v>51.665710768737398</v>
      </c>
      <c r="BG40" s="20">
        <f t="shared" si="7"/>
        <v>453.58425425555083</v>
      </c>
      <c r="BH40" s="59">
        <f t="shared" si="8"/>
        <v>746.91758758888409</v>
      </c>
      <c r="BI40" s="59">
        <f ca="1">AVERAGE(OFFSET($BH$3,0,0,'Données projet'!$E$11+1,1))-AVERAGE(OFFSET($H$3,0,0,'Données projet'!$E$11+1,1))</f>
        <v>314.94704727988847</v>
      </c>
      <c r="BJ40" s="59">
        <f t="shared" si="38"/>
        <v>366.49199094166454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3.4087177443412173</v>
      </c>
      <c r="BQ40" s="21">
        <f>EXP(-LN(2)/25)*BQ39+(1-EXP(-LN(2)/25))/(LN(2)/25)*Calculateur!BL40*Calculateur!BN40*VLOOKUP('Données projet'!$B$11,Paramètres!$A$1:$I$89,3,0)*0.475*44/12</f>
        <v>20.924888752865979</v>
      </c>
      <c r="BR40" s="21">
        <f>EXP(-LN(2)/2)*BR39+(1-EXP(-LN(2)/2))/(LN(2)/2)*BL40*BO40*VLOOKUP('Données projet'!$B$11,Paramètres!$A$1:$I$89,3,0)*0.475*44/12</f>
        <v>2.5517041192413359</v>
      </c>
      <c r="BS40" s="22">
        <f t="shared" si="9"/>
        <v>26.885310616448532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14.2</v>
      </c>
      <c r="BY40" s="12">
        <f>IF('Données projet'!$A$114&gt;35,BY39+BX40-CG39,IF(A40&lt;'Données projet'!$A$114,$BV$205^A40,IF(A40='Données projet'!$A$114,'Données projet'!$B$114,BY39+BX40-CG39)))</f>
        <v>262.39999999999986</v>
      </c>
      <c r="BZ40" s="13">
        <f>BY40*VLOOKUP('Données projet'!$B$12,Paramètres!$A$1:$I$89,3,0)*VLOOKUP('Données projet'!$B$12,Paramètres!$A$1:$I$89,5,0)</f>
        <v>208.7654399999999</v>
      </c>
      <c r="CA40" s="13">
        <f t="shared" si="39"/>
        <v>51.665710768737398</v>
      </c>
      <c r="CB40" s="20">
        <f t="shared" si="10"/>
        <v>453.58425425555083</v>
      </c>
      <c r="CC40" s="59">
        <f t="shared" si="11"/>
        <v>746.91758758888409</v>
      </c>
      <c r="CD40" s="59">
        <f ca="1">AVERAGE(OFFSET($CC$3,0,0,'Données projet'!$E$12+1,1))-AVERAGE(OFFSET($H$3,0,0,'Données projet'!$E$12+1,1))</f>
        <v>314.94704727988847</v>
      </c>
      <c r="CE40" s="59">
        <f t="shared" si="40"/>
        <v>366.49199094166454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3.4087177443412173</v>
      </c>
      <c r="CL40" s="21">
        <f>EXP(-LN(2)/25)*CL39+(1-EXP(-LN(2)/25))/(LN(2)/25)*Calculateur!CG40*Calculateur!CI40*VLOOKUP('Données projet'!$B$12,Paramètres!$A$1:$I$89,3,0)*0.475*44/12</f>
        <v>20.924888752865979</v>
      </c>
      <c r="CM40" s="21">
        <f>EXP(-LN(2)/2)*CM39+(1-EXP(-LN(2)/2))/(LN(2)/2)*CG40*CJ40*VLOOKUP('Données projet'!$B$12,Paramètres!$A$1:$I$89,3,0)*0.475*44/12</f>
        <v>2.5517041192413359</v>
      </c>
      <c r="CN40" s="22">
        <f t="shared" si="12"/>
        <v>26.885310616448532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9.3141025641025674</v>
      </c>
      <c r="CT40" s="12">
        <f>IF('Données projet'!$A$140&gt;35,CT39+CS40-DB39,IF(A40&lt;'Données projet'!$A$140,$CQ$205^A40,IF(A40='Données projet'!$A$140,'Données projet'!$B$140,CT39+CS40-DB39)))</f>
        <v>120.19230769230769</v>
      </c>
      <c r="CU40" s="17">
        <f>CT40*VLOOKUP('Données projet'!$B$13,Paramètres!$A$1:$I$89,3,0)*VLOOKUP('Données projet'!$B$13,Paramètres!$A$1:$I$89,5,0)</f>
        <v>108.74999999999999</v>
      </c>
      <c r="CV40" s="13">
        <f t="shared" si="41"/>
        <v>29.036279216217448</v>
      </c>
      <c r="CW40" s="20">
        <f t="shared" si="13"/>
        <v>239.97776963491199</v>
      </c>
      <c r="CX40" s="59">
        <f t="shared" si="14"/>
        <v>533.31110296824534</v>
      </c>
      <c r="CY40" s="59">
        <f ca="1">AVERAGE(OFFSET($CX$3,0,0,'Données projet'!$E$13+1,1))-AVERAGE(OFFSET($H$3,0,0,'Données projet'!$E$13+1,1))</f>
        <v>221.7429870520005</v>
      </c>
      <c r="CZ40" s="59">
        <f t="shared" si="42"/>
        <v>182.2029938397186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172.46599999999984</v>
      </c>
      <c r="P41" s="13">
        <f t="shared" si="33"/>
        <v>43.641861773387504</v>
      </c>
      <c r="Q41" s="20">
        <f t="shared" si="53"/>
        <v>376.3878592553163</v>
      </c>
      <c r="R41" s="59">
        <f t="shared" si="0"/>
        <v>669.72119258864961</v>
      </c>
      <c r="S41" s="59">
        <f ca="1">AVERAGE(OFFSET($R$3,0,0,'Données projet'!$E$9+1,1))-AVERAGE(OFFSET($H$3,0,0,'Données projet'!$E$9+1,1))</f>
        <v>199.01551760562705</v>
      </c>
      <c r="T41" s="59">
        <f t="shared" si="34"/>
        <v>269.50915104901367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2.1466288059159444</v>
      </c>
      <c r="AA41" s="21">
        <f>EXP(-LN(2)/25)*AA40+(1-EXP(-LN(2)/25))/(LN(2)/25)*Calculateur!V41*Calculateur!X41*VLOOKUP('Données projet'!$B$9,Paramètres!$A$1:$I$89,3,0)*0.475*44/12</f>
        <v>10.406625557497337</v>
      </c>
      <c r="AB41" s="21">
        <f>EXP(-LN(2)/2)*AB40+(1-EXP(-LN(2)/2))/(LN(2)/2)*V41*Y41*VLOOKUP('Données projet'!$B$9,Paramètres!$A$1:$I$89,3,0)*0.475*44/12</f>
        <v>8.6108754041994695E-2</v>
      </c>
      <c r="AC41" s="22">
        <f t="shared" si="3"/>
        <v>12.639363117455275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18.2</v>
      </c>
      <c r="AI41" s="13">
        <f>IF('Données projet'!$A$62&gt;35,AI40+AH41-AQ40,IF(A41&lt;'Données projet'!$A$62,$AF$205^A41,IF(A41='Données projet'!$A$62,'Données projet'!$B$62,AI40+AH41-AQ40)))</f>
        <v>304.59999999999997</v>
      </c>
      <c r="AJ41" s="13">
        <f>AI41*VLOOKUP('Données projet'!$B$10,Paramètres!$A$1:$I$89,3,0)*VLOOKUP('Données projet'!$B$10,Paramètres!$A$1:$I$89,5,0)</f>
        <v>182.15079999999998</v>
      </c>
      <c r="AK41" s="13">
        <f t="shared" si="35"/>
        <v>45.800368240506849</v>
      </c>
      <c r="AL41" s="20">
        <f t="shared" si="4"/>
        <v>397.01495135221603</v>
      </c>
      <c r="AM41" s="59">
        <f t="shared" si="5"/>
        <v>690.34828468554929</v>
      </c>
      <c r="AN41" s="59">
        <f ca="1">AVERAGE(OFFSET($AM$3,0,0,'Données projet'!$E$10+1,1))-AVERAGE(OFFSET($H$3,0,0,'Données projet'!$E$10+1,1))</f>
        <v>316.58509520829671</v>
      </c>
      <c r="AO41" s="59">
        <f t="shared" si="36"/>
        <v>240.71332110643596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2.1631844221656982</v>
      </c>
      <c r="AV41" s="21">
        <f>EXP(-LN(2)/25)*AV40+(1-EXP(-LN(2)/25))/(LN(2)/25)*Calculateur!AQ41*Calculateur!AS41*VLOOKUP('Données projet'!$B$10,Paramètres!$A$1:$I$89,3,0)*0.475*44/12</f>
        <v>12.23067618911478</v>
      </c>
      <c r="AW41" s="21">
        <f>EXP(-LN(2)/2)*AW40+(1-EXP(-LN(2)/2))/(LN(2)/2)*AQ41*AT41*VLOOKUP('Données projet'!$B$10,Paramètres!$A$1:$I$89,3,0)*0.475*44/12</f>
        <v>1.3712089418837998</v>
      </c>
      <c r="AX41" s="21">
        <f t="shared" si="6"/>
        <v>15.765069553164277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14.2</v>
      </c>
      <c r="BD41" s="12">
        <f>IF('Données projet'!$A$88&gt;35,BD40+BC41-BL40,IF(A41&lt;'Données projet'!$A$88,$BA$205^A41,IF(A41='Données projet'!$A$88,'Données projet'!$B$88,BD40+BC41-BL40)))</f>
        <v>276.59999999999985</v>
      </c>
      <c r="BE41" s="13">
        <f>BD41*VLOOKUP('Données projet'!$B$11,Paramètres!$A$1:$I$89,3,0)*VLOOKUP('Données projet'!$B$11,Paramètres!$A$1:$I$89,5,0)</f>
        <v>220.06295999999989</v>
      </c>
      <c r="BF41" s="13">
        <f t="shared" si="37"/>
        <v>54.128569537628671</v>
      </c>
      <c r="BG41" s="20">
        <f t="shared" si="7"/>
        <v>477.55024727803635</v>
      </c>
      <c r="BH41" s="59">
        <f t="shared" si="8"/>
        <v>770.88358061136967</v>
      </c>
      <c r="BI41" s="59">
        <f ca="1">AVERAGE(OFFSET($BH$3,0,0,'Données projet'!$E$11+1,1))-AVERAGE(OFFSET($H$3,0,0,'Données projet'!$E$11+1,1))</f>
        <v>314.94704727988847</v>
      </c>
      <c r="BJ41" s="59">
        <f t="shared" si="38"/>
        <v>366.49199094166454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3.3418748684872148</v>
      </c>
      <c r="BQ41" s="21">
        <f>EXP(-LN(2)/25)*BQ40+(1-EXP(-LN(2)/25))/(LN(2)/25)*Calculateur!BL41*Calculateur!BN41*VLOOKUP('Données projet'!$B$11,Paramètres!$A$1:$I$89,3,0)*0.475*44/12</f>
        <v>20.352696569526785</v>
      </c>
      <c r="BR41" s="21">
        <f>EXP(-LN(2)/2)*BR40+(1-EXP(-LN(2)/2))/(LN(2)/2)*BL41*BO41*VLOOKUP('Données projet'!$B$11,Paramètres!$A$1:$I$89,3,0)*0.475*44/12</f>
        <v>1.8043272862971953</v>
      </c>
      <c r="BS41" s="22">
        <f t="shared" si="9"/>
        <v>25.498898724311193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14.2</v>
      </c>
      <c r="BY41" s="12">
        <f>IF('Données projet'!$A$114&gt;35,BY40+BX41-CG40,IF(A41&lt;'Données projet'!$A$114,$BV$205^A41,IF(A41='Données projet'!$A$114,'Données projet'!$B$114,BY40+BX41-CG40)))</f>
        <v>276.59999999999985</v>
      </c>
      <c r="BZ41" s="13">
        <f>BY41*VLOOKUP('Données projet'!$B$12,Paramètres!$A$1:$I$89,3,0)*VLOOKUP('Données projet'!$B$12,Paramètres!$A$1:$I$89,5,0)</f>
        <v>220.06295999999989</v>
      </c>
      <c r="CA41" s="13">
        <f t="shared" si="39"/>
        <v>54.128569537628671</v>
      </c>
      <c r="CB41" s="20">
        <f t="shared" si="10"/>
        <v>477.55024727803635</v>
      </c>
      <c r="CC41" s="59">
        <f t="shared" si="11"/>
        <v>770.88358061136967</v>
      </c>
      <c r="CD41" s="59">
        <f ca="1">AVERAGE(OFFSET($CC$3,0,0,'Données projet'!$E$12+1,1))-AVERAGE(OFFSET($H$3,0,0,'Données projet'!$E$12+1,1))</f>
        <v>314.94704727988847</v>
      </c>
      <c r="CE41" s="59">
        <f t="shared" si="40"/>
        <v>366.49199094166454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3.3418748684872148</v>
      </c>
      <c r="CL41" s="21">
        <f>EXP(-LN(2)/25)*CL40+(1-EXP(-LN(2)/25))/(LN(2)/25)*Calculateur!CG41*Calculateur!CI41*VLOOKUP('Données projet'!$B$12,Paramètres!$A$1:$I$89,3,0)*0.475*44/12</f>
        <v>20.352696569526785</v>
      </c>
      <c r="CM41" s="21">
        <f>EXP(-LN(2)/2)*CM40+(1-EXP(-LN(2)/2))/(LN(2)/2)*CG41*CJ41*VLOOKUP('Données projet'!$B$12,Paramètres!$A$1:$I$89,3,0)*0.475*44/12</f>
        <v>1.8043272862971953</v>
      </c>
      <c r="CN41" s="22">
        <f t="shared" si="12"/>
        <v>25.498898724311193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9.3141025641025674</v>
      </c>
      <c r="CT41" s="12">
        <f>IF('Données projet'!$A$140&gt;35,CT40+CS41-DB40,IF(A41&lt;'Données projet'!$A$140,$CQ$205^A41,IF(A41='Données projet'!$A$140,'Données projet'!$B$140,CT40+CS41-DB40)))</f>
        <v>129.50641025641025</v>
      </c>
      <c r="CU41" s="17">
        <f>CT41*VLOOKUP('Données projet'!$B$13,Paramètres!$A$1:$I$89,3,0)*VLOOKUP('Données projet'!$B$13,Paramètres!$A$1:$I$89,5,0)</f>
        <v>117.17739999999998</v>
      </c>
      <c r="CV41" s="13">
        <f t="shared" si="41"/>
        <v>31.015764986886897</v>
      </c>
      <c r="CW41" s="20">
        <f t="shared" si="13"/>
        <v>258.10309568549462</v>
      </c>
      <c r="CX41" s="59">
        <f t="shared" si="14"/>
        <v>551.43642901882799</v>
      </c>
      <c r="CY41" s="59">
        <f ca="1">AVERAGE(OFFSET($CX$3,0,0,'Données projet'!$E$13+1,1))-AVERAGE(OFFSET($H$3,0,0,'Données projet'!$E$13+1,1))</f>
        <v>221.7429870520005</v>
      </c>
      <c r="CZ41" s="59">
        <f t="shared" si="42"/>
        <v>182.2029938397186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182.66674999999987</v>
      </c>
      <c r="P42" s="13">
        <f t="shared" si="33"/>
        <v>45.914980133352223</v>
      </c>
      <c r="Q42" s="20">
        <f t="shared" si="53"/>
        <v>398.11317998225491</v>
      </c>
      <c r="R42" s="59">
        <f t="shared" si="0"/>
        <v>691.44651331558816</v>
      </c>
      <c r="S42" s="59">
        <f ca="1">AVERAGE(OFFSET($R$3,0,0,'Données projet'!$E$9+1,1))-AVERAGE(OFFSET($H$3,0,0,'Données projet'!$E$9+1,1))</f>
        <v>199.01551760562705</v>
      </c>
      <c r="T42" s="59">
        <f t="shared" si="34"/>
        <v>269.50915104901367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2.1045347243462205</v>
      </c>
      <c r="AA42" s="21">
        <f>EXP(-LN(2)/25)*AA41+(1-EXP(-LN(2)/25))/(LN(2)/25)*Calculateur!V42*Calculateur!X42*VLOOKUP('Données projet'!$B$9,Paramètres!$A$1:$I$89,3,0)*0.475*44/12</f>
        <v>10.122055834366918</v>
      </c>
      <c r="AB42" s="21">
        <f>EXP(-LN(2)/2)*AB41+(1-EXP(-LN(2)/2))/(LN(2)/2)*V42*Y42*VLOOKUP('Données projet'!$B$9,Paramètres!$A$1:$I$89,3,0)*0.475*44/12</f>
        <v>6.0888083902618989E-2</v>
      </c>
      <c r="AC42" s="22">
        <f t="shared" si="3"/>
        <v>12.287478642615756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18.2</v>
      </c>
      <c r="AI42" s="13">
        <f>IF('Données projet'!$A$62&gt;35,AI41+AH42-AQ41,IF(A42&lt;'Données projet'!$A$62,$AF$205^A42,IF(A42='Données projet'!$A$62,'Données projet'!$B$62,AI41+AH42-AQ41)))</f>
        <v>322.79999999999995</v>
      </c>
      <c r="AJ42" s="13">
        <f>AI42*VLOOKUP('Données projet'!$B$10,Paramètres!$A$1:$I$89,3,0)*VLOOKUP('Données projet'!$B$10,Paramètres!$A$1:$I$89,5,0)</f>
        <v>193.03440000000001</v>
      </c>
      <c r="AK42" s="13">
        <f t="shared" si="35"/>
        <v>48.210195726438577</v>
      </c>
      <c r="AL42" s="20">
        <f t="shared" si="4"/>
        <v>420.16767089021386</v>
      </c>
      <c r="AM42" s="59">
        <f t="shared" si="5"/>
        <v>713.50100422354717</v>
      </c>
      <c r="AN42" s="59">
        <f ca="1">AVERAGE(OFFSET($AM$3,0,0,'Données projet'!$E$10+1,1))-AVERAGE(OFFSET($H$3,0,0,'Données projet'!$E$10+1,1))</f>
        <v>316.58509520829671</v>
      </c>
      <c r="AO42" s="59">
        <f t="shared" si="36"/>
        <v>240.71332110643596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2.1207656950592453</v>
      </c>
      <c r="AV42" s="21">
        <f>EXP(-LN(2)/25)*AV41+(1-EXP(-LN(2)/25))/(LN(2)/25)*Calculateur!AQ42*Calculateur!AS42*VLOOKUP('Données projet'!$B$10,Paramètres!$A$1:$I$89,3,0)*0.475*44/12</f>
        <v>11.896227705540129</v>
      </c>
      <c r="AW42" s="21">
        <f>EXP(-LN(2)/2)*AW41+(1-EXP(-LN(2)/2))/(LN(2)/2)*AQ42*AT42*VLOOKUP('Données projet'!$B$10,Paramètres!$A$1:$I$89,3,0)*0.475*44/12</f>
        <v>0.9695911412296655</v>
      </c>
      <c r="AX42" s="21">
        <f t="shared" si="6"/>
        <v>14.986584541829041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14.2</v>
      </c>
      <c r="BD42" s="12">
        <f>IF('Données projet'!$A$88&gt;35,BD41+BC42-BL41,IF(A42&lt;'Données projet'!$A$88,$BA$205^A42,IF(A42='Données projet'!$A$88,'Données projet'!$B$88,BD41+BC42-BL41)))</f>
        <v>290.79999999999984</v>
      </c>
      <c r="BE42" s="13">
        <f>BD42*VLOOKUP('Données projet'!$B$11,Paramètres!$A$1:$I$89,3,0)*VLOOKUP('Données projet'!$B$11,Paramètres!$A$1:$I$89,5,0)</f>
        <v>231.36047999999985</v>
      </c>
      <c r="BF42" s="13">
        <f t="shared" si="37"/>
        <v>56.576748067085241</v>
      </c>
      <c r="BG42" s="20">
        <f t="shared" si="7"/>
        <v>501.49067221683981</v>
      </c>
      <c r="BH42" s="59">
        <f t="shared" si="8"/>
        <v>794.82400555017307</v>
      </c>
      <c r="BI42" s="59">
        <f ca="1">AVERAGE(OFFSET($BH$3,0,0,'Données projet'!$E$11+1,1))-AVERAGE(OFFSET($H$3,0,0,'Données projet'!$E$11+1,1))</f>
        <v>314.94704727988847</v>
      </c>
      <c r="BJ42" s="59">
        <f t="shared" si="38"/>
        <v>366.49199094166454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3.2763427406585808</v>
      </c>
      <c r="BQ42" s="21">
        <f>EXP(-LN(2)/25)*BQ41+(1-EXP(-LN(2)/25))/(LN(2)/25)*Calculateur!BL42*Calculateur!BN42*VLOOKUP('Données projet'!$B$11,Paramètres!$A$1:$I$89,3,0)*0.475*44/12</f>
        <v>19.796151011531279</v>
      </c>
      <c r="BR42" s="21">
        <f>EXP(-LN(2)/2)*BR41+(1-EXP(-LN(2)/2))/(LN(2)/2)*BL42*BO42*VLOOKUP('Données projet'!$B$11,Paramètres!$A$1:$I$89,3,0)*0.475*44/12</f>
        <v>1.2758520596206679</v>
      </c>
      <c r="BS42" s="22">
        <f t="shared" si="9"/>
        <v>24.348345811810528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14.2</v>
      </c>
      <c r="BY42" s="12">
        <f>IF('Données projet'!$A$114&gt;35,BY41+BX42-CG41,IF(A42&lt;'Données projet'!$A$114,$BV$205^A42,IF(A42='Données projet'!$A$114,'Données projet'!$B$114,BY41+BX42-CG41)))</f>
        <v>290.79999999999984</v>
      </c>
      <c r="BZ42" s="13">
        <f>BY42*VLOOKUP('Données projet'!$B$12,Paramètres!$A$1:$I$89,3,0)*VLOOKUP('Données projet'!$B$12,Paramètres!$A$1:$I$89,5,0)</f>
        <v>231.36047999999985</v>
      </c>
      <c r="CA42" s="13">
        <f t="shared" si="39"/>
        <v>56.576748067085241</v>
      </c>
      <c r="CB42" s="20">
        <f t="shared" si="10"/>
        <v>501.49067221683981</v>
      </c>
      <c r="CC42" s="59">
        <f t="shared" si="11"/>
        <v>794.82400555017307</v>
      </c>
      <c r="CD42" s="59">
        <f ca="1">AVERAGE(OFFSET($CC$3,0,0,'Données projet'!$E$12+1,1))-AVERAGE(OFFSET($H$3,0,0,'Données projet'!$E$12+1,1))</f>
        <v>314.94704727988847</v>
      </c>
      <c r="CE42" s="59">
        <f t="shared" si="40"/>
        <v>366.49199094166454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3.2763427406585808</v>
      </c>
      <c r="CL42" s="21">
        <f>EXP(-LN(2)/25)*CL41+(1-EXP(-LN(2)/25))/(LN(2)/25)*Calculateur!CG42*Calculateur!CI42*VLOOKUP('Données projet'!$B$12,Paramètres!$A$1:$I$89,3,0)*0.475*44/12</f>
        <v>19.796151011531279</v>
      </c>
      <c r="CM42" s="21">
        <f>EXP(-LN(2)/2)*CM41+(1-EXP(-LN(2)/2))/(LN(2)/2)*CG42*CJ42*VLOOKUP('Données projet'!$B$12,Paramètres!$A$1:$I$89,3,0)*0.475*44/12</f>
        <v>1.2758520596206679</v>
      </c>
      <c r="CN42" s="22">
        <f t="shared" si="12"/>
        <v>24.348345811810528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9.3141025641025674</v>
      </c>
      <c r="CT42" s="12">
        <f>IF('Données projet'!$A$140&gt;35,CT41+CS42-DB41,IF(A42&lt;'Données projet'!$A$140,$CQ$205^A42,IF(A42='Données projet'!$A$140,'Données projet'!$B$140,CT41+CS42-DB41)))</f>
        <v>138.82051282051282</v>
      </c>
      <c r="CU42" s="17">
        <f>CT42*VLOOKUP('Données projet'!$B$13,Paramètres!$A$1:$I$89,3,0)*VLOOKUP('Données projet'!$B$13,Paramètres!$A$1:$I$89,5,0)</f>
        <v>125.6048</v>
      </c>
      <c r="CV42" s="13">
        <f t="shared" si="41"/>
        <v>32.978733659615138</v>
      </c>
      <c r="CW42" s="20">
        <f t="shared" si="13"/>
        <v>276.19965445716304</v>
      </c>
      <c r="CX42" s="59">
        <f t="shared" si="14"/>
        <v>569.53298779049635</v>
      </c>
      <c r="CY42" s="59">
        <f ca="1">AVERAGE(OFFSET($CX$3,0,0,'Données projet'!$E$13+1,1))-AVERAGE(OFFSET($H$3,0,0,'Données projet'!$E$13+1,1))</f>
        <v>221.7429870520005</v>
      </c>
      <c r="CZ42" s="59">
        <f t="shared" si="42"/>
        <v>182.2029938397186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192.86749999999989</v>
      </c>
      <c r="P43" s="13">
        <f t="shared" si="33"/>
        <v>48.173362641977938</v>
      </c>
      <c r="Q43" s="20">
        <f t="shared" si="53"/>
        <v>419.81283576811137</v>
      </c>
      <c r="R43" s="59">
        <f t="shared" si="0"/>
        <v>713.14616910144468</v>
      </c>
      <c r="S43" s="59">
        <f ca="1">AVERAGE(OFFSET($R$3,0,0,'Données projet'!$E$9+1,1))-AVERAGE(OFFSET($H$3,0,0,'Données projet'!$E$9+1,1))</f>
        <v>199.01551760562705</v>
      </c>
      <c r="T43" s="59">
        <f t="shared" si="34"/>
        <v>269.50915104901367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2.0632660820412241</v>
      </c>
      <c r="AA43" s="21">
        <f>EXP(-LN(2)/25)*AA42+(1-EXP(-LN(2)/25))/(LN(2)/25)*Calculateur!V43*Calculateur!X43*VLOOKUP('Données projet'!$B$9,Paramètres!$A$1:$I$89,3,0)*0.475*44/12</f>
        <v>9.8452676852803727</v>
      </c>
      <c r="AB43" s="21">
        <f>EXP(-LN(2)/2)*AB42+(1-EXP(-LN(2)/2))/(LN(2)/2)*V43*Y43*VLOOKUP('Données projet'!$B$9,Paramètres!$A$1:$I$89,3,0)*0.475*44/12</f>
        <v>4.3054377020997354E-2</v>
      </c>
      <c r="AC43" s="22">
        <f t="shared" si="3"/>
        <v>11.951588144342594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341</v>
      </c>
      <c r="AG43" s="12">
        <f>VLOOKUP(A43,'Données projet'!$A$61:$I$81,9,0)</f>
        <v>18.2</v>
      </c>
      <c r="AH43" s="12">
        <f t="array" ref="AH43">INDEX(AG:AG,MIN(IF(ISNUMBER(AG43:AG239),ROW(AG43:AG239),"")))</f>
        <v>18.2</v>
      </c>
      <c r="AI43" s="13">
        <f>IF('Données projet'!$A$62&gt;35,AI42+AH43-AQ42,IF(A43&lt;'Données projet'!$A$62,$AF$205^A43,IF(A43='Données projet'!$A$62,'Données projet'!$B$62,AI42+AH43-AQ42)))</f>
        <v>340.99999999999994</v>
      </c>
      <c r="AJ43" s="13">
        <f>AI43*VLOOKUP('Données projet'!$B$10,Paramètres!$A$1:$I$89,3,0)*VLOOKUP('Données projet'!$B$10,Paramètres!$A$1:$I$89,5,0)</f>
        <v>203.91799999999998</v>
      </c>
      <c r="AK43" s="13">
        <f t="shared" si="35"/>
        <v>50.604250898161411</v>
      </c>
      <c r="AL43" s="20">
        <f t="shared" si="4"/>
        <v>443.29292031429776</v>
      </c>
      <c r="AM43" s="59">
        <f t="shared" si="5"/>
        <v>736.62625364763107</v>
      </c>
      <c r="AN43" s="59">
        <f ca="1">AVERAGE(OFFSET($AM$3,0,0,'Données projet'!$E$10+1,1))-AVERAGE(OFFSET($H$3,0,0,'Données projet'!$E$10+1,1))</f>
        <v>316.58509520829671</v>
      </c>
      <c r="AO43" s="59">
        <f t="shared" si="36"/>
        <v>240.71332110643596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2.079178773318481</v>
      </c>
      <c r="AV43" s="21">
        <f>EXP(-LN(2)/25)*AV42+(1-EXP(-LN(2)/25))/(LN(2)/25)*Calculateur!AQ43*Calculateur!AS43*VLOOKUP('Données projet'!$B$10,Paramètres!$A$1:$I$89,3,0)*0.475*44/12</f>
        <v>11.570924733336708</v>
      </c>
      <c r="AW43" s="21">
        <f>EXP(-LN(2)/2)*AW42+(1-EXP(-LN(2)/2))/(LN(2)/2)*AQ43*AT43*VLOOKUP('Données projet'!$B$10,Paramètres!$A$1:$I$89,3,0)*0.475*44/12</f>
        <v>0.68560447094190002</v>
      </c>
      <c r="AX43" s="21">
        <f t="shared" si="6"/>
        <v>14.335707977597089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305</v>
      </c>
      <c r="BB43" s="12">
        <f>VLOOKUP(A43,'Données projet'!$A$87:$I$107,9,0)</f>
        <v>14.2</v>
      </c>
      <c r="BC43" s="12">
        <f t="array" ref="BC43">INDEX(BB:BB,MIN(IF(ISNUMBER(BB43:BB239),ROW(BB43:BB239),"")))</f>
        <v>14.2</v>
      </c>
      <c r="BD43" s="12">
        <f>IF('Données projet'!$A$88&gt;35,BD42+BC43-BL42,IF(A43&lt;'Données projet'!$A$88,$BA$205^A43,IF(A43='Données projet'!$A$88,'Données projet'!$B$88,BD42+BC43-BL42)))</f>
        <v>304.99999999999983</v>
      </c>
      <c r="BE43" s="13">
        <f>BD43*VLOOKUP('Données projet'!$B$11,Paramètres!$A$1:$I$89,3,0)*VLOOKUP('Données projet'!$B$11,Paramètres!$A$1:$I$89,5,0)</f>
        <v>242.6579999999999</v>
      </c>
      <c r="BF43" s="13">
        <f t="shared" si="37"/>
        <v>59.011045025839607</v>
      </c>
      <c r="BG43" s="20">
        <f t="shared" si="7"/>
        <v>525.40692008667054</v>
      </c>
      <c r="BH43" s="59">
        <f t="shared" si="8"/>
        <v>818.74025342000391</v>
      </c>
      <c r="BI43" s="59">
        <f ca="1">AVERAGE(OFFSET($BH$3,0,0,'Données projet'!$E$11+1,1))-AVERAGE(OFFSET($H$3,0,0,'Données projet'!$E$11+1,1))</f>
        <v>314.94704727988847</v>
      </c>
      <c r="BJ43" s="59">
        <f t="shared" si="38"/>
        <v>366.49199094166454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82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3.2120956578860151</v>
      </c>
      <c r="BQ43" s="21">
        <f>EXP(-LN(2)/25)*BQ42+(1-EXP(-LN(2)/25))/(LN(2)/25)*Calculateur!BL43*Calculateur!BN43*VLOOKUP('Données projet'!$B$11,Paramètres!$A$1:$I$89,3,0)*0.475*44/12</f>
        <v>19.254824221086619</v>
      </c>
      <c r="BR43" s="21">
        <f>EXP(-LN(2)/2)*BR42+(1-EXP(-LN(2)/2))/(LN(2)/2)*BL43*BO43*VLOOKUP('Données projet'!$B$11,Paramètres!$A$1:$I$89,3,0)*0.475*44/12</f>
        <v>0.90216364314859765</v>
      </c>
      <c r="BS43" s="22">
        <f t="shared" si="9"/>
        <v>23.36908352212123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305</v>
      </c>
      <c r="BW43" s="12">
        <f>VLOOKUP(A43,'Données projet'!$A$113:$I$133,9,0)</f>
        <v>14.2</v>
      </c>
      <c r="BX43" s="12">
        <f t="array" ref="BX43">INDEX(BW:BW,MIN(IF(ISNUMBER(BW43:BW239),ROW(BW43:BW239),"")))</f>
        <v>14.2</v>
      </c>
      <c r="BY43" s="12">
        <f>IF('Données projet'!$A$114&gt;35,BY42+BX43-CG42,IF(A43&lt;'Données projet'!$A$114,$BV$205^A43,IF(A43='Données projet'!$A$114,'Données projet'!$B$114,BY42+BX43-CG42)))</f>
        <v>304.99999999999983</v>
      </c>
      <c r="BZ43" s="13">
        <f>BY43*VLOOKUP('Données projet'!$B$12,Paramètres!$A$1:$I$89,3,0)*VLOOKUP('Données projet'!$B$12,Paramètres!$A$1:$I$89,5,0)</f>
        <v>242.6579999999999</v>
      </c>
      <c r="CA43" s="13">
        <f t="shared" si="39"/>
        <v>59.011045025839607</v>
      </c>
      <c r="CB43" s="20">
        <f t="shared" si="10"/>
        <v>525.40692008667054</v>
      </c>
      <c r="CC43" s="59">
        <f t="shared" si="11"/>
        <v>818.74025342000391</v>
      </c>
      <c r="CD43" s="59">
        <f ca="1">AVERAGE(OFFSET($CC$3,0,0,'Données projet'!$E$12+1,1))-AVERAGE(OFFSET($H$3,0,0,'Données projet'!$E$12+1,1))</f>
        <v>314.94704727988847</v>
      </c>
      <c r="CE43" s="59">
        <f t="shared" si="40"/>
        <v>366.49199094166454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82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3.2120956578860151</v>
      </c>
      <c r="CL43" s="21">
        <f>EXP(-LN(2)/25)*CL42+(1-EXP(-LN(2)/25))/(LN(2)/25)*Calculateur!CG43*Calculateur!CI43*VLOOKUP('Données projet'!$B$12,Paramètres!$A$1:$I$89,3,0)*0.475*44/12</f>
        <v>19.254824221086619</v>
      </c>
      <c r="CM43" s="21">
        <f>EXP(-LN(2)/2)*CM42+(1-EXP(-LN(2)/2))/(LN(2)/2)*CG43*CJ43*VLOOKUP('Données projet'!$B$12,Paramètres!$A$1:$I$89,3,0)*0.475*44/12</f>
        <v>0.90216364314859765</v>
      </c>
      <c r="CN43" s="22">
        <f t="shared" si="12"/>
        <v>23.36908352212123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9.3141025641025674</v>
      </c>
      <c r="CT43" s="12">
        <f>IF('Données projet'!$A$140&gt;35,CT42+CS43-DB42,IF(A43&lt;'Données projet'!$A$140,$CQ$205^A43,IF(A43='Données projet'!$A$140,'Données projet'!$B$140,CT42+CS43-DB42)))</f>
        <v>148.13461538461539</v>
      </c>
      <c r="CU43" s="17">
        <f>CT43*VLOOKUP('Données projet'!$B$13,Paramètres!$A$1:$I$89,3,0)*VLOOKUP('Données projet'!$B$13,Paramètres!$A$1:$I$89,5,0)</f>
        <v>134.03220000000002</v>
      </c>
      <c r="CV43" s="13">
        <f t="shared" si="41"/>
        <v>34.926419532696755</v>
      </c>
      <c r="CW43" s="20">
        <f t="shared" si="13"/>
        <v>294.26959568611358</v>
      </c>
      <c r="CX43" s="59">
        <f t="shared" si="14"/>
        <v>587.60292901944695</v>
      </c>
      <c r="CY43" s="59">
        <f ca="1">AVERAGE(OFFSET($CX$3,0,0,'Données projet'!$E$13+1,1))-AVERAGE(OFFSET($H$3,0,0,'Données projet'!$E$13+1,1))</f>
        <v>221.7429870520005</v>
      </c>
      <c r="CZ43" s="59">
        <f t="shared" si="42"/>
        <v>182.2029938397186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203.06824999999989</v>
      </c>
      <c r="P44" s="13">
        <f t="shared" si="33"/>
        <v>50.41787755465473</v>
      </c>
      <c r="Q44" s="20">
        <f t="shared" si="53"/>
        <v>441.48833882435679</v>
      </c>
      <c r="R44" s="59">
        <f t="shared" si="0"/>
        <v>734.82167215769005</v>
      </c>
      <c r="S44" s="59">
        <f ca="1">AVERAGE(OFFSET($R$3,0,0,'Données projet'!$E$9+1,1))-AVERAGE(OFFSET($H$3,0,0,'Données projet'!$E$9+1,1))</f>
        <v>199.01551760562705</v>
      </c>
      <c r="T44" s="59">
        <f t="shared" si="34"/>
        <v>269.50915104901367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2.0228066926404424</v>
      </c>
      <c r="AA44" s="21">
        <f>EXP(-LN(2)/25)*AA43+(1-EXP(-LN(2)/25))/(LN(2)/25)*Calculateur!V44*Calculateur!X44*VLOOKUP('Données projet'!$B$9,Paramètres!$A$1:$I$89,3,0)*0.475*44/12</f>
        <v>9.5760483226862547</v>
      </c>
      <c r="AB44" s="21">
        <f>EXP(-LN(2)/2)*AB43+(1-EXP(-LN(2)/2))/(LN(2)/2)*V44*Y44*VLOOKUP('Données projet'!$B$9,Paramètres!$A$1:$I$89,3,0)*0.475*44/12</f>
        <v>3.0444041951309498E-2</v>
      </c>
      <c r="AC44" s="22">
        <f t="shared" si="3"/>
        <v>11.629299057278006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18.899999999999999</v>
      </c>
      <c r="AI44" s="13">
        <f>IF('Données projet'!$A$62&gt;35,AI43+AH44-AQ43,IF(A44&lt;'Données projet'!$A$62,$AF$205^A44,IF(A44='Données projet'!$A$62,'Données projet'!$B$62,AI43+AH44-AQ43)))</f>
        <v>264.89999999999992</v>
      </c>
      <c r="AJ44" s="13">
        <f>AI44*VLOOKUP('Données projet'!$B$10,Paramètres!$A$1:$I$89,3,0)*VLOOKUP('Données projet'!$B$10,Paramètres!$A$1:$I$89,5,0)</f>
        <v>158.41019999999997</v>
      </c>
      <c r="AK44" s="13">
        <f t="shared" si="35"/>
        <v>40.483723442869469</v>
      </c>
      <c r="AL44" s="20">
        <f t="shared" si="4"/>
        <v>346.40691666299762</v>
      </c>
      <c r="AM44" s="59">
        <f t="shared" si="5"/>
        <v>639.74024999633093</v>
      </c>
      <c r="AN44" s="59">
        <f ca="1">AVERAGE(OFFSET($AM$3,0,0,'Données projet'!$E$10+1,1))-AVERAGE(OFFSET($H$3,0,0,'Données projet'!$E$10+1,1))</f>
        <v>316.58509520829671</v>
      </c>
      <c r="AO44" s="59">
        <f t="shared" si="36"/>
        <v>240.71332110643596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2.0384073457475353</v>
      </c>
      <c r="AV44" s="21">
        <f>EXP(-LN(2)/25)*AV43+(1-EXP(-LN(2)/25))/(LN(2)/25)*Calculateur!AQ44*Calculateur!AS44*VLOOKUP('Données projet'!$B$10,Paramètres!$A$1:$I$89,3,0)*0.475*44/12</f>
        <v>11.25451718801513</v>
      </c>
      <c r="AW44" s="21">
        <f>EXP(-LN(2)/2)*AW43+(1-EXP(-LN(2)/2))/(LN(2)/2)*AQ44*AT44*VLOOKUP('Données projet'!$B$10,Paramètres!$A$1:$I$89,3,0)*0.475*44/12</f>
        <v>0.4847955706148328</v>
      </c>
      <c r="AX44" s="21">
        <f t="shared" si="6"/>
        <v>13.777720104377497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10.6</v>
      </c>
      <c r="BD44" s="12">
        <f>IF('Données projet'!$A$88&gt;35,BD43+BC44-BL43,IF(A44&lt;'Données projet'!$A$88,$BA$205^A44,IF(A44='Données projet'!$A$88,'Données projet'!$B$88,BD43+BC44-BL43)))</f>
        <v>233.59999999999985</v>
      </c>
      <c r="BE44" s="13">
        <f>BD44*VLOOKUP('Données projet'!$B$11,Paramètres!$A$1:$I$89,3,0)*VLOOKUP('Données projet'!$B$11,Paramètres!$A$1:$I$89,5,0)</f>
        <v>185.85215999999988</v>
      </c>
      <c r="BF44" s="13">
        <f t="shared" si="37"/>
        <v>46.621749613278887</v>
      </c>
      <c r="BG44" s="20">
        <f t="shared" si="7"/>
        <v>404.89205924312722</v>
      </c>
      <c r="BH44" s="59">
        <f t="shared" si="8"/>
        <v>698.22539257646054</v>
      </c>
      <c r="BI44" s="59">
        <f ca="1">AVERAGE(OFFSET($BH$3,0,0,'Données projet'!$E$11+1,1))-AVERAGE(OFFSET($H$3,0,0,'Données projet'!$E$11+1,1))</f>
        <v>314.94704727988847</v>
      </c>
      <c r="BJ44" s="59">
        <f t="shared" si="38"/>
        <v>366.49199094166454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3.1491084212197684</v>
      </c>
      <c r="BQ44" s="21">
        <f>EXP(-LN(2)/25)*BQ43+(1-EXP(-LN(2)/25))/(LN(2)/25)*Calculateur!BL44*Calculateur!BN44*VLOOKUP('Données projet'!$B$11,Paramètres!$A$1:$I$89,3,0)*0.475*44/12</f>
        <v>18.728300040193808</v>
      </c>
      <c r="BR44" s="21">
        <f>EXP(-LN(2)/2)*BR43+(1-EXP(-LN(2)/2))/(LN(2)/2)*BL44*BO44*VLOOKUP('Données projet'!$B$11,Paramètres!$A$1:$I$89,3,0)*0.475*44/12</f>
        <v>0.63792602981033397</v>
      </c>
      <c r="BS44" s="22">
        <f t="shared" si="9"/>
        <v>22.515334491223911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10.6</v>
      </c>
      <c r="BY44" s="12">
        <f>IF('Données projet'!$A$114&gt;35,BY43+BX44-CG43,IF(A44&lt;'Données projet'!$A$114,$BV$205^A44,IF(A44='Données projet'!$A$114,'Données projet'!$B$114,BY43+BX44-CG43)))</f>
        <v>233.59999999999985</v>
      </c>
      <c r="BZ44" s="13">
        <f>BY44*VLOOKUP('Données projet'!$B$12,Paramètres!$A$1:$I$89,3,0)*VLOOKUP('Données projet'!$B$12,Paramètres!$A$1:$I$89,5,0)</f>
        <v>185.85215999999988</v>
      </c>
      <c r="CA44" s="13">
        <f t="shared" si="39"/>
        <v>46.621749613278887</v>
      </c>
      <c r="CB44" s="20">
        <f t="shared" si="10"/>
        <v>404.89205924312722</v>
      </c>
      <c r="CC44" s="59">
        <f t="shared" si="11"/>
        <v>698.22539257646054</v>
      </c>
      <c r="CD44" s="59">
        <f ca="1">AVERAGE(OFFSET($CC$3,0,0,'Données projet'!$E$12+1,1))-AVERAGE(OFFSET($H$3,0,0,'Données projet'!$E$12+1,1))</f>
        <v>314.94704727988847</v>
      </c>
      <c r="CE44" s="59">
        <f t="shared" si="40"/>
        <v>366.49199094166454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3.1491084212197684</v>
      </c>
      <c r="CL44" s="21">
        <f>EXP(-LN(2)/25)*CL43+(1-EXP(-LN(2)/25))/(LN(2)/25)*Calculateur!CG44*Calculateur!CI44*VLOOKUP('Données projet'!$B$12,Paramètres!$A$1:$I$89,3,0)*0.475*44/12</f>
        <v>18.728300040193808</v>
      </c>
      <c r="CM44" s="21">
        <f>EXP(-LN(2)/2)*CM43+(1-EXP(-LN(2)/2))/(LN(2)/2)*CG44*CJ44*VLOOKUP('Données projet'!$B$12,Paramètres!$A$1:$I$89,3,0)*0.475*44/12</f>
        <v>0.63792602981033397</v>
      </c>
      <c r="CN44" s="22">
        <f t="shared" si="12"/>
        <v>22.515334491223911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157.44871794871796</v>
      </c>
      <c r="CR44" s="12">
        <f>VLOOKUP(A44,'Données projet'!$A$139:$I$159,9,0)</f>
        <v>9.3141025641025674</v>
      </c>
      <c r="CS44" s="12">
        <f t="array" ref="CS44">INDEX(CR:CR,MIN(IF(ISNUMBER(CR44:CR240),ROW(CR44:CR240),"")))</f>
        <v>9.3141025641025674</v>
      </c>
      <c r="CT44" s="12">
        <f>IF('Données projet'!$A$140&gt;35,CT43+CS44-DB43,IF(A44&lt;'Données projet'!$A$140,$CQ$205^A44,IF(A44='Données projet'!$A$140,'Données projet'!$B$140,CT43+CS44-DB43)))</f>
        <v>157.44871794871796</v>
      </c>
      <c r="CU44" s="17">
        <f>CT44*VLOOKUP('Données projet'!$B$13,Paramètres!$A$1:$I$89,3,0)*VLOOKUP('Données projet'!$B$13,Paramètres!$A$1:$I$89,5,0)</f>
        <v>142.45959999999999</v>
      </c>
      <c r="CV44" s="13">
        <f t="shared" si="41"/>
        <v>36.859892915688405</v>
      </c>
      <c r="CW44" s="20">
        <f t="shared" si="13"/>
        <v>312.31478349482393</v>
      </c>
      <c r="CX44" s="59">
        <f t="shared" si="14"/>
        <v>605.6481168281573</v>
      </c>
      <c r="CY44" s="59">
        <f ca="1">AVERAGE(OFFSET($CX$3,0,0,'Données projet'!$E$13+1,1))-AVERAGE(OFFSET($H$3,0,0,'Données projet'!$E$13+1,1))</f>
        <v>221.7429870520005</v>
      </c>
      <c r="CZ44" s="59">
        <f t="shared" si="42"/>
        <v>182.2029938397186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38.512820512820511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213.26899999999989</v>
      </c>
      <c r="P45" s="13">
        <f t="shared" si="33"/>
        <v>52.649300968941162</v>
      </c>
      <c r="Q45" s="20">
        <f t="shared" si="53"/>
        <v>463.14104085423895</v>
      </c>
      <c r="R45" s="59">
        <f t="shared" si="0"/>
        <v>756.47437418757227</v>
      </c>
      <c r="S45" s="59">
        <f ca="1">AVERAGE(OFFSET($R$3,0,0,'Données projet'!$E$9+1,1))-AVERAGE(OFFSET($H$3,0,0,'Données projet'!$E$9+1,1))</f>
        <v>199.01551760562705</v>
      </c>
      <c r="T45" s="59">
        <f t="shared" si="34"/>
        <v>269.50915104901367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1.9831406871880193</v>
      </c>
      <c r="AA45" s="21">
        <f>EXP(-LN(2)/25)*AA44+(1-EXP(-LN(2)/25))/(LN(2)/25)*Calculateur!V45*Calculateur!X45*VLOOKUP('Données projet'!$B$9,Paramètres!$A$1:$I$89,3,0)*0.475*44/12</f>
        <v>9.3141907777199044</v>
      </c>
      <c r="AB45" s="21">
        <f>EXP(-LN(2)/2)*AB44+(1-EXP(-LN(2)/2))/(LN(2)/2)*V45*Y45*VLOOKUP('Données projet'!$B$9,Paramètres!$A$1:$I$89,3,0)*0.475*44/12</f>
        <v>2.1527188510498681E-2</v>
      </c>
      <c r="AC45" s="22">
        <f t="shared" si="3"/>
        <v>11.318858653418422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18.899999999999999</v>
      </c>
      <c r="AI45" s="13">
        <f>IF('Données projet'!$A$62&gt;35,AI44+AH45-AQ44,IF(A45&lt;'Données projet'!$A$62,$AF$205^A45,IF(A45='Données projet'!$A$62,'Données projet'!$B$62,AI44+AH45-AQ44)))</f>
        <v>283.7999999999999</v>
      </c>
      <c r="AJ45" s="13">
        <f>AI45*VLOOKUP('Données projet'!$B$10,Paramètres!$A$1:$I$89,3,0)*VLOOKUP('Données projet'!$B$10,Paramètres!$A$1:$I$89,5,0)</f>
        <v>169.71239999999995</v>
      </c>
      <c r="AK45" s="13">
        <f t="shared" si="35"/>
        <v>43.025604406382911</v>
      </c>
      <c r="AL45" s="20">
        <f t="shared" si="4"/>
        <v>370.51869100778345</v>
      </c>
      <c r="AM45" s="59">
        <f t="shared" si="5"/>
        <v>663.8520243411167</v>
      </c>
      <c r="AN45" s="59">
        <f ca="1">AVERAGE(OFFSET($AM$3,0,0,'Données projet'!$E$10+1,1))-AVERAGE(OFFSET($H$3,0,0,'Données projet'!$E$10+1,1))</f>
        <v>316.58509520829671</v>
      </c>
      <c r="AO45" s="59">
        <f t="shared" si="36"/>
        <v>240.71332110643596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1.9984354210031408</v>
      </c>
      <c r="AV45" s="21">
        <f>EXP(-LN(2)/25)*AV44+(1-EXP(-LN(2)/25))/(LN(2)/25)*Calculateur!AQ45*Calculateur!AS45*VLOOKUP('Données projet'!$B$10,Paramètres!$A$1:$I$89,3,0)*0.475*44/12</f>
        <v>10.94676182365952</v>
      </c>
      <c r="AW45" s="21">
        <f>EXP(-LN(2)/2)*AW44+(1-EXP(-LN(2)/2))/(LN(2)/2)*AQ45*AT45*VLOOKUP('Données projet'!$B$10,Paramètres!$A$1:$I$89,3,0)*0.475*44/12</f>
        <v>0.34280223547095007</v>
      </c>
      <c r="AX45" s="21">
        <f t="shared" si="6"/>
        <v>13.28799948013361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10.6</v>
      </c>
      <c r="BD45" s="12">
        <f>IF('Données projet'!$A$88&gt;35,BD44+BC45-BL44,IF(A45&lt;'Données projet'!$A$88,$BA$205^A45,IF(A45='Données projet'!$A$88,'Données projet'!$B$88,BD44+BC45-BL44)))</f>
        <v>244.19999999999985</v>
      </c>
      <c r="BE45" s="13">
        <f>BD45*VLOOKUP('Données projet'!$B$11,Paramètres!$A$1:$I$89,3,0)*VLOOKUP('Données projet'!$B$11,Paramètres!$A$1:$I$89,5,0)</f>
        <v>194.28551999999991</v>
      </c>
      <c r="BF45" s="13">
        <f t="shared" si="37"/>
        <v>48.486187031267164</v>
      </c>
      <c r="BG45" s="20">
        <f t="shared" si="7"/>
        <v>422.8273897461234</v>
      </c>
      <c r="BH45" s="59">
        <f t="shared" si="8"/>
        <v>716.16072307945672</v>
      </c>
      <c r="BI45" s="59">
        <f ca="1">AVERAGE(OFFSET($BH$3,0,0,'Données projet'!$E$11+1,1))-AVERAGE(OFFSET($H$3,0,0,'Données projet'!$E$11+1,1))</f>
        <v>314.94704727988847</v>
      </c>
      <c r="BJ45" s="59">
        <f t="shared" si="38"/>
        <v>366.49199094166454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3.0873563258461258</v>
      </c>
      <c r="BQ45" s="21">
        <f>EXP(-LN(2)/25)*BQ44+(1-EXP(-LN(2)/25))/(LN(2)/25)*Calculateur!BL45*Calculateur!BN45*VLOOKUP('Données projet'!$B$11,Paramètres!$A$1:$I$89,3,0)*0.475*44/12</f>
        <v>18.216173690716214</v>
      </c>
      <c r="BR45" s="21">
        <f>EXP(-LN(2)/2)*BR44+(1-EXP(-LN(2)/2))/(LN(2)/2)*BL45*BO45*VLOOKUP('Données projet'!$B$11,Paramètres!$A$1:$I$89,3,0)*0.475*44/12</f>
        <v>0.45108182157429882</v>
      </c>
      <c r="BS45" s="22">
        <f t="shared" si="9"/>
        <v>21.75461183813664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10.6</v>
      </c>
      <c r="BY45" s="12">
        <f>IF('Données projet'!$A$114&gt;35,BY44+BX45-CG44,IF(A45&lt;'Données projet'!$A$114,$BV$205^A45,IF(A45='Données projet'!$A$114,'Données projet'!$B$114,BY44+BX45-CG44)))</f>
        <v>244.19999999999985</v>
      </c>
      <c r="BZ45" s="13">
        <f>BY45*VLOOKUP('Données projet'!$B$12,Paramètres!$A$1:$I$89,3,0)*VLOOKUP('Données projet'!$B$12,Paramètres!$A$1:$I$89,5,0)</f>
        <v>194.28551999999991</v>
      </c>
      <c r="CA45" s="13">
        <f t="shared" si="39"/>
        <v>48.486187031267164</v>
      </c>
      <c r="CB45" s="20">
        <f t="shared" si="10"/>
        <v>422.8273897461234</v>
      </c>
      <c r="CC45" s="59">
        <f t="shared" si="11"/>
        <v>716.16072307945672</v>
      </c>
      <c r="CD45" s="59">
        <f ca="1">AVERAGE(OFFSET($CC$3,0,0,'Données projet'!$E$12+1,1))-AVERAGE(OFFSET($H$3,0,0,'Données projet'!$E$12+1,1))</f>
        <v>314.94704727988847</v>
      </c>
      <c r="CE45" s="59">
        <f t="shared" si="40"/>
        <v>366.49199094166454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3.0873563258461258</v>
      </c>
      <c r="CL45" s="21">
        <f>EXP(-LN(2)/25)*CL44+(1-EXP(-LN(2)/25))/(LN(2)/25)*Calculateur!CG45*Calculateur!CI45*VLOOKUP('Données projet'!$B$12,Paramètres!$A$1:$I$89,3,0)*0.475*44/12</f>
        <v>18.216173690716214</v>
      </c>
      <c r="CM45" s="21">
        <f>EXP(-LN(2)/2)*CM44+(1-EXP(-LN(2)/2))/(LN(2)/2)*CG45*CJ45*VLOOKUP('Données projet'!$B$12,Paramètres!$A$1:$I$89,3,0)*0.475*44/12</f>
        <v>0.45108182157429882</v>
      </c>
      <c r="CN45" s="22">
        <f t="shared" si="12"/>
        <v>21.75461183813664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9.3452380952380913</v>
      </c>
      <c r="CT45" s="12">
        <f>IF('Données projet'!$A$140&gt;35,CT44+CS45-DB44,IF(A45&lt;'Données projet'!$A$140,$CQ$205^A45,IF(A45='Données projet'!$A$140,'Données projet'!$B$140,CT44+CS45-DB44)))</f>
        <v>128.28113553113553</v>
      </c>
      <c r="CU45" s="17">
        <f>CT45*VLOOKUP('Données projet'!$B$13,Paramètres!$A$1:$I$89,3,0)*VLOOKUP('Données projet'!$B$13,Paramètres!$A$1:$I$89,5,0)</f>
        <v>116.06877142857142</v>
      </c>
      <c r="CV45" s="13">
        <f t="shared" si="41"/>
        <v>30.756334905160415</v>
      </c>
      <c r="CW45" s="20">
        <f t="shared" si="13"/>
        <v>255.72039353124964</v>
      </c>
      <c r="CX45" s="59">
        <f t="shared" si="14"/>
        <v>549.05372686458293</v>
      </c>
      <c r="CY45" s="59">
        <f ca="1">AVERAGE(OFFSET($CX$3,0,0,'Données projet'!$E$13+1,1))-AVERAGE(OFFSET($H$3,0,0,'Données projet'!$E$13+1,1))</f>
        <v>221.7429870520005</v>
      </c>
      <c r="CZ45" s="59">
        <f t="shared" si="42"/>
        <v>182.2029938397186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189.71516666666659</v>
      </c>
      <c r="P46" s="13">
        <f t="shared" si="33"/>
        <v>47.476974747991505</v>
      </c>
      <c r="Q46" s="20">
        <f t="shared" si="53"/>
        <v>413.10964629719615</v>
      </c>
      <c r="R46" s="59">
        <f t="shared" si="0"/>
        <v>706.44297963052941</v>
      </c>
      <c r="S46" s="59">
        <f ca="1">AVERAGE(OFFSET($R$3,0,0,'Données projet'!$E$9+1,1))-AVERAGE(OFFSET($H$3,0,0,'Données projet'!$E$9+1,1))</f>
        <v>199.01551760562705</v>
      </c>
      <c r="T46" s="59">
        <f t="shared" si="34"/>
        <v>269.50915104901367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1.9442525079086437</v>
      </c>
      <c r="AA46" s="21">
        <f>EXP(-LN(2)/25)*AA45+(1-EXP(-LN(2)/25))/(LN(2)/25)*Calculateur!V46*Calculateur!X46*VLOOKUP('Données projet'!$B$9,Paramètres!$A$1:$I$89,3,0)*0.475*44/12</f>
        <v>9.0594937410911491</v>
      </c>
      <c r="AB46" s="21">
        <f>EXP(-LN(2)/2)*AB45+(1-EXP(-LN(2)/2))/(LN(2)/2)*V46*Y46*VLOOKUP('Données projet'!$B$9,Paramètres!$A$1:$I$89,3,0)*0.475*44/12</f>
        <v>1.5222020975654751E-2</v>
      </c>
      <c r="AC46" s="22">
        <f t="shared" si="3"/>
        <v>11.018968269975447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18.899999999999999</v>
      </c>
      <c r="AI46" s="13">
        <f>IF('Données projet'!$A$62&gt;35,AI45+AH46-AQ45,IF(A46&lt;'Données projet'!$A$62,$AF$205^A46,IF(A46='Données projet'!$A$62,'Données projet'!$B$62,AI45+AH46-AQ45)))</f>
        <v>302.69999999999987</v>
      </c>
      <c r="AJ46" s="13">
        <f>AI46*VLOOKUP('Données projet'!$B$10,Paramètres!$A$1:$I$89,3,0)*VLOOKUP('Données projet'!$B$10,Paramètres!$A$1:$I$89,5,0)</f>
        <v>181.01459999999994</v>
      </c>
      <c r="AK46" s="13">
        <f t="shared" si="35"/>
        <v>45.547842076970326</v>
      </c>
      <c r="AL46" s="20">
        <f t="shared" si="4"/>
        <v>394.59625328405656</v>
      </c>
      <c r="AM46" s="59">
        <f t="shared" si="5"/>
        <v>687.92958661738987</v>
      </c>
      <c r="AN46" s="59">
        <f ca="1">AVERAGE(OFFSET($AM$3,0,0,'Données projet'!$E$10+1,1))-AVERAGE(OFFSET($H$3,0,0,'Données projet'!$E$10+1,1))</f>
        <v>316.58509520829671</v>
      </c>
      <c r="AO46" s="59">
        <f t="shared" si="36"/>
        <v>240.71332110643596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1.959247321322517</v>
      </c>
      <c r="AV46" s="21">
        <f>EXP(-LN(2)/25)*AV45+(1-EXP(-LN(2)/25))/(LN(2)/25)*Calculateur!AQ46*Calculateur!AS46*VLOOKUP('Données projet'!$B$10,Paramètres!$A$1:$I$89,3,0)*0.475*44/12</f>
        <v>10.647422045926366</v>
      </c>
      <c r="AW46" s="21">
        <f>EXP(-LN(2)/2)*AW45+(1-EXP(-LN(2)/2))/(LN(2)/2)*AQ46*AT46*VLOOKUP('Données projet'!$B$10,Paramètres!$A$1:$I$89,3,0)*0.475*44/12</f>
        <v>0.24239778530741646</v>
      </c>
      <c r="AX46" s="21">
        <f t="shared" si="6"/>
        <v>12.849067152556298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</v>
      </c>
      <c r="BD46" s="12">
        <f>IF('Données projet'!$A$88&gt;35,BD45+BC46-BL45,IF(A46&lt;'Données projet'!$A$88,$BA$205^A46,IF(A46='Données projet'!$A$88,'Données projet'!$B$88,BD45+BC46-BL45)))</f>
        <v>254.79999999999984</v>
      </c>
      <c r="BE46" s="13">
        <f>BD46*VLOOKUP('Données projet'!$B$11,Paramètres!$A$1:$I$89,3,0)*VLOOKUP('Données projet'!$B$11,Paramètres!$A$1:$I$89,5,0)</f>
        <v>202.7188799999999</v>
      </c>
      <c r="BF46" s="13">
        <f t="shared" si="37"/>
        <v>50.341224871428082</v>
      </c>
      <c r="BG46" s="20">
        <f t="shared" si="7"/>
        <v>440.74634931773704</v>
      </c>
      <c r="BH46" s="59">
        <f t="shared" si="8"/>
        <v>734.07968265107036</v>
      </c>
      <c r="BI46" s="59">
        <f ca="1">AVERAGE(OFFSET($BH$3,0,0,'Données projet'!$E$11+1,1))-AVERAGE(OFFSET($H$3,0,0,'Données projet'!$E$11+1,1))</f>
        <v>314.94704727988847</v>
      </c>
      <c r="BJ46" s="59">
        <f t="shared" si="38"/>
        <v>366.49199094166454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3.0268151513977011</v>
      </c>
      <c r="BQ46" s="21">
        <f>EXP(-LN(2)/25)*BQ45+(1-EXP(-LN(2)/25))/(LN(2)/25)*Calculateur!BL46*Calculateur!BN46*VLOOKUP('Données projet'!$B$11,Paramètres!$A$1:$I$89,3,0)*0.475*44/12</f>
        <v>17.718051463196637</v>
      </c>
      <c r="BR46" s="21">
        <f>EXP(-LN(2)/2)*BR45+(1-EXP(-LN(2)/2))/(LN(2)/2)*BL46*BO46*VLOOKUP('Données projet'!$B$11,Paramètres!$A$1:$I$89,3,0)*0.475*44/12</f>
        <v>0.31896301490516699</v>
      </c>
      <c r="BS46" s="22">
        <f t="shared" si="9"/>
        <v>21.063829629499509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10.6</v>
      </c>
      <c r="BY46" s="12">
        <f>IF('Données projet'!$A$114&gt;35,BY45+BX46-CG45,IF(A46&lt;'Données projet'!$A$114,$BV$205^A46,IF(A46='Données projet'!$A$114,'Données projet'!$B$114,BY45+BX46-CG45)))</f>
        <v>254.79999999999984</v>
      </c>
      <c r="BZ46" s="13">
        <f>BY46*VLOOKUP('Données projet'!$B$12,Paramètres!$A$1:$I$89,3,0)*VLOOKUP('Données projet'!$B$12,Paramètres!$A$1:$I$89,5,0)</f>
        <v>202.7188799999999</v>
      </c>
      <c r="CA46" s="13">
        <f t="shared" si="39"/>
        <v>50.341224871428082</v>
      </c>
      <c r="CB46" s="20">
        <f t="shared" si="10"/>
        <v>440.74634931773704</v>
      </c>
      <c r="CC46" s="59">
        <f t="shared" si="11"/>
        <v>734.07968265107036</v>
      </c>
      <c r="CD46" s="59">
        <f ca="1">AVERAGE(OFFSET($CC$3,0,0,'Données projet'!$E$12+1,1))-AVERAGE(OFFSET($H$3,0,0,'Données projet'!$E$12+1,1))</f>
        <v>314.94704727988847</v>
      </c>
      <c r="CE46" s="59">
        <f t="shared" si="40"/>
        <v>366.49199094166454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3.0268151513977011</v>
      </c>
      <c r="CL46" s="21">
        <f>EXP(-LN(2)/25)*CL45+(1-EXP(-LN(2)/25))/(LN(2)/25)*Calculateur!CG46*Calculateur!CI46*VLOOKUP('Données projet'!$B$12,Paramètres!$A$1:$I$89,3,0)*0.475*44/12</f>
        <v>17.718051463196637</v>
      </c>
      <c r="CM46" s="21">
        <f>EXP(-LN(2)/2)*CM45+(1-EXP(-LN(2)/2))/(LN(2)/2)*CG46*CJ46*VLOOKUP('Données projet'!$B$12,Paramètres!$A$1:$I$89,3,0)*0.475*44/12</f>
        <v>0.31896301490516699</v>
      </c>
      <c r="CN46" s="22">
        <f t="shared" si="12"/>
        <v>21.063829629499509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9.3452380952380913</v>
      </c>
      <c r="CT46" s="12">
        <f>IF('Données projet'!$A$140&gt;35,CT45+CS46-DB45,IF(A46&lt;'Données projet'!$A$140,$CQ$205^A46,IF(A46='Données projet'!$A$140,'Données projet'!$B$140,CT45+CS46-DB45)))</f>
        <v>137.62637362637363</v>
      </c>
      <c r="CU46" s="17">
        <f>CT46*VLOOKUP('Données projet'!$B$13,Paramètres!$A$1:$I$89,3,0)*VLOOKUP('Données projet'!$B$13,Paramètres!$A$1:$I$89,5,0)</f>
        <v>124.52434285714287</v>
      </c>
      <c r="CV46" s="13">
        <f t="shared" si="41"/>
        <v>32.72794432679062</v>
      </c>
      <c r="CW46" s="20">
        <f t="shared" si="13"/>
        <v>273.88106684535086</v>
      </c>
      <c r="CX46" s="59">
        <f t="shared" si="14"/>
        <v>567.21440017868417</v>
      </c>
      <c r="CY46" s="59">
        <f ca="1">AVERAGE(OFFSET($CX$3,0,0,'Données projet'!$E$13+1,1))-AVERAGE(OFFSET($H$3,0,0,'Données projet'!$E$13+1,1))</f>
        <v>221.7429870520005</v>
      </c>
      <c r="CZ46" s="59">
        <f t="shared" si="42"/>
        <v>182.2029938397186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199.55483333333325</v>
      </c>
      <c r="P47" s="13">
        <f t="shared" si="33"/>
        <v>49.646320881614962</v>
      </c>
      <c r="Q47" s="20">
        <f t="shared" si="53"/>
        <v>434.02534359103475</v>
      </c>
      <c r="R47" s="59">
        <f t="shared" si="0"/>
        <v>727.35867692436807</v>
      </c>
      <c r="S47" s="59">
        <f ca="1">AVERAGE(OFFSET($R$3,0,0,'Données projet'!$E$9+1,1))-AVERAGE(OFFSET($H$3,0,0,'Données projet'!$E$9+1,1))</f>
        <v>199.01551760562705</v>
      </c>
      <c r="T47" s="59">
        <f t="shared" si="34"/>
        <v>269.50915104901367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1.9061269021054894</v>
      </c>
      <c r="AA47" s="21">
        <f>EXP(-LN(2)/25)*AA46+(1-EXP(-LN(2)/25))/(LN(2)/25)*Calculateur!V47*Calculateur!X47*VLOOKUP('Données projet'!$B$9,Paramètres!$A$1:$I$89,3,0)*0.475*44/12</f>
        <v>8.8117614083229423</v>
      </c>
      <c r="AB47" s="21">
        <f>EXP(-LN(2)/2)*AB46+(1-EXP(-LN(2)/2))/(LN(2)/2)*V47*Y47*VLOOKUP('Données projet'!$B$9,Paramètres!$A$1:$I$89,3,0)*0.475*44/12</f>
        <v>1.0763594255249342E-2</v>
      </c>
      <c r="AC47" s="22">
        <f t="shared" si="3"/>
        <v>10.728651904683682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18.899999999999999</v>
      </c>
      <c r="AI47" s="13">
        <f>IF('Données projet'!$A$62&gt;35,AI46+AH47-AQ46,IF(A47&lt;'Données projet'!$A$62,$AF$205^A47,IF(A47='Données projet'!$A$62,'Données projet'!$B$62,AI46+AH47-AQ46)))</f>
        <v>321.59999999999985</v>
      </c>
      <c r="AJ47" s="13">
        <f>AI47*VLOOKUP('Données projet'!$B$10,Paramètres!$A$1:$I$89,3,0)*VLOOKUP('Données projet'!$B$10,Paramètres!$A$1:$I$89,5,0)</f>
        <v>192.31679999999994</v>
      </c>
      <c r="AK47" s="13">
        <f t="shared" si="35"/>
        <v>48.05180257326473</v>
      </c>
      <c r="AL47" s="20">
        <f t="shared" si="4"/>
        <v>418.64198281510261</v>
      </c>
      <c r="AM47" s="59">
        <f t="shared" si="5"/>
        <v>711.97531614843592</v>
      </c>
      <c r="AN47" s="59">
        <f ca="1">AVERAGE(OFFSET($AM$3,0,0,'Données projet'!$E$10+1,1))-AVERAGE(OFFSET($H$3,0,0,'Données projet'!$E$10+1,1))</f>
        <v>316.58509520829671</v>
      </c>
      <c r="AO47" s="59">
        <f t="shared" si="36"/>
        <v>240.71332110643596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1.9208276763742498</v>
      </c>
      <c r="AV47" s="21">
        <f>EXP(-LN(2)/25)*AV46+(1-EXP(-LN(2)/25))/(LN(2)/25)*Calculateur!AQ47*Calculateur!AS47*VLOOKUP('Données projet'!$B$10,Paramètres!$A$1:$I$89,3,0)*0.475*44/12</f>
        <v>10.356267730156919</v>
      </c>
      <c r="AW47" s="21">
        <f>EXP(-LN(2)/2)*AW46+(1-EXP(-LN(2)/2))/(LN(2)/2)*AQ47*AT47*VLOOKUP('Données projet'!$B$10,Paramètres!$A$1:$I$89,3,0)*0.475*44/12</f>
        <v>0.17140111773547506</v>
      </c>
      <c r="AX47" s="21">
        <f t="shared" si="6"/>
        <v>12.448496524266645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</v>
      </c>
      <c r="BD47" s="12">
        <f>IF('Données projet'!$A$88&gt;35,BD46+BC47-BL46,IF(A47&lt;'Données projet'!$A$88,$BA$205^A47,IF(A47='Données projet'!$A$88,'Données projet'!$B$88,BD46+BC47-BL46)))</f>
        <v>265.39999999999986</v>
      </c>
      <c r="BE47" s="13">
        <f>BD47*VLOOKUP('Données projet'!$B$11,Paramètres!$A$1:$I$89,3,0)*VLOOKUP('Données projet'!$B$11,Paramètres!$A$1:$I$89,5,0)</f>
        <v>211.15223999999989</v>
      </c>
      <c r="BF47" s="13">
        <f t="shared" si="37"/>
        <v>52.187298885462759</v>
      </c>
      <c r="BG47" s="20">
        <f t="shared" si="7"/>
        <v>458.64969689218077</v>
      </c>
      <c r="BH47" s="59">
        <f t="shared" si="8"/>
        <v>751.98303022551409</v>
      </c>
      <c r="BI47" s="59">
        <f ca="1">AVERAGE(OFFSET($BH$3,0,0,'Données projet'!$E$11+1,1))-AVERAGE(OFFSET($H$3,0,0,'Données projet'!$E$11+1,1))</f>
        <v>314.94704727988847</v>
      </c>
      <c r="BJ47" s="59">
        <f t="shared" si="38"/>
        <v>366.49199094166454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2.96746115245374</v>
      </c>
      <c r="BQ47" s="21">
        <f>EXP(-LN(2)/25)*BQ46+(1-EXP(-LN(2)/25))/(LN(2)/25)*Calculateur!BL47*Calculateur!BN47*VLOOKUP('Données projet'!$B$11,Paramètres!$A$1:$I$89,3,0)*0.475*44/12</f>
        <v>17.233550414183693</v>
      </c>
      <c r="BR47" s="21">
        <f>EXP(-LN(2)/2)*BR46+(1-EXP(-LN(2)/2))/(LN(2)/2)*BL47*BO47*VLOOKUP('Données projet'!$B$11,Paramètres!$A$1:$I$89,3,0)*0.475*44/12</f>
        <v>0.22554091078714941</v>
      </c>
      <c r="BS47" s="22">
        <f t="shared" si="9"/>
        <v>20.426552477424583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10.6</v>
      </c>
      <c r="BY47" s="12">
        <f>IF('Données projet'!$A$114&gt;35,BY46+BX47-CG46,IF(A47&lt;'Données projet'!$A$114,$BV$205^A47,IF(A47='Données projet'!$A$114,'Données projet'!$B$114,BY46+BX47-CG46)))</f>
        <v>265.39999999999986</v>
      </c>
      <c r="BZ47" s="13">
        <f>BY47*VLOOKUP('Données projet'!$B$12,Paramètres!$A$1:$I$89,3,0)*VLOOKUP('Données projet'!$B$12,Paramètres!$A$1:$I$89,5,0)</f>
        <v>211.15223999999989</v>
      </c>
      <c r="CA47" s="13">
        <f t="shared" si="39"/>
        <v>52.187298885462759</v>
      </c>
      <c r="CB47" s="20">
        <f t="shared" si="10"/>
        <v>458.64969689218077</v>
      </c>
      <c r="CC47" s="59">
        <f t="shared" si="11"/>
        <v>751.98303022551409</v>
      </c>
      <c r="CD47" s="59">
        <f ca="1">AVERAGE(OFFSET($CC$3,0,0,'Données projet'!$E$12+1,1))-AVERAGE(OFFSET($H$3,0,0,'Données projet'!$E$12+1,1))</f>
        <v>314.94704727988847</v>
      </c>
      <c r="CE47" s="59">
        <f t="shared" si="40"/>
        <v>366.49199094166454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2.96746115245374</v>
      </c>
      <c r="CL47" s="21">
        <f>EXP(-LN(2)/25)*CL46+(1-EXP(-LN(2)/25))/(LN(2)/25)*Calculateur!CG47*Calculateur!CI47*VLOOKUP('Données projet'!$B$12,Paramètres!$A$1:$I$89,3,0)*0.475*44/12</f>
        <v>17.233550414183693</v>
      </c>
      <c r="CM47" s="21">
        <f>EXP(-LN(2)/2)*CM46+(1-EXP(-LN(2)/2))/(LN(2)/2)*CG47*CJ47*VLOOKUP('Données projet'!$B$12,Paramètres!$A$1:$I$89,3,0)*0.475*44/12</f>
        <v>0.22554091078714941</v>
      </c>
      <c r="CN47" s="22">
        <f t="shared" si="12"/>
        <v>20.426552477424583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9.3452380952380913</v>
      </c>
      <c r="CT47" s="12">
        <f>IF('Données projet'!$A$140&gt;35,CT46+CS47-DB46,IF(A47&lt;'Données projet'!$A$140,$CQ$205^A47,IF(A47='Données projet'!$A$140,'Données projet'!$B$140,CT46+CS47-DB46)))</f>
        <v>146.97161172161174</v>
      </c>
      <c r="CU47" s="17">
        <f>CT47*VLOOKUP('Données projet'!$B$13,Paramètres!$A$1:$I$89,3,0)*VLOOKUP('Données projet'!$B$13,Paramètres!$A$1:$I$89,5,0)</f>
        <v>132.97991428571427</v>
      </c>
      <c r="CV47" s="13">
        <f t="shared" si="41"/>
        <v>34.68401916194258</v>
      </c>
      <c r="CW47" s="20">
        <f t="shared" si="13"/>
        <v>292.01468408800241</v>
      </c>
      <c r="CX47" s="59">
        <f t="shared" si="14"/>
        <v>585.34801742133573</v>
      </c>
      <c r="CY47" s="59">
        <f ca="1">AVERAGE(OFFSET($CX$3,0,0,'Données projet'!$E$13+1,1))-AVERAGE(OFFSET($H$3,0,0,'Données projet'!$E$13+1,1))</f>
        <v>221.7429870520005</v>
      </c>
      <c r="CZ47" s="59">
        <f t="shared" si="42"/>
        <v>182.2029938397186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209.39449999999991</v>
      </c>
      <c r="P48" s="13">
        <f t="shared" si="33"/>
        <v>51.803246486168725</v>
      </c>
      <c r="Q48" s="20">
        <f t="shared" si="53"/>
        <v>454.91940846341032</v>
      </c>
      <c r="R48" s="59">
        <f t="shared" si="0"/>
        <v>748.25274179674363</v>
      </c>
      <c r="S48" s="59">
        <f ca="1">AVERAGE(OFFSET($R$3,0,0,'Données projet'!$E$9+1,1))-AVERAGE(OFFSET($H$3,0,0,'Données projet'!$E$9+1,1))</f>
        <v>199.01551760562705</v>
      </c>
      <c r="T48" s="59">
        <f t="shared" si="34"/>
        <v>269.50915104901367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1.8687489161778117</v>
      </c>
      <c r="AA48" s="21">
        <f>EXP(-LN(2)/25)*AA47+(1-EXP(-LN(2)/25))/(LN(2)/25)*Calculateur!V48*Calculateur!X48*VLOOKUP('Données projet'!$B$9,Paramètres!$A$1:$I$89,3,0)*0.475*44/12</f>
        <v>8.5708033292219579</v>
      </c>
      <c r="AB48" s="21">
        <f>EXP(-LN(2)/2)*AB47+(1-EXP(-LN(2)/2))/(LN(2)/2)*V48*Y48*VLOOKUP('Données projet'!$B$9,Paramètres!$A$1:$I$89,3,0)*0.475*44/12</f>
        <v>7.6110104878273771E-3</v>
      </c>
      <c r="AC48" s="22">
        <f t="shared" si="3"/>
        <v>10.447163255887597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18.899999999999999</v>
      </c>
      <c r="AI48" s="13">
        <f>IF('Données projet'!$A$62&gt;35,AI47+AH48-AQ47,IF(A48&lt;'Données projet'!$A$62,$AF$205^A48,IF(A48='Données projet'!$A$62,'Données projet'!$B$62,AI47+AH48-AQ47)))</f>
        <v>340.49999999999983</v>
      </c>
      <c r="AJ48" s="13">
        <f>AI48*VLOOKUP('Données projet'!$B$10,Paramètres!$A$1:$I$89,3,0)*VLOOKUP('Données projet'!$B$10,Paramètres!$A$1:$I$89,5,0)</f>
        <v>203.61899999999991</v>
      </c>
      <c r="AK48" s="13">
        <f t="shared" si="35"/>
        <v>50.538682373323198</v>
      </c>
      <c r="AL48" s="20">
        <f t="shared" si="4"/>
        <v>442.65796346687102</v>
      </c>
      <c r="AM48" s="59">
        <f t="shared" si="5"/>
        <v>735.99129680020428</v>
      </c>
      <c r="AN48" s="59">
        <f ca="1">AVERAGE(OFFSET($AM$3,0,0,'Données projet'!$E$10+1,1))-AVERAGE(OFFSET($H$3,0,0,'Données projet'!$E$10+1,1))</f>
        <v>316.58509520829671</v>
      </c>
      <c r="AO48" s="59">
        <f t="shared" si="36"/>
        <v>240.71332110643596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1.8831614172297486</v>
      </c>
      <c r="AV48" s="21">
        <f>EXP(-LN(2)/25)*AV47+(1-EXP(-LN(2)/25))/(LN(2)/25)*Calculateur!AQ48*Calculateur!AS48*VLOOKUP('Données projet'!$B$10,Paramètres!$A$1:$I$89,3,0)*0.475*44/12</f>
        <v>10.073075044463328</v>
      </c>
      <c r="AW48" s="21">
        <f>EXP(-LN(2)/2)*AW47+(1-EXP(-LN(2)/2))/(LN(2)/2)*AQ48*AT48*VLOOKUP('Données projet'!$B$10,Paramètres!$A$1:$I$89,3,0)*0.475*44/12</f>
        <v>0.12119889265370824</v>
      </c>
      <c r="AX48" s="21">
        <f t="shared" si="6"/>
        <v>12.077435354346786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</v>
      </c>
      <c r="BD48" s="12">
        <f>IF('Données projet'!$A$88&gt;35,BD47+BC48-BL47,IF(A48&lt;'Données projet'!$A$88,$BA$205^A48,IF(A48='Données projet'!$A$88,'Données projet'!$B$88,BD47+BC48-BL47)))</f>
        <v>275.99999999999989</v>
      </c>
      <c r="BE48" s="13">
        <f>BD48*VLOOKUP('Données projet'!$B$11,Paramètres!$A$1:$I$89,3,0)*VLOOKUP('Données projet'!$B$11,Paramètres!$A$1:$I$89,5,0)</f>
        <v>219.58559999999991</v>
      </c>
      <c r="BF48" s="13">
        <f t="shared" si="37"/>
        <v>54.024808047218549</v>
      </c>
      <c r="BG48" s="20">
        <f t="shared" si="7"/>
        <v>476.53812734890556</v>
      </c>
      <c r="BH48" s="59">
        <f t="shared" si="8"/>
        <v>769.87146068223888</v>
      </c>
      <c r="BI48" s="59">
        <f ca="1">AVERAGE(OFFSET($BH$3,0,0,'Données projet'!$E$11+1,1))-AVERAGE(OFFSET($H$3,0,0,'Données projet'!$E$11+1,1))</f>
        <v>314.94704727988847</v>
      </c>
      <c r="BJ48" s="59">
        <f t="shared" si="38"/>
        <v>366.49199094166454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2.9092710492267053</v>
      </c>
      <c r="BQ48" s="21">
        <f>EXP(-LN(2)/25)*BQ47+(1-EXP(-LN(2)/25))/(LN(2)/25)*Calculateur!BL48*Calculateur!BN48*VLOOKUP('Données projet'!$B$11,Paramètres!$A$1:$I$89,3,0)*0.475*44/12</f>
        <v>16.76229807183481</v>
      </c>
      <c r="BR48" s="21">
        <f>EXP(-LN(2)/2)*BR47+(1-EXP(-LN(2)/2))/(LN(2)/2)*BL48*BO48*VLOOKUP('Données projet'!$B$11,Paramètres!$A$1:$I$89,3,0)*0.475*44/12</f>
        <v>0.15948150745258349</v>
      </c>
      <c r="BS48" s="22">
        <f t="shared" si="9"/>
        <v>19.831050628514099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10.6</v>
      </c>
      <c r="BY48" s="12">
        <f>IF('Données projet'!$A$114&gt;35,BY47+BX48-CG47,IF(A48&lt;'Données projet'!$A$114,$BV$205^A48,IF(A48='Données projet'!$A$114,'Données projet'!$B$114,BY47+BX48-CG47)))</f>
        <v>275.99999999999989</v>
      </c>
      <c r="BZ48" s="13">
        <f>BY48*VLOOKUP('Données projet'!$B$12,Paramètres!$A$1:$I$89,3,0)*VLOOKUP('Données projet'!$B$12,Paramètres!$A$1:$I$89,5,0)</f>
        <v>219.58559999999991</v>
      </c>
      <c r="CA48" s="13">
        <f t="shared" si="39"/>
        <v>54.024808047218549</v>
      </c>
      <c r="CB48" s="20">
        <f t="shared" si="10"/>
        <v>476.53812734890556</v>
      </c>
      <c r="CC48" s="59">
        <f t="shared" si="11"/>
        <v>769.87146068223888</v>
      </c>
      <c r="CD48" s="59">
        <f ca="1">AVERAGE(OFFSET($CC$3,0,0,'Données projet'!$E$12+1,1))-AVERAGE(OFFSET($H$3,0,0,'Données projet'!$E$12+1,1))</f>
        <v>314.94704727988847</v>
      </c>
      <c r="CE48" s="59">
        <f t="shared" si="40"/>
        <v>366.49199094166454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2.9092710492267053</v>
      </c>
      <c r="CL48" s="21">
        <f>EXP(-LN(2)/25)*CL47+(1-EXP(-LN(2)/25))/(LN(2)/25)*Calculateur!CG48*Calculateur!CI48*VLOOKUP('Données projet'!$B$12,Paramètres!$A$1:$I$89,3,0)*0.475*44/12</f>
        <v>16.76229807183481</v>
      </c>
      <c r="CM48" s="21">
        <f>EXP(-LN(2)/2)*CM47+(1-EXP(-LN(2)/2))/(LN(2)/2)*CG48*CJ48*VLOOKUP('Données projet'!$B$12,Paramètres!$A$1:$I$89,3,0)*0.475*44/12</f>
        <v>0.15948150745258349</v>
      </c>
      <c r="CN48" s="22">
        <f t="shared" si="12"/>
        <v>19.831050628514099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9.3452380952380913</v>
      </c>
      <c r="CT48" s="12">
        <f>IF('Données projet'!$A$140&gt;35,CT47+CS48-DB47,IF(A48&lt;'Données projet'!$A$140,$CQ$205^A48,IF(A48='Données projet'!$A$140,'Données projet'!$B$140,CT47+CS48-DB47)))</f>
        <v>156.31684981684984</v>
      </c>
      <c r="CU48" s="17">
        <f>CT48*VLOOKUP('Données projet'!$B$13,Paramètres!$A$1:$I$89,3,0)*VLOOKUP('Données projet'!$B$13,Paramètres!$A$1:$I$89,5,0)</f>
        <v>141.43548571428573</v>
      </c>
      <c r="CV48" s="13">
        <f t="shared" si="41"/>
        <v>36.625659617511197</v>
      </c>
      <c r="CW48" s="20">
        <f t="shared" si="13"/>
        <v>310.12316145287963</v>
      </c>
      <c r="CX48" s="59">
        <f t="shared" si="14"/>
        <v>603.45649478621294</v>
      </c>
      <c r="CY48" s="59">
        <f ca="1">AVERAGE(OFFSET($CX$3,0,0,'Données projet'!$E$13+1,1))-AVERAGE(OFFSET($H$3,0,0,'Données projet'!$E$13+1,1))</f>
        <v>221.7429870520005</v>
      </c>
      <c r="CZ48" s="59">
        <f t="shared" si="42"/>
        <v>182.2029938397186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219.23416666666657</v>
      </c>
      <c r="P49" s="13">
        <f t="shared" si="33"/>
        <v>53.948401863254318</v>
      </c>
      <c r="Q49" s="20">
        <f t="shared" si="53"/>
        <v>475.79297352294549</v>
      </c>
      <c r="R49" s="59">
        <f t="shared" si="0"/>
        <v>769.1263068562788</v>
      </c>
      <c r="S49" s="59">
        <f ca="1">AVERAGE(OFFSET($R$3,0,0,'Données projet'!$E$9+1,1))-AVERAGE(OFFSET($H$3,0,0,'Données projet'!$E$9+1,1))</f>
        <v>199.01551760562705</v>
      </c>
      <c r="T49" s="59">
        <f t="shared" si="34"/>
        <v>269.50915104901367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1.8321038897558555</v>
      </c>
      <c r="AA49" s="21">
        <f>EXP(-LN(2)/25)*AA48+(1-EXP(-LN(2)/25))/(LN(2)/25)*Calculateur!V49*Calculateur!X49*VLOOKUP('Données projet'!$B$9,Paramètres!$A$1:$I$89,3,0)*0.475*44/12</f>
        <v>8.3364342614654259</v>
      </c>
      <c r="AB49" s="21">
        <f>EXP(-LN(2)/2)*AB48+(1-EXP(-LN(2)/2))/(LN(2)/2)*V49*Y49*VLOOKUP('Données projet'!$B$9,Paramètres!$A$1:$I$89,3,0)*0.475*44/12</f>
        <v>5.3817971276246719E-3</v>
      </c>
      <c r="AC49" s="22">
        <f t="shared" si="3"/>
        <v>10.173919948348905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18.899999999999999</v>
      </c>
      <c r="AI49" s="13">
        <f>IF('Données projet'!$A$62&gt;35,AI48+AH49-AQ48,IF(A49&lt;'Données projet'!$A$62,$AF$205^A49,IF(A49='Données projet'!$A$62,'Données projet'!$B$62,AI48+AH49-AQ48)))</f>
        <v>359.39999999999981</v>
      </c>
      <c r="AJ49" s="13">
        <f>AI49*VLOOKUP('Données projet'!$B$10,Paramètres!$A$1:$I$89,3,0)*VLOOKUP('Données projet'!$B$10,Paramètres!$A$1:$I$89,5,0)</f>
        <v>214.92119999999991</v>
      </c>
      <c r="AK49" s="13">
        <f t="shared" si="35"/>
        <v>53.009537628527006</v>
      </c>
      <c r="AL49" s="20">
        <f t="shared" si="4"/>
        <v>466.64603470301768</v>
      </c>
      <c r="AM49" s="59">
        <f t="shared" si="5"/>
        <v>759.97936803635093</v>
      </c>
      <c r="AN49" s="59">
        <f ca="1">AVERAGE(OFFSET($AM$3,0,0,'Données projet'!$E$10+1,1))-AVERAGE(OFFSET($H$3,0,0,'Données projet'!$E$10+1,1))</f>
        <v>316.58509520829671</v>
      </c>
      <c r="AO49" s="59">
        <f t="shared" si="36"/>
        <v>240.71332110643596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1.8462337704529215</v>
      </c>
      <c r="AV49" s="21">
        <f>EXP(-LN(2)/25)*AV48+(1-EXP(-LN(2)/25))/(LN(2)/25)*Calculateur!AQ49*Calculateur!AS49*VLOOKUP('Données projet'!$B$10,Paramètres!$A$1:$I$89,3,0)*0.475*44/12</f>
        <v>9.7976262776524852</v>
      </c>
      <c r="AW49" s="21">
        <f>EXP(-LN(2)/2)*AW48+(1-EXP(-LN(2)/2))/(LN(2)/2)*AQ49*AT49*VLOOKUP('Données projet'!$B$10,Paramètres!$A$1:$I$89,3,0)*0.475*44/12</f>
        <v>8.5700558867737545E-2</v>
      </c>
      <c r="AX49" s="21">
        <f t="shared" si="6"/>
        <v>11.729560606973143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</v>
      </c>
      <c r="BD49" s="12">
        <f>IF('Données projet'!$A$88&gt;35,BD48+BC49-BL48,IF(A49&lt;'Données projet'!$A$88,$BA$205^A49,IF(A49='Données projet'!$A$88,'Données projet'!$B$88,BD48+BC49-BL48)))</f>
        <v>286.59999999999991</v>
      </c>
      <c r="BE49" s="13">
        <f>BD49*VLOOKUP('Données projet'!$B$11,Paramètres!$A$1:$I$89,3,0)*VLOOKUP('Données projet'!$B$11,Paramètres!$A$1:$I$89,5,0)</f>
        <v>228.01895999999996</v>
      </c>
      <c r="BF49" s="13">
        <f t="shared" si="37"/>
        <v>55.854118949181277</v>
      </c>
      <c r="BG49" s="20">
        <f t="shared" si="7"/>
        <v>494.41227916982399</v>
      </c>
      <c r="BH49" s="59">
        <f t="shared" si="8"/>
        <v>787.7456125031573</v>
      </c>
      <c r="BI49" s="59">
        <f ca="1">AVERAGE(OFFSET($BH$3,0,0,'Données projet'!$E$11+1,1))-AVERAGE(OFFSET($H$3,0,0,'Données projet'!$E$11+1,1))</f>
        <v>314.94704727988847</v>
      </c>
      <c r="BJ49" s="59">
        <f t="shared" si="38"/>
        <v>366.49199094166454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2.8522220184314944</v>
      </c>
      <c r="BQ49" s="21">
        <f>EXP(-LN(2)/25)*BQ48+(1-EXP(-LN(2)/25))/(LN(2)/25)*Calculateur!BL49*Calculateur!BN49*VLOOKUP('Données projet'!$B$11,Paramètres!$A$1:$I$89,3,0)*0.475*44/12</f>
        <v>16.30393214956954</v>
      </c>
      <c r="BR49" s="21">
        <f>EXP(-LN(2)/2)*BR48+(1-EXP(-LN(2)/2))/(LN(2)/2)*BL49*BO49*VLOOKUP('Données projet'!$B$11,Paramètres!$A$1:$I$89,3,0)*0.475*44/12</f>
        <v>0.11277045539357471</v>
      </c>
      <c r="BS49" s="22">
        <f t="shared" si="9"/>
        <v>19.268924623394611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10.6</v>
      </c>
      <c r="BY49" s="12">
        <f>IF('Données projet'!$A$114&gt;35,BY48+BX49-CG48,IF(A49&lt;'Données projet'!$A$114,$BV$205^A49,IF(A49='Données projet'!$A$114,'Données projet'!$B$114,BY48+BX49-CG48)))</f>
        <v>286.59999999999991</v>
      </c>
      <c r="BZ49" s="13">
        <f>BY49*VLOOKUP('Données projet'!$B$12,Paramètres!$A$1:$I$89,3,0)*VLOOKUP('Données projet'!$B$12,Paramètres!$A$1:$I$89,5,0)</f>
        <v>228.01895999999996</v>
      </c>
      <c r="CA49" s="13">
        <f t="shared" si="39"/>
        <v>55.854118949181277</v>
      </c>
      <c r="CB49" s="20">
        <f t="shared" si="10"/>
        <v>494.41227916982399</v>
      </c>
      <c r="CC49" s="59">
        <f t="shared" si="11"/>
        <v>787.7456125031573</v>
      </c>
      <c r="CD49" s="59">
        <f ca="1">AVERAGE(OFFSET($CC$3,0,0,'Données projet'!$E$12+1,1))-AVERAGE(OFFSET($H$3,0,0,'Données projet'!$E$12+1,1))</f>
        <v>314.94704727988847</v>
      </c>
      <c r="CE49" s="59">
        <f t="shared" si="40"/>
        <v>366.49199094166454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2.8522220184314944</v>
      </c>
      <c r="CL49" s="21">
        <f>EXP(-LN(2)/25)*CL48+(1-EXP(-LN(2)/25))/(LN(2)/25)*Calculateur!CG49*Calculateur!CI49*VLOOKUP('Données projet'!$B$12,Paramètres!$A$1:$I$89,3,0)*0.475*44/12</f>
        <v>16.30393214956954</v>
      </c>
      <c r="CM49" s="21">
        <f>EXP(-LN(2)/2)*CM48+(1-EXP(-LN(2)/2))/(LN(2)/2)*CG49*CJ49*VLOOKUP('Données projet'!$B$12,Paramètres!$A$1:$I$89,3,0)*0.475*44/12</f>
        <v>0.11277045539357471</v>
      </c>
      <c r="CN49" s="22">
        <f t="shared" si="12"/>
        <v>19.268924623394611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9.3452380952380913</v>
      </c>
      <c r="CT49" s="12">
        <f>IF('Données projet'!$A$140&gt;35,CT48+CS49-DB48,IF(A49&lt;'Données projet'!$A$140,$CQ$205^A49,IF(A49='Données projet'!$A$140,'Données projet'!$B$140,CT48+CS49-DB48)))</f>
        <v>165.66208791208794</v>
      </c>
      <c r="CU49" s="17">
        <f>CT49*VLOOKUP('Données projet'!$B$13,Paramètres!$A$1:$I$89,3,0)*VLOOKUP('Données projet'!$B$13,Paramètres!$A$1:$I$89,5,0)</f>
        <v>149.89105714285716</v>
      </c>
      <c r="CV49" s="13">
        <f t="shared" si="41"/>
        <v>38.553826918856544</v>
      </c>
      <c r="CW49" s="20">
        <f t="shared" si="13"/>
        <v>328.20817307415138</v>
      </c>
      <c r="CX49" s="59">
        <f t="shared" si="14"/>
        <v>621.54150640748469</v>
      </c>
      <c r="CY49" s="59">
        <f ca="1">AVERAGE(OFFSET($CX$3,0,0,'Données projet'!$E$13+1,1))-AVERAGE(OFFSET($H$3,0,0,'Données projet'!$E$13+1,1))</f>
        <v>221.7429870520005</v>
      </c>
      <c r="CZ49" s="59">
        <f t="shared" si="42"/>
        <v>182.2029938397186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229.07383333333323</v>
      </c>
      <c r="P50" s="13">
        <f t="shared" si="33"/>
        <v>56.082375640787987</v>
      </c>
      <c r="Q50" s="20">
        <f t="shared" si="53"/>
        <v>496.64706396326102</v>
      </c>
      <c r="R50" s="59">
        <f t="shared" si="0"/>
        <v>789.98039729659433</v>
      </c>
      <c r="S50" s="59">
        <f ca="1">AVERAGE(OFFSET($R$3,0,0,'Données projet'!$E$9+1,1))-AVERAGE(OFFSET($H$3,0,0,'Données projet'!$E$9+1,1))</f>
        <v>199.01551760562705</v>
      </c>
      <c r="T50" s="59">
        <f t="shared" si="34"/>
        <v>269.50915104901367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1.7961774499507746</v>
      </c>
      <c r="AA50" s="21">
        <f>EXP(-LN(2)/25)*AA49+(1-EXP(-LN(2)/25))/(LN(2)/25)*Calculateur!V50*Calculateur!X50*VLOOKUP('Données projet'!$B$9,Paramètres!$A$1:$I$89,3,0)*0.475*44/12</f>
        <v>8.1084740281916297</v>
      </c>
      <c r="AB50" s="21">
        <f>EXP(-LN(2)/2)*AB49+(1-EXP(-LN(2)/2))/(LN(2)/2)*V50*Y50*VLOOKUP('Données projet'!$B$9,Paramètres!$A$1:$I$89,3,0)*0.475*44/12</f>
        <v>3.805505243913689E-3</v>
      </c>
      <c r="AC50" s="22">
        <f t="shared" si="3"/>
        <v>9.9084569833863192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18.899999999999999</v>
      </c>
      <c r="AI50" s="13">
        <f>IF('Données projet'!$A$62&gt;35,AI49+AH50-AQ49,IF(A50&lt;'Données projet'!$A$62,$AF$205^A50,IF(A50='Données projet'!$A$62,'Données projet'!$B$62,AI49+AH50-AQ49)))</f>
        <v>378.29999999999978</v>
      </c>
      <c r="AJ50" s="13">
        <f>AI50*VLOOKUP('Données projet'!$B$10,Paramètres!$A$1:$I$89,3,0)*VLOOKUP('Données projet'!$B$10,Paramètres!$A$1:$I$89,5,0)</f>
        <v>226.22339999999988</v>
      </c>
      <c r="AK50" s="13">
        <f t="shared" si="35"/>
        <v>55.465307135389509</v>
      </c>
      <c r="AL50" s="20">
        <f t="shared" si="4"/>
        <v>490.60783159413654</v>
      </c>
      <c r="AM50" s="59">
        <f t="shared" si="5"/>
        <v>783.9411649274698</v>
      </c>
      <c r="AN50" s="59">
        <f ca="1">AVERAGE(OFFSET($AM$3,0,0,'Données projet'!$E$10+1,1))-AVERAGE(OFFSET($H$3,0,0,'Données projet'!$E$10+1,1))</f>
        <v>316.58509520829671</v>
      </c>
      <c r="AO50" s="59">
        <f t="shared" si="36"/>
        <v>240.71332110643596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1.8100302523057474</v>
      </c>
      <c r="AV50" s="21">
        <f>EXP(-LN(2)/25)*AV49+(1-EXP(-LN(2)/25))/(LN(2)/25)*Calculateur!AQ50*Calculateur!AS50*VLOOKUP('Données projet'!$B$10,Paramètres!$A$1:$I$89,3,0)*0.475*44/12</f>
        <v>9.5297096718553043</v>
      </c>
      <c r="AW50" s="21">
        <f>EXP(-LN(2)/2)*AW49+(1-EXP(-LN(2)/2))/(LN(2)/2)*AQ50*AT50*VLOOKUP('Données projet'!$B$10,Paramètres!$A$1:$I$89,3,0)*0.475*44/12</f>
        <v>6.0599446326854128E-2</v>
      </c>
      <c r="AX50" s="21">
        <f t="shared" si="6"/>
        <v>11.400339370487906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</v>
      </c>
      <c r="BD50" s="12">
        <f>IF('Données projet'!$A$88&gt;35,BD49+BC50-BL49,IF(A50&lt;'Données projet'!$A$88,$BA$205^A50,IF(A50='Données projet'!$A$88,'Données projet'!$B$88,BD49+BC50-BL49)))</f>
        <v>297.19999999999993</v>
      </c>
      <c r="BE50" s="13">
        <f>BD50*VLOOKUP('Données projet'!$B$11,Paramètres!$A$1:$I$89,3,0)*VLOOKUP('Données projet'!$B$11,Paramètres!$A$1:$I$89,5,0)</f>
        <v>236.45231999999996</v>
      </c>
      <c r="BF50" s="13">
        <f t="shared" si="37"/>
        <v>57.675569530260624</v>
      </c>
      <c r="BG50" s="20">
        <f t="shared" si="7"/>
        <v>512.27274093187054</v>
      </c>
      <c r="BH50" s="59">
        <f t="shared" si="8"/>
        <v>805.60607426520392</v>
      </c>
      <c r="BI50" s="59">
        <f ca="1">AVERAGE(OFFSET($BH$3,0,0,'Données projet'!$E$11+1,1))-AVERAGE(OFFSET($H$3,0,0,'Données projet'!$E$11+1,1))</f>
        <v>314.94704727988847</v>
      </c>
      <c r="BJ50" s="59">
        <f t="shared" si="38"/>
        <v>366.49199094166454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2.7962916843337045</v>
      </c>
      <c r="BQ50" s="21">
        <f>EXP(-LN(2)/25)*BQ49+(1-EXP(-LN(2)/25))/(LN(2)/25)*Calculateur!BL50*Calculateur!BN50*VLOOKUP('Données projet'!$B$11,Paramètres!$A$1:$I$89,3,0)*0.475*44/12</f>
        <v>15.858100267553032</v>
      </c>
      <c r="BR50" s="21">
        <f>EXP(-LN(2)/2)*BR49+(1-EXP(-LN(2)/2))/(LN(2)/2)*BL50*BO50*VLOOKUP('Données projet'!$B$11,Paramètres!$A$1:$I$89,3,0)*0.475*44/12</f>
        <v>7.9740753726291747E-2</v>
      </c>
      <c r="BS50" s="22">
        <f t="shared" si="9"/>
        <v>18.734132705613028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10.6</v>
      </c>
      <c r="BY50" s="12">
        <f>IF('Données projet'!$A$114&gt;35,BY49+BX50-CG49,IF(A50&lt;'Données projet'!$A$114,$BV$205^A50,IF(A50='Données projet'!$A$114,'Données projet'!$B$114,BY49+BX50-CG49)))</f>
        <v>297.19999999999993</v>
      </c>
      <c r="BZ50" s="13">
        <f>BY50*VLOOKUP('Données projet'!$B$12,Paramètres!$A$1:$I$89,3,0)*VLOOKUP('Données projet'!$B$12,Paramètres!$A$1:$I$89,5,0)</f>
        <v>236.45231999999996</v>
      </c>
      <c r="CA50" s="13">
        <f t="shared" si="39"/>
        <v>57.675569530260624</v>
      </c>
      <c r="CB50" s="20">
        <f t="shared" si="10"/>
        <v>512.27274093187054</v>
      </c>
      <c r="CC50" s="59">
        <f t="shared" si="11"/>
        <v>805.60607426520392</v>
      </c>
      <c r="CD50" s="59">
        <f ca="1">AVERAGE(OFFSET($CC$3,0,0,'Données projet'!$E$12+1,1))-AVERAGE(OFFSET($H$3,0,0,'Données projet'!$E$12+1,1))</f>
        <v>314.94704727988847</v>
      </c>
      <c r="CE50" s="59">
        <f t="shared" si="40"/>
        <v>366.49199094166454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2.7962916843337045</v>
      </c>
      <c r="CL50" s="21">
        <f>EXP(-LN(2)/25)*CL49+(1-EXP(-LN(2)/25))/(LN(2)/25)*Calculateur!CG50*Calculateur!CI50*VLOOKUP('Données projet'!$B$12,Paramètres!$A$1:$I$89,3,0)*0.475*44/12</f>
        <v>15.858100267553032</v>
      </c>
      <c r="CM50" s="21">
        <f>EXP(-LN(2)/2)*CM49+(1-EXP(-LN(2)/2))/(LN(2)/2)*CG50*CJ50*VLOOKUP('Données projet'!$B$12,Paramètres!$A$1:$I$89,3,0)*0.475*44/12</f>
        <v>7.9740753726291747E-2</v>
      </c>
      <c r="CN50" s="22">
        <f t="shared" si="12"/>
        <v>18.734132705613028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9.3452380952380913</v>
      </c>
      <c r="CT50" s="12">
        <f>IF('Données projet'!$A$140&gt;35,CT49+CS50-DB49,IF(A50&lt;'Données projet'!$A$140,$CQ$205^A50,IF(A50='Données projet'!$A$140,'Données projet'!$B$140,CT49+CS50-DB49)))</f>
        <v>175.00732600732604</v>
      </c>
      <c r="CU50" s="17">
        <f>CT50*VLOOKUP('Données projet'!$B$13,Paramètres!$A$1:$I$89,3,0)*VLOOKUP('Données projet'!$B$13,Paramètres!$A$1:$I$89,5,0)</f>
        <v>158.3466285714286</v>
      </c>
      <c r="CV50" s="13">
        <f t="shared" si="41"/>
        <v>40.469367717876509</v>
      </c>
      <c r="CW50" s="20">
        <f t="shared" si="13"/>
        <v>346.27119353720633</v>
      </c>
      <c r="CX50" s="59">
        <f t="shared" si="14"/>
        <v>639.60452687053964</v>
      </c>
      <c r="CY50" s="59">
        <f ca="1">AVERAGE(OFFSET($CX$3,0,0,'Données projet'!$E$13+1,1))-AVERAGE(OFFSET($H$3,0,0,'Données projet'!$E$13+1,1))</f>
        <v>221.7429870520005</v>
      </c>
      <c r="CZ50" s="59">
        <f t="shared" si="42"/>
        <v>182.2029938397186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238.91349999999991</v>
      </c>
      <c r="P51" s="13">
        <f t="shared" si="33"/>
        <v>58.205703018707716</v>
      </c>
      <c r="Q51" s="20">
        <f t="shared" si="53"/>
        <v>517.48261192424911</v>
      </c>
      <c r="R51" s="59">
        <f t="shared" si="0"/>
        <v>810.81594525758237</v>
      </c>
      <c r="S51" s="59">
        <f ca="1">AVERAGE(OFFSET($R$3,0,0,'Données projet'!$E$9+1,1))-AVERAGE(OFFSET($H$3,0,0,'Données projet'!$E$9+1,1))</f>
        <v>199.01551760562705</v>
      </c>
      <c r="T51" s="59">
        <f t="shared" si="34"/>
        <v>269.50915104901367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1.7609555057173067</v>
      </c>
      <c r="AA51" s="21">
        <f>EXP(-LN(2)/25)*AA50+(1-EXP(-LN(2)/25))/(LN(2)/25)*Calculateur!V51*Calculateur!X51*VLOOKUP('Données projet'!$B$9,Paramètres!$A$1:$I$89,3,0)*0.475*44/12</f>
        <v>7.8867473794846124</v>
      </c>
      <c r="AB51" s="21">
        <f>EXP(-LN(2)/2)*AB50+(1-EXP(-LN(2)/2))/(LN(2)/2)*V51*Y51*VLOOKUP('Données projet'!$B$9,Paramètres!$A$1:$I$89,3,0)*0.475*44/12</f>
        <v>2.6908985638123364E-3</v>
      </c>
      <c r="AC51" s="22">
        <f t="shared" si="3"/>
        <v>9.6503937837657325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18.899999999999999</v>
      </c>
      <c r="AI51" s="13">
        <f>IF('Données projet'!$A$62&gt;35,AI50+AH51-AQ50,IF(A51&lt;'Données projet'!$A$62,$AF$205^A51,IF(A51='Données projet'!$A$62,'Données projet'!$B$62,AI50+AH51-AQ50)))</f>
        <v>397.19999999999976</v>
      </c>
      <c r="AJ51" s="13">
        <f>AI51*VLOOKUP('Données projet'!$B$10,Paramètres!$A$1:$I$89,3,0)*VLOOKUP('Données projet'!$B$10,Paramètres!$A$1:$I$89,5,0)</f>
        <v>237.52559999999988</v>
      </c>
      <c r="AK51" s="13">
        <f t="shared" si="35"/>
        <v>57.906830586193067</v>
      </c>
      <c r="AL51" s="20">
        <f t="shared" si="4"/>
        <v>514.54481660428598</v>
      </c>
      <c r="AM51" s="59">
        <f t="shared" si="5"/>
        <v>807.87814993761936</v>
      </c>
      <c r="AN51" s="59">
        <f ca="1">AVERAGE(OFFSET($AM$3,0,0,'Données projet'!$E$10+1,1))-AVERAGE(OFFSET($H$3,0,0,'Données projet'!$E$10+1,1))</f>
        <v>316.58509520829671</v>
      </c>
      <c r="AO51" s="59">
        <f t="shared" si="36"/>
        <v>240.71332110643596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1.7745366630674737</v>
      </c>
      <c r="AV51" s="21">
        <f>EXP(-LN(2)/25)*AV50+(1-EXP(-LN(2)/25))/(LN(2)/25)*Calculateur!AQ51*Calculateur!AS51*VLOOKUP('Données projet'!$B$10,Paramètres!$A$1:$I$89,3,0)*0.475*44/12</f>
        <v>9.2691192597327703</v>
      </c>
      <c r="AW51" s="21">
        <f>EXP(-LN(2)/2)*AW50+(1-EXP(-LN(2)/2))/(LN(2)/2)*AQ51*AT51*VLOOKUP('Données projet'!$B$10,Paramètres!$A$1:$I$89,3,0)*0.475*44/12</f>
        <v>4.2850279433868779E-2</v>
      </c>
      <c r="AX51" s="21">
        <f t="shared" si="6"/>
        <v>11.086506202234114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10.6</v>
      </c>
      <c r="BD51" s="12">
        <f>IF('Données projet'!$A$88&gt;35,BD50+BC51-BL50,IF(A51&lt;'Données projet'!$A$88,$BA$205^A51,IF(A51='Données projet'!$A$88,'Données projet'!$B$88,BD50+BC51-BL50)))</f>
        <v>307.79999999999995</v>
      </c>
      <c r="BE51" s="13">
        <f>BD51*VLOOKUP('Données projet'!$B$11,Paramètres!$A$1:$I$89,3,0)*VLOOKUP('Données projet'!$B$11,Paramètres!$A$1:$I$89,5,0)</f>
        <v>244.88567999999998</v>
      </c>
      <c r="BF51" s="13">
        <f t="shared" si="37"/>
        <v>59.489472256806273</v>
      </c>
      <c r="BG51" s="20">
        <f t="shared" si="7"/>
        <v>530.12005684727092</v>
      </c>
      <c r="BH51" s="59">
        <f t="shared" si="8"/>
        <v>823.45339018060417</v>
      </c>
      <c r="BI51" s="59">
        <f ca="1">AVERAGE(OFFSET($BH$3,0,0,'Données projet'!$E$11+1,1))-AVERAGE(OFFSET($H$3,0,0,'Données projet'!$E$11+1,1))</f>
        <v>314.94704727988847</v>
      </c>
      <c r="BJ51" s="59">
        <f t="shared" si="38"/>
        <v>366.49199094166454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2.7414581099734368</v>
      </c>
      <c r="BQ51" s="21">
        <f>EXP(-LN(2)/25)*BQ50+(1-EXP(-LN(2)/25))/(LN(2)/25)*Calculateur!BL51*Calculateur!BN51*VLOOKUP('Données projet'!$B$11,Paramètres!$A$1:$I$89,3,0)*0.475*44/12</f>
        <v>15.424459681795545</v>
      </c>
      <c r="BR51" s="21">
        <f>EXP(-LN(2)/2)*BR50+(1-EXP(-LN(2)/2))/(LN(2)/2)*BL51*BO51*VLOOKUP('Données projet'!$B$11,Paramètres!$A$1:$I$89,3,0)*0.475*44/12</f>
        <v>5.6385227696787353E-2</v>
      </c>
      <c r="BS51" s="22">
        <f t="shared" si="9"/>
        <v>18.22230301946577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10.6</v>
      </c>
      <c r="BY51" s="12">
        <f>IF('Données projet'!$A$114&gt;35,BY50+BX51-CG50,IF(A51&lt;'Données projet'!$A$114,$BV$205^A51,IF(A51='Données projet'!$A$114,'Données projet'!$B$114,BY50+BX51-CG50)))</f>
        <v>307.79999999999995</v>
      </c>
      <c r="BZ51" s="13">
        <f>BY51*VLOOKUP('Données projet'!$B$12,Paramètres!$A$1:$I$89,3,0)*VLOOKUP('Données projet'!$B$12,Paramètres!$A$1:$I$89,5,0)</f>
        <v>244.88567999999998</v>
      </c>
      <c r="CA51" s="13">
        <f t="shared" si="39"/>
        <v>59.489472256806273</v>
      </c>
      <c r="CB51" s="20">
        <f t="shared" si="10"/>
        <v>530.12005684727092</v>
      </c>
      <c r="CC51" s="59">
        <f t="shared" si="11"/>
        <v>823.45339018060417</v>
      </c>
      <c r="CD51" s="59">
        <f ca="1">AVERAGE(OFFSET($CC$3,0,0,'Données projet'!$E$12+1,1))-AVERAGE(OFFSET($H$3,0,0,'Données projet'!$E$12+1,1))</f>
        <v>314.94704727988847</v>
      </c>
      <c r="CE51" s="59">
        <f t="shared" si="40"/>
        <v>366.49199094166454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2.7414581099734368</v>
      </c>
      <c r="CL51" s="21">
        <f>EXP(-LN(2)/25)*CL50+(1-EXP(-LN(2)/25))/(LN(2)/25)*Calculateur!CG51*Calculateur!CI51*VLOOKUP('Données projet'!$B$12,Paramètres!$A$1:$I$89,3,0)*0.475*44/12</f>
        <v>15.424459681795545</v>
      </c>
      <c r="CM51" s="21">
        <f>EXP(-LN(2)/2)*CM50+(1-EXP(-LN(2)/2))/(LN(2)/2)*CG51*CJ51*VLOOKUP('Données projet'!$B$12,Paramètres!$A$1:$I$89,3,0)*0.475*44/12</f>
        <v>5.6385227696787353E-2</v>
      </c>
      <c r="CN51" s="22">
        <f t="shared" si="12"/>
        <v>18.22230301946577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184.35256410256409</v>
      </c>
      <c r="CR51" s="12">
        <f>VLOOKUP(A51,'Données projet'!$A$139:$I$159,9,0)</f>
        <v>9.3452380952380913</v>
      </c>
      <c r="CS51" s="12">
        <f t="array" ref="CS51">INDEX(CR:CR,MIN(IF(ISNUMBER(CR51:CR247),ROW(CR51:CR247),"")))</f>
        <v>9.3452380952380913</v>
      </c>
      <c r="CT51" s="12">
        <f>IF('Données projet'!$A$140&gt;35,CT50+CS51-DB50,IF(A51&lt;'Données projet'!$A$140,$CQ$205^A51,IF(A51='Données projet'!$A$140,'Données projet'!$B$140,CT50+CS51-DB50)))</f>
        <v>184.35256410256414</v>
      </c>
      <c r="CU51" s="17">
        <f>CT51*VLOOKUP('Données projet'!$B$13,Paramètres!$A$1:$I$89,3,0)*VLOOKUP('Données projet'!$B$13,Paramètres!$A$1:$I$89,5,0)</f>
        <v>166.80220000000003</v>
      </c>
      <c r="CV51" s="13">
        <f t="shared" si="41"/>
        <v>42.373033138688463</v>
      </c>
      <c r="CW51" s="20">
        <f t="shared" si="13"/>
        <v>364.31353104988244</v>
      </c>
      <c r="CX51" s="59">
        <f t="shared" si="14"/>
        <v>657.64686438321576</v>
      </c>
      <c r="CY51" s="59">
        <f ca="1">AVERAGE(OFFSET($CX$3,0,0,'Données projet'!$E$13+1,1))-AVERAGE(OFFSET($H$3,0,0,'Données projet'!$E$13+1,1))</f>
        <v>221.7429870520005</v>
      </c>
      <c r="CZ51" s="59">
        <f t="shared" si="42"/>
        <v>182.2029938397186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48.025641025641022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211.23899999999989</v>
      </c>
      <c r="P52" s="13">
        <f t="shared" si="33"/>
        <v>52.206245603525069</v>
      </c>
      <c r="Q52" s="20">
        <f t="shared" si="53"/>
        <v>458.83380275947258</v>
      </c>
      <c r="R52" s="59">
        <f t="shared" si="0"/>
        <v>752.16713609280589</v>
      </c>
      <c r="S52" s="59">
        <f ca="1">AVERAGE(OFFSET($R$3,0,0,'Données projet'!$E$9+1,1))-AVERAGE(OFFSET($H$3,0,0,'Données projet'!$E$9+1,1))</f>
        <v>199.01551760562705</v>
      </c>
      <c r="T52" s="59">
        <f t="shared" si="34"/>
        <v>269.50915104901367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1.7264242423269927</v>
      </c>
      <c r="AA52" s="21">
        <f>EXP(-LN(2)/25)*AA51+(1-EXP(-LN(2)/25))/(LN(2)/25)*Calculateur!V52*Calculateur!X52*VLOOKUP('Données projet'!$B$9,Paramètres!$A$1:$I$89,3,0)*0.475*44/12</f>
        <v>7.6710838576465861</v>
      </c>
      <c r="AB52" s="21">
        <f>EXP(-LN(2)/2)*AB51+(1-EXP(-LN(2)/2))/(LN(2)/2)*V52*Y52*VLOOKUP('Données projet'!$B$9,Paramètres!$A$1:$I$89,3,0)*0.475*44/12</f>
        <v>1.9027526219568449E-3</v>
      </c>
      <c r="AC52" s="22">
        <f t="shared" si="3"/>
        <v>9.3994108525955351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18.899999999999999</v>
      </c>
      <c r="AI52" s="13">
        <f>IF('Données projet'!$A$62&gt;35,AI51+AH52-AQ51,IF(A52&lt;'Données projet'!$A$62,$AF$205^A52,IF(A52='Données projet'!$A$62,'Données projet'!$B$62,AI51+AH52-AQ51)))</f>
        <v>416.09999999999974</v>
      </c>
      <c r="AJ52" s="13">
        <f>AI52*VLOOKUP('Données projet'!$B$10,Paramètres!$A$1:$I$89,3,0)*VLOOKUP('Données projet'!$B$10,Paramètres!$A$1:$I$89,5,0)</f>
        <v>248.82779999999985</v>
      </c>
      <c r="AK52" s="13">
        <f t="shared" si="35"/>
        <v>60.334863247522001</v>
      </c>
      <c r="AL52" s="20">
        <f t="shared" si="4"/>
        <v>538.45830515610044</v>
      </c>
      <c r="AM52" s="59">
        <f t="shared" si="5"/>
        <v>831.79163848943381</v>
      </c>
      <c r="AN52" s="59">
        <f ca="1">AVERAGE(OFFSET($AM$3,0,0,'Données projet'!$E$10+1,1))-AVERAGE(OFFSET($H$3,0,0,'Données projet'!$E$10+1,1))</f>
        <v>316.58509520829671</v>
      </c>
      <c r="AO52" s="59">
        <f t="shared" si="36"/>
        <v>240.71332110643596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1.7397390814652107</v>
      </c>
      <c r="AV52" s="21">
        <f>EXP(-LN(2)/25)*AV51+(1-EXP(-LN(2)/25))/(LN(2)/25)*Calculateur!AQ52*Calculateur!AS52*VLOOKUP('Données projet'!$B$10,Paramètres!$A$1:$I$89,3,0)*0.475*44/12</f>
        <v>9.0156547061335814</v>
      </c>
      <c r="AW52" s="21">
        <f>EXP(-LN(2)/2)*AW51+(1-EXP(-LN(2)/2))/(LN(2)/2)*AQ52*AT52*VLOOKUP('Données projet'!$B$10,Paramètres!$A$1:$I$89,3,0)*0.475*44/12</f>
        <v>3.0299723163427071E-2</v>
      </c>
      <c r="AX52" s="21">
        <f t="shared" si="6"/>
        <v>10.785693510762218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10.6</v>
      </c>
      <c r="BD52" s="12">
        <f>IF('Données projet'!$A$88&gt;35,BD51+BC52-BL51,IF(A52&lt;'Données projet'!$A$88,$BA$205^A52,IF(A52='Données projet'!$A$88,'Données projet'!$B$88,BD51+BC52-BL51)))</f>
        <v>318.39999999999998</v>
      </c>
      <c r="BE52" s="13">
        <f>BD52*VLOOKUP('Données projet'!$B$11,Paramètres!$A$1:$I$89,3,0)*VLOOKUP('Données projet'!$B$11,Paramètres!$A$1:$I$89,5,0)</f>
        <v>253.31904</v>
      </c>
      <c r="BF52" s="13">
        <f t="shared" si="37"/>
        <v>61.296116853123188</v>
      </c>
      <c r="BG52" s="20">
        <f t="shared" si="7"/>
        <v>547.95473151918964</v>
      </c>
      <c r="BH52" s="59">
        <f t="shared" si="8"/>
        <v>841.28806485252289</v>
      </c>
      <c r="BI52" s="59">
        <f ca="1">AVERAGE(OFFSET($BH$3,0,0,'Données projet'!$E$11+1,1))-AVERAGE(OFFSET($H$3,0,0,'Données projet'!$E$11+1,1))</f>
        <v>314.94704727988847</v>
      </c>
      <c r="BJ52" s="59">
        <f t="shared" si="38"/>
        <v>366.49199094166454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2.6876997885611962</v>
      </c>
      <c r="BQ52" s="21">
        <f>EXP(-LN(2)/25)*BQ51+(1-EXP(-LN(2)/25))/(LN(2)/25)*Calculateur!BL52*Calculateur!BN52*VLOOKUP('Données projet'!$B$11,Paramètres!$A$1:$I$89,3,0)*0.475*44/12</f>
        <v>15.002677020659764</v>
      </c>
      <c r="BR52" s="21">
        <f>EXP(-LN(2)/2)*BR51+(1-EXP(-LN(2)/2))/(LN(2)/2)*BL52*BO52*VLOOKUP('Données projet'!$B$11,Paramètres!$A$1:$I$89,3,0)*0.475*44/12</f>
        <v>3.9870376863145873E-2</v>
      </c>
      <c r="BS52" s="22">
        <f t="shared" si="9"/>
        <v>17.730247186084107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10.6</v>
      </c>
      <c r="BY52" s="12">
        <f>IF('Données projet'!$A$114&gt;35,BY51+BX52-CG51,IF(A52&lt;'Données projet'!$A$114,$BV$205^A52,IF(A52='Données projet'!$A$114,'Données projet'!$B$114,BY51+BX52-CG51)))</f>
        <v>318.39999999999998</v>
      </c>
      <c r="BZ52" s="13">
        <f>BY52*VLOOKUP('Données projet'!$B$12,Paramètres!$A$1:$I$89,3,0)*VLOOKUP('Données projet'!$B$12,Paramètres!$A$1:$I$89,5,0)</f>
        <v>253.31904</v>
      </c>
      <c r="CA52" s="13">
        <f t="shared" si="39"/>
        <v>61.296116853123188</v>
      </c>
      <c r="CB52" s="20">
        <f t="shared" si="10"/>
        <v>547.95473151918964</v>
      </c>
      <c r="CC52" s="59">
        <f t="shared" si="11"/>
        <v>841.28806485252289</v>
      </c>
      <c r="CD52" s="59">
        <f ca="1">AVERAGE(OFFSET($CC$3,0,0,'Données projet'!$E$12+1,1))-AVERAGE(OFFSET($H$3,0,0,'Données projet'!$E$12+1,1))</f>
        <v>314.94704727988847</v>
      </c>
      <c r="CE52" s="59">
        <f t="shared" si="40"/>
        <v>366.49199094166454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2.6876997885611962</v>
      </c>
      <c r="CL52" s="21">
        <f>EXP(-LN(2)/25)*CL51+(1-EXP(-LN(2)/25))/(LN(2)/25)*Calculateur!CG52*Calculateur!CI52*VLOOKUP('Données projet'!$B$12,Paramètres!$A$1:$I$89,3,0)*0.475*44/12</f>
        <v>15.002677020659764</v>
      </c>
      <c r="CM52" s="21">
        <f>EXP(-LN(2)/2)*CM51+(1-EXP(-LN(2)/2))/(LN(2)/2)*CG52*CJ52*VLOOKUP('Données projet'!$B$12,Paramètres!$A$1:$I$89,3,0)*0.475*44/12</f>
        <v>3.9870376863145873E-2</v>
      </c>
      <c r="CN52" s="22">
        <f t="shared" si="12"/>
        <v>17.730247186084107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8.8736263736263741</v>
      </c>
      <c r="CT52" s="12">
        <f>IF('Données projet'!$A$140&gt;35,CT51+CS52-DB51,IF(A52&lt;'Données projet'!$A$140,$CQ$205^A52,IF(A52='Données projet'!$A$140,'Données projet'!$B$140,CT51+CS52-DB51)))</f>
        <v>145.20054945054949</v>
      </c>
      <c r="CU52" s="17">
        <f>CT52*VLOOKUP('Données projet'!$B$13,Paramètres!$A$1:$I$89,3,0)*VLOOKUP('Données projet'!$B$13,Paramètres!$A$1:$I$89,5,0)</f>
        <v>131.37745714285717</v>
      </c>
      <c r="CV52" s="13">
        <f t="shared" si="41"/>
        <v>34.314453722516511</v>
      </c>
      <c r="CW52" s="20">
        <f t="shared" si="13"/>
        <v>288.58007809052577</v>
      </c>
      <c r="CX52" s="59">
        <f t="shared" si="14"/>
        <v>581.91341142385909</v>
      </c>
      <c r="CY52" s="59">
        <f ca="1">AVERAGE(OFFSET($CX$3,0,0,'Données projet'!$E$13+1,1))-AVERAGE(OFFSET($H$3,0,0,'Données projet'!$E$13+1,1))</f>
        <v>221.7429870520005</v>
      </c>
      <c r="CZ52" s="59">
        <f t="shared" si="42"/>
        <v>182.2029938397186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220.56999999999991</v>
      </c>
      <c r="P53" s="13">
        <f t="shared" si="33"/>
        <v>54.238753741337895</v>
      </c>
      <c r="Q53" s="20">
        <f t="shared" si="53"/>
        <v>478.62524609949668</v>
      </c>
      <c r="R53" s="59">
        <f t="shared" si="0"/>
        <v>771.95857943282999</v>
      </c>
      <c r="S53" s="59">
        <f ca="1">AVERAGE(OFFSET($R$3,0,0,'Données projet'!$E$9+1,1))-AVERAGE(OFFSET($H$3,0,0,'Données projet'!$E$9+1,1))</f>
        <v>199.01551760562705</v>
      </c>
      <c r="T53" s="59">
        <f t="shared" si="34"/>
        <v>269.50915104901367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1.6925701159497715</v>
      </c>
      <c r="AA53" s="21">
        <f>EXP(-LN(2)/25)*AA52+(1-EXP(-LN(2)/25))/(LN(2)/25)*Calculateur!V53*Calculateur!X53*VLOOKUP('Données projet'!$B$9,Paramètres!$A$1:$I$89,3,0)*0.475*44/12</f>
        <v>7.4613176661544722</v>
      </c>
      <c r="AB53" s="21">
        <f>EXP(-LN(2)/2)*AB52+(1-EXP(-LN(2)/2))/(LN(2)/2)*V53*Y53*VLOOKUP('Données projet'!$B$9,Paramètres!$A$1:$I$89,3,0)*0.475*44/12</f>
        <v>1.3454492819061684E-3</v>
      </c>
      <c r="AC53" s="22">
        <f t="shared" si="3"/>
        <v>9.1552332313861502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18.899999999999999</v>
      </c>
      <c r="AH53" s="12">
        <f t="array" ref="AH53">INDEX(AG:AG,MIN(IF(ISNUMBER(AG53:AG249),ROW(AG53:AG249),"")))</f>
        <v>18.899999999999999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316.58509520829671</v>
      </c>
      <c r="AO53" s="59">
        <f t="shared" si="36"/>
        <v>240.71332110643596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107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1.7056238592137392</v>
      </c>
      <c r="AV53" s="21">
        <f>EXP(-LN(2)/25)*AV52+(1-EXP(-LN(2)/25))/(LN(2)/25)*Calculateur!AQ53*Calculateur!AS53*VLOOKUP('Données projet'!$B$10,Paramètres!$A$1:$I$89,3,0)*0.475*44/12</f>
        <v>8.7691211540816827</v>
      </c>
      <c r="AW53" s="21">
        <f>EXP(-LN(2)/2)*AW52+(1-EXP(-LN(2)/2))/(LN(2)/2)*AQ53*AT53*VLOOKUP('Données projet'!$B$10,Paramètres!$A$1:$I$89,3,0)*0.475*44/12</f>
        <v>2.1425139716934393E-2</v>
      </c>
      <c r="AX53" s="21">
        <f t="shared" si="6"/>
        <v>10.496170153012356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329</v>
      </c>
      <c r="BB53" s="12">
        <f>VLOOKUP(A53,'Données projet'!$A$87:$I$107,9,0)</f>
        <v>10.6</v>
      </c>
      <c r="BC53" s="12">
        <f t="array" ref="BC53">INDEX(BB:BB,MIN(IF(ISNUMBER(BB53:BB249),ROW(BB53:BB249),"")))</f>
        <v>10.6</v>
      </c>
      <c r="BD53" s="12">
        <f>IF('Données projet'!$A$88&gt;35,BD52+BC53-BL52,IF(A53&lt;'Données projet'!$A$88,$BA$205^A53,IF(A53='Données projet'!$A$88,'Données projet'!$B$88,BD52+BC53-BL52)))</f>
        <v>329</v>
      </c>
      <c r="BE53" s="13">
        <f>BD53*VLOOKUP('Données projet'!$B$11,Paramètres!$A$1:$I$89,3,0)*VLOOKUP('Données projet'!$B$11,Paramètres!$A$1:$I$89,5,0)</f>
        <v>261.75240000000002</v>
      </c>
      <c r="BF53" s="13">
        <f t="shared" si="37"/>
        <v>63.095772658161032</v>
      </c>
      <c r="BG53" s="20">
        <f t="shared" si="7"/>
        <v>565.77723404629717</v>
      </c>
      <c r="BH53" s="59">
        <f t="shared" si="8"/>
        <v>859.11056737963054</v>
      </c>
      <c r="BI53" s="59">
        <f ca="1">AVERAGE(OFFSET($BH$3,0,0,'Données projet'!$E$11+1,1))-AVERAGE(OFFSET($H$3,0,0,'Données projet'!$E$11+1,1))</f>
        <v>314.94704727988847</v>
      </c>
      <c r="BJ53" s="59">
        <f t="shared" si="38"/>
        <v>366.49199094166454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2.6349956350425114</v>
      </c>
      <c r="BQ53" s="21">
        <f>EXP(-LN(2)/25)*BQ52+(1-EXP(-LN(2)/25))/(LN(2)/25)*Calculateur!BL53*Calculateur!BN53*VLOOKUP('Données projet'!$B$11,Paramètres!$A$1:$I$89,3,0)*0.475*44/12</f>
        <v>14.592428028573327</v>
      </c>
      <c r="BR53" s="21">
        <f>EXP(-LN(2)/2)*BR52+(1-EXP(-LN(2)/2))/(LN(2)/2)*BL53*BO53*VLOOKUP('Données projet'!$B$11,Paramètres!$A$1:$I$89,3,0)*0.475*44/12</f>
        <v>2.8192613848393677E-2</v>
      </c>
      <c r="BS53" s="22">
        <f t="shared" si="9"/>
        <v>17.255616277464231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329</v>
      </c>
      <c r="BW53" s="12">
        <f>VLOOKUP(A53,'Données projet'!$A$113:$I$133,9,0)</f>
        <v>10.6</v>
      </c>
      <c r="BX53" s="12">
        <f t="array" ref="BX53">INDEX(BW:BW,MIN(IF(ISNUMBER(BW53:BW249),ROW(BW53:BW249),"")))</f>
        <v>10.6</v>
      </c>
      <c r="BY53" s="12">
        <f>IF('Données projet'!$A$114&gt;35,BY52+BX53-CG52,IF(A53&lt;'Données projet'!$A$114,$BV$205^A53,IF(A53='Données projet'!$A$114,'Données projet'!$B$114,BY52+BX53-CG52)))</f>
        <v>329</v>
      </c>
      <c r="BZ53" s="13">
        <f>BY53*VLOOKUP('Données projet'!$B$12,Paramètres!$A$1:$I$89,3,0)*VLOOKUP('Données projet'!$B$12,Paramètres!$A$1:$I$89,5,0)</f>
        <v>261.75240000000002</v>
      </c>
      <c r="CA53" s="13">
        <f t="shared" si="39"/>
        <v>63.095772658161032</v>
      </c>
      <c r="CB53" s="20">
        <f t="shared" si="10"/>
        <v>565.77723404629717</v>
      </c>
      <c r="CC53" s="59">
        <f t="shared" si="11"/>
        <v>859.11056737963054</v>
      </c>
      <c r="CD53" s="59">
        <f ca="1">AVERAGE(OFFSET($CC$3,0,0,'Données projet'!$E$12+1,1))-AVERAGE(OFFSET($H$3,0,0,'Données projet'!$E$12+1,1))</f>
        <v>314.94704727988847</v>
      </c>
      <c r="CE53" s="59">
        <f t="shared" si="40"/>
        <v>366.49199094166454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47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2.6349956350425114</v>
      </c>
      <c r="CL53" s="21">
        <f>EXP(-LN(2)/25)*CL52+(1-EXP(-LN(2)/25))/(LN(2)/25)*Calculateur!CG53*Calculateur!CI53*VLOOKUP('Données projet'!$B$12,Paramètres!$A$1:$I$89,3,0)*0.475*44/12</f>
        <v>14.592428028573327</v>
      </c>
      <c r="CM53" s="21">
        <f>EXP(-LN(2)/2)*CM52+(1-EXP(-LN(2)/2))/(LN(2)/2)*CG53*CJ53*VLOOKUP('Données projet'!$B$12,Paramètres!$A$1:$I$89,3,0)*0.475*44/12</f>
        <v>2.8192613848393677E-2</v>
      </c>
      <c r="CN53" s="22">
        <f t="shared" si="12"/>
        <v>17.255616277464231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8.8736263736263741</v>
      </c>
      <c r="CT53" s="12">
        <f>IF('Données projet'!$A$140&gt;35,CT52+CS53-DB52,IF(A53&lt;'Données projet'!$A$140,$CQ$205^A53,IF(A53='Données projet'!$A$140,'Données projet'!$B$140,CT52+CS53-DB52)))</f>
        <v>154.07417582417585</v>
      </c>
      <c r="CU53" s="17">
        <f>CT53*VLOOKUP('Données projet'!$B$13,Paramètres!$A$1:$I$89,3,0)*VLOOKUP('Données projet'!$B$13,Paramètres!$A$1:$I$89,5,0)</f>
        <v>139.4063142857143</v>
      </c>
      <c r="CV53" s="13">
        <f t="shared" si="41"/>
        <v>36.160966815041384</v>
      </c>
      <c r="CW53" s="20">
        <f t="shared" si="13"/>
        <v>305.77968125048278</v>
      </c>
      <c r="CX53" s="59">
        <f t="shared" si="14"/>
        <v>599.11301458381604</v>
      </c>
      <c r="CY53" s="59">
        <f ca="1">AVERAGE(OFFSET($CX$3,0,0,'Données projet'!$E$13+1,1))-AVERAGE(OFFSET($H$3,0,0,'Données projet'!$E$13+1,1))</f>
        <v>221.7429870520005</v>
      </c>
      <c r="CZ53" s="59">
        <f t="shared" si="42"/>
        <v>182.2029938397186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229.9009999999999</v>
      </c>
      <c r="P54" s="13">
        <f t="shared" si="33"/>
        <v>56.261274880183613</v>
      </c>
      <c r="Q54" s="20">
        <f t="shared" si="53"/>
        <v>498.3992954163196</v>
      </c>
      <c r="R54" s="59">
        <f t="shared" si="0"/>
        <v>791.73262874965292</v>
      </c>
      <c r="S54" s="59">
        <f ca="1">AVERAGE(OFFSET($R$3,0,0,'Données projet'!$E$9+1,1))-AVERAGE(OFFSET($H$3,0,0,'Données projet'!$E$9+1,1))</f>
        <v>199.01551760562705</v>
      </c>
      <c r="T54" s="59">
        <f t="shared" si="34"/>
        <v>269.50915104901367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1.6593798483418296</v>
      </c>
      <c r="AA54" s="21">
        <f>EXP(-LN(2)/25)*AA53+(1-EXP(-LN(2)/25))/(LN(2)/25)*Calculateur!V54*Calculateur!X54*VLOOKUP('Données projet'!$B$9,Paramètres!$A$1:$I$89,3,0)*0.475*44/12</f>
        <v>7.2572875421998351</v>
      </c>
      <c r="AB54" s="21">
        <f>EXP(-LN(2)/2)*AB53+(1-EXP(-LN(2)/2))/(LN(2)/2)*V54*Y54*VLOOKUP('Données projet'!$B$9,Paramètres!$A$1:$I$89,3,0)*0.475*44/12</f>
        <v>9.5137631097842257E-4</v>
      </c>
      <c r="AC54" s="22">
        <f t="shared" si="3"/>
        <v>8.9176187668526428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</v>
      </c>
      <c r="AI54" s="13">
        <f>IF('Données projet'!$A$62&gt;35,AI53+AH54-AQ53,IF(A54&lt;'Données projet'!$A$62,$AF$205^A54,IF(A54='Données projet'!$A$62,'Données projet'!$B$62,AI53+AH54-AQ53)))</f>
        <v>345.99999999999972</v>
      </c>
      <c r="AJ54" s="13">
        <f>AI54*VLOOKUP('Données projet'!$B$10,Paramètres!$A$1:$I$89,3,0)*VLOOKUP('Données projet'!$B$10,Paramètres!$A$1:$I$89,5,0)</f>
        <v>206.90799999999984</v>
      </c>
      <c r="AK54" s="13">
        <f t="shared" si="35"/>
        <v>51.25932369987143</v>
      </c>
      <c r="AL54" s="20">
        <f t="shared" si="4"/>
        <v>449.6414221106092</v>
      </c>
      <c r="AM54" s="59">
        <f t="shared" si="5"/>
        <v>742.97475544394251</v>
      </c>
      <c r="AN54" s="59">
        <f ca="1">AVERAGE(OFFSET($AM$3,0,0,'Données projet'!$E$10+1,1))-AVERAGE(OFFSET($H$3,0,0,'Données projet'!$E$10+1,1))</f>
        <v>316.58509520829671</v>
      </c>
      <c r="AO54" s="59">
        <f t="shared" si="36"/>
        <v>240.71332110643596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1.672177615662388</v>
      </c>
      <c r="AV54" s="21">
        <f>EXP(-LN(2)/25)*AV53+(1-EXP(-LN(2)/25))/(LN(2)/25)*Calculateur!AQ54*Calculateur!AS54*VLOOKUP('Données projet'!$B$10,Paramètres!$A$1:$I$89,3,0)*0.475*44/12</f>
        <v>8.5293290749752799</v>
      </c>
      <c r="AW54" s="21">
        <f>EXP(-LN(2)/2)*AW53+(1-EXP(-LN(2)/2))/(LN(2)/2)*AQ54*AT54*VLOOKUP('Données projet'!$B$10,Paramètres!$A$1:$I$89,3,0)*0.475*44/12</f>
        <v>1.5149861581713537E-2</v>
      </c>
      <c r="AX54" s="21">
        <f t="shared" si="6"/>
        <v>10.216656552219382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7.9</v>
      </c>
      <c r="BD54" s="12">
        <f>IF('Données projet'!$A$88&gt;35,BD53+BC54-BL53,IF(A54&lt;'Données projet'!$A$88,$BA$205^A54,IF(A54='Données projet'!$A$88,'Données projet'!$B$88,BD53+BC54-BL53)))</f>
        <v>289.89999999999998</v>
      </c>
      <c r="BE54" s="13">
        <f>BD54*VLOOKUP('Données projet'!$B$11,Paramètres!$A$1:$I$89,3,0)*VLOOKUP('Données projet'!$B$11,Paramètres!$A$1:$I$89,5,0)</f>
        <v>230.64444</v>
      </c>
      <c r="BF54" s="13">
        <f t="shared" si="37"/>
        <v>56.422001826959672</v>
      </c>
      <c r="BG54" s="20">
        <f t="shared" si="7"/>
        <v>499.97405284862151</v>
      </c>
      <c r="BH54" s="59">
        <f t="shared" si="8"/>
        <v>793.30738618195483</v>
      </c>
      <c r="BI54" s="59">
        <f ca="1">AVERAGE(OFFSET($BH$3,0,0,'Données projet'!$E$11+1,1))-AVERAGE(OFFSET($H$3,0,0,'Données projet'!$E$11+1,1))</f>
        <v>314.94704727988847</v>
      </c>
      <c r="BJ54" s="59">
        <f t="shared" si="38"/>
        <v>366.49199094166454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2.5833249778279685</v>
      </c>
      <c r="BQ54" s="21">
        <f>EXP(-LN(2)/25)*BQ53+(1-EXP(-LN(2)/25))/(LN(2)/25)*Calculateur!BL54*Calculateur!BN54*VLOOKUP('Données projet'!$B$11,Paramètres!$A$1:$I$89,3,0)*0.475*44/12</f>
        <v>14.19339731674955</v>
      </c>
      <c r="BR54" s="21">
        <f>EXP(-LN(2)/2)*BR53+(1-EXP(-LN(2)/2))/(LN(2)/2)*BL54*BO54*VLOOKUP('Données projet'!$B$11,Paramètres!$A$1:$I$89,3,0)*0.475*44/12</f>
        <v>1.9935188431572937E-2</v>
      </c>
      <c r="BS54" s="22">
        <f t="shared" si="9"/>
        <v>16.796657483009092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7.9</v>
      </c>
      <c r="BY54" s="12">
        <f>IF('Données projet'!$A$114&gt;35,BY53+BX54-CG53,IF(A54&lt;'Données projet'!$A$114,$BV$205^A54,IF(A54='Données projet'!$A$114,'Données projet'!$B$114,BY53+BX54-CG53)))</f>
        <v>289.89999999999998</v>
      </c>
      <c r="BZ54" s="13">
        <f>BY54*VLOOKUP('Données projet'!$B$12,Paramètres!$A$1:$I$89,3,0)*VLOOKUP('Données projet'!$B$12,Paramètres!$A$1:$I$89,5,0)</f>
        <v>230.64444</v>
      </c>
      <c r="CA54" s="13">
        <f t="shared" si="39"/>
        <v>56.422001826959672</v>
      </c>
      <c r="CB54" s="20">
        <f t="shared" si="10"/>
        <v>499.97405284862151</v>
      </c>
      <c r="CC54" s="59">
        <f t="shared" si="11"/>
        <v>793.30738618195483</v>
      </c>
      <c r="CD54" s="59">
        <f ca="1">AVERAGE(OFFSET($CC$3,0,0,'Données projet'!$E$12+1,1))-AVERAGE(OFFSET($H$3,0,0,'Données projet'!$E$12+1,1))</f>
        <v>314.94704727988847</v>
      </c>
      <c r="CE54" s="59">
        <f t="shared" si="40"/>
        <v>366.49199094166454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2.5833249778279685</v>
      </c>
      <c r="CL54" s="21">
        <f>EXP(-LN(2)/25)*CL53+(1-EXP(-LN(2)/25))/(LN(2)/25)*Calculateur!CG54*Calculateur!CI54*VLOOKUP('Données projet'!$B$12,Paramètres!$A$1:$I$89,3,0)*0.475*44/12</f>
        <v>14.19339731674955</v>
      </c>
      <c r="CM54" s="21">
        <f>EXP(-LN(2)/2)*CM53+(1-EXP(-LN(2)/2))/(LN(2)/2)*CG54*CJ54*VLOOKUP('Données projet'!$B$12,Paramètres!$A$1:$I$89,3,0)*0.475*44/12</f>
        <v>1.9935188431572937E-2</v>
      </c>
      <c r="CN54" s="22">
        <f t="shared" si="12"/>
        <v>16.796657483009092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8.8736263736263741</v>
      </c>
      <c r="CT54" s="12">
        <f>IF('Données projet'!$A$140&gt;35,CT53+CS54-DB53,IF(A54&lt;'Données projet'!$A$140,$CQ$205^A54,IF(A54='Données projet'!$A$140,'Données projet'!$B$140,CT53+CS54-DB53)))</f>
        <v>162.94780219780222</v>
      </c>
      <c r="CU54" s="17">
        <f>CT54*VLOOKUP('Données projet'!$B$13,Paramètres!$A$1:$I$89,3,0)*VLOOKUP('Données projet'!$B$13,Paramètres!$A$1:$I$89,5,0)</f>
        <v>147.43517142857144</v>
      </c>
      <c r="CV54" s="13">
        <f t="shared" si="41"/>
        <v>37.995135358244994</v>
      </c>
      <c r="CW54" s="20">
        <f t="shared" si="13"/>
        <v>322.95778432037196</v>
      </c>
      <c r="CX54" s="59">
        <f t="shared" si="14"/>
        <v>616.29111765370521</v>
      </c>
      <c r="CY54" s="59">
        <f ca="1">AVERAGE(OFFSET($CX$3,0,0,'Données projet'!$E$13+1,1))-AVERAGE(OFFSET($H$3,0,0,'Données projet'!$E$13+1,1))</f>
        <v>221.7429870520005</v>
      </c>
      <c r="CZ54" s="59">
        <f t="shared" si="42"/>
        <v>182.2029938397186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239.23199999999989</v>
      </c>
      <c r="P55" s="13">
        <f t="shared" si="33"/>
        <v>58.274260730176195</v>
      </c>
      <c r="Q55" s="20">
        <f t="shared" si="53"/>
        <v>518.15673743839</v>
      </c>
      <c r="R55" s="59">
        <f t="shared" si="0"/>
        <v>811.49007077172337</v>
      </c>
      <c r="S55" s="59">
        <f ca="1">AVERAGE(OFFSET($R$3,0,0,'Données projet'!$E$9+1,1))-AVERAGE(OFFSET($H$3,0,0,'Données projet'!$E$9+1,1))</f>
        <v>199.01551760562705</v>
      </c>
      <c r="T55" s="59">
        <f t="shared" si="34"/>
        <v>269.50915104901367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1.6268404216376151</v>
      </c>
      <c r="AA55" s="21">
        <f>EXP(-LN(2)/25)*AA54+(1-EXP(-LN(2)/25))/(LN(2)/25)*Calculateur!V55*Calculateur!X55*VLOOKUP('Données projet'!$B$9,Paramètres!$A$1:$I$89,3,0)*0.475*44/12</f>
        <v>7.0588366327142156</v>
      </c>
      <c r="AB55" s="21">
        <f>EXP(-LN(2)/2)*AB54+(1-EXP(-LN(2)/2))/(LN(2)/2)*V55*Y55*VLOOKUP('Données projet'!$B$9,Paramètres!$A$1:$I$89,3,0)*0.475*44/12</f>
        <v>6.7272464095308431E-4</v>
      </c>
      <c r="AC55" s="22">
        <f t="shared" si="3"/>
        <v>8.6863497789927848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18</v>
      </c>
      <c r="AI55" s="13">
        <f>IF('Données projet'!$A$62&gt;35,AI54+AH55-AQ54,IF(A55&lt;'Données projet'!$A$62,$AF$205^A55,IF(A55='Données projet'!$A$62,'Données projet'!$B$62,AI54+AH55-AQ54)))</f>
        <v>363.99999999999972</v>
      </c>
      <c r="AJ55" s="13">
        <f>AI55*VLOOKUP('Données projet'!$B$10,Paramètres!$A$1:$I$89,3,0)*VLOOKUP('Données projet'!$B$10,Paramètres!$A$1:$I$89,5,0)</f>
        <v>217.67199999999985</v>
      </c>
      <c r="AK55" s="13">
        <f t="shared" si="35"/>
        <v>53.60859357546002</v>
      </c>
      <c r="AL55" s="20">
        <f t="shared" si="4"/>
        <v>472.48036714392589</v>
      </c>
      <c r="AM55" s="59">
        <f t="shared" si="5"/>
        <v>765.8137004772592</v>
      </c>
      <c r="AN55" s="59">
        <f ca="1">AVERAGE(OFFSET($AM$3,0,0,'Données projet'!$E$10+1,1))-AVERAGE(OFFSET($H$3,0,0,'Données projet'!$E$10+1,1))</f>
        <v>316.58509520829671</v>
      </c>
      <c r="AO55" s="59">
        <f t="shared" si="36"/>
        <v>240.71332110643596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1.6393872325468846</v>
      </c>
      <c r="AV55" s="21">
        <f>EXP(-LN(2)/25)*AV54+(1-EXP(-LN(2)/25))/(LN(2)/25)*Calculateur!AQ55*Calculateur!AS55*VLOOKUP('Données projet'!$B$10,Paramètres!$A$1:$I$89,3,0)*0.475*44/12</f>
        <v>8.2960941228821596</v>
      </c>
      <c r="AW55" s="21">
        <f>EXP(-LN(2)/2)*AW54+(1-EXP(-LN(2)/2))/(LN(2)/2)*AQ55*AT55*VLOOKUP('Données projet'!$B$10,Paramètres!$A$1:$I$89,3,0)*0.475*44/12</f>
        <v>1.0712569858467198E-2</v>
      </c>
      <c r="AX55" s="21">
        <f t="shared" si="6"/>
        <v>9.9461939252875116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7.9</v>
      </c>
      <c r="BD55" s="12">
        <f>IF('Données projet'!$A$88&gt;35,BD54+BC55-BL54,IF(A55&lt;'Données projet'!$A$88,$BA$205^A55,IF(A55='Données projet'!$A$88,'Données projet'!$B$88,BD54+BC55-BL54)))</f>
        <v>297.79999999999995</v>
      </c>
      <c r="BE55" s="13">
        <f>BD55*VLOOKUP('Données projet'!$B$11,Paramètres!$A$1:$I$89,3,0)*VLOOKUP('Données projet'!$B$11,Paramètres!$A$1:$I$89,5,0)</f>
        <v>236.92967999999999</v>
      </c>
      <c r="BF55" s="13">
        <f t="shared" si="37"/>
        <v>57.778441972760355</v>
      </c>
      <c r="BG55" s="20">
        <f t="shared" si="7"/>
        <v>513.28331243589093</v>
      </c>
      <c r="BH55" s="59">
        <f t="shared" si="8"/>
        <v>806.61664576922431</v>
      </c>
      <c r="BI55" s="59">
        <f ca="1">AVERAGE(OFFSET($BH$3,0,0,'Données projet'!$E$11+1,1))-AVERAGE(OFFSET($H$3,0,0,'Données projet'!$E$11+1,1))</f>
        <v>314.94704727988847</v>
      </c>
      <c r="BJ55" s="59">
        <f t="shared" si="38"/>
        <v>366.49199094166454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2.5326675506854137</v>
      </c>
      <c r="BQ55" s="21">
        <f>EXP(-LN(2)/25)*BQ54+(1-EXP(-LN(2)/25))/(LN(2)/25)*Calculateur!BL55*Calculateur!BN55*VLOOKUP('Données projet'!$B$11,Paramètres!$A$1:$I$89,3,0)*0.475*44/12</f>
        <v>13.805278120724708</v>
      </c>
      <c r="BR55" s="21">
        <f>EXP(-LN(2)/2)*BR54+(1-EXP(-LN(2)/2))/(LN(2)/2)*BL55*BO55*VLOOKUP('Données projet'!$B$11,Paramètres!$A$1:$I$89,3,0)*0.475*44/12</f>
        <v>1.4096306924196838E-2</v>
      </c>
      <c r="BS55" s="22">
        <f t="shared" si="9"/>
        <v>16.35204197833432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7.9</v>
      </c>
      <c r="BY55" s="12">
        <f>IF('Données projet'!$A$114&gt;35,BY54+BX55-CG54,IF(A55&lt;'Données projet'!$A$114,$BV$205^A55,IF(A55='Données projet'!$A$114,'Données projet'!$B$114,BY54+BX55-CG54)))</f>
        <v>297.79999999999995</v>
      </c>
      <c r="BZ55" s="13">
        <f>BY55*VLOOKUP('Données projet'!$B$12,Paramètres!$A$1:$I$89,3,0)*VLOOKUP('Données projet'!$B$12,Paramètres!$A$1:$I$89,5,0)</f>
        <v>236.92967999999999</v>
      </c>
      <c r="CA55" s="13">
        <f t="shared" si="39"/>
        <v>57.778441972760355</v>
      </c>
      <c r="CB55" s="20">
        <f t="shared" si="10"/>
        <v>513.28331243589093</v>
      </c>
      <c r="CC55" s="59">
        <f t="shared" si="11"/>
        <v>806.61664576922431</v>
      </c>
      <c r="CD55" s="59">
        <f ca="1">AVERAGE(OFFSET($CC$3,0,0,'Données projet'!$E$12+1,1))-AVERAGE(OFFSET($H$3,0,0,'Données projet'!$E$12+1,1))</f>
        <v>314.94704727988847</v>
      </c>
      <c r="CE55" s="59">
        <f t="shared" si="40"/>
        <v>366.49199094166454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2.5326675506854137</v>
      </c>
      <c r="CL55" s="21">
        <f>EXP(-LN(2)/25)*CL54+(1-EXP(-LN(2)/25))/(LN(2)/25)*Calculateur!CG55*Calculateur!CI55*VLOOKUP('Données projet'!$B$12,Paramètres!$A$1:$I$89,3,0)*0.475*44/12</f>
        <v>13.805278120724708</v>
      </c>
      <c r="CM55" s="21">
        <f>EXP(-LN(2)/2)*CM54+(1-EXP(-LN(2)/2))/(LN(2)/2)*CG55*CJ55*VLOOKUP('Données projet'!$B$12,Paramètres!$A$1:$I$89,3,0)*0.475*44/12</f>
        <v>1.4096306924196838E-2</v>
      </c>
      <c r="CN55" s="22">
        <f t="shared" si="12"/>
        <v>16.35204197833432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8.8736263736263741</v>
      </c>
      <c r="CT55" s="12">
        <f>IF('Données projet'!$A$140&gt;35,CT54+CS55-DB54,IF(A55&lt;'Données projet'!$A$140,$CQ$205^A55,IF(A55='Données projet'!$A$140,'Données projet'!$B$140,CT54+CS55-DB54)))</f>
        <v>171.82142857142858</v>
      </c>
      <c r="CU55" s="17">
        <f>CT55*VLOOKUP('Données projet'!$B$13,Paramètres!$A$1:$I$89,3,0)*VLOOKUP('Données projet'!$B$13,Paramètres!$A$1:$I$89,5,0)</f>
        <v>155.4640285714286</v>
      </c>
      <c r="CV55" s="13">
        <f t="shared" si="41"/>
        <v>39.817708233223598</v>
      </c>
      <c r="CW55" s="20">
        <f t="shared" si="13"/>
        <v>340.11569160143591</v>
      </c>
      <c r="CX55" s="59">
        <f t="shared" si="14"/>
        <v>633.44902493476923</v>
      </c>
      <c r="CY55" s="59">
        <f ca="1">AVERAGE(OFFSET($CX$3,0,0,'Données projet'!$E$13+1,1))-AVERAGE(OFFSET($H$3,0,0,'Données projet'!$E$13+1,1))</f>
        <v>221.7429870520005</v>
      </c>
      <c r="CZ55" s="59">
        <f t="shared" si="42"/>
        <v>182.2029938397186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248.56299999999987</v>
      </c>
      <c r="P56" s="13">
        <f t="shared" si="33"/>
        <v>60.278125769290789</v>
      </c>
      <c r="Q56" s="20">
        <f t="shared" si="53"/>
        <v>537.89829404818124</v>
      </c>
      <c r="R56" s="59">
        <f t="shared" si="0"/>
        <v>831.2316273815145</v>
      </c>
      <c r="S56" s="59">
        <f ca="1">AVERAGE(OFFSET($R$3,0,0,'Données projet'!$E$9+1,1))-AVERAGE(OFFSET($H$3,0,0,'Données projet'!$E$9+1,1))</f>
        <v>199.01551760562705</v>
      </c>
      <c r="T56" s="59">
        <f t="shared" si="34"/>
        <v>269.50915104901367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1.5949390732439797</v>
      </c>
      <c r="AA56" s="21">
        <f>EXP(-LN(2)/25)*AA55+(1-EXP(-LN(2)/25))/(LN(2)/25)*Calculateur!V56*Calculateur!X56*VLOOKUP('Données projet'!$B$9,Paramètres!$A$1:$I$89,3,0)*0.475*44/12</f>
        <v>6.8658123737845598</v>
      </c>
      <c r="AB56" s="21">
        <f>EXP(-LN(2)/2)*AB55+(1-EXP(-LN(2)/2))/(LN(2)/2)*V56*Y56*VLOOKUP('Données projet'!$B$9,Paramètres!$A$1:$I$89,3,0)*0.475*44/12</f>
        <v>4.7568815548921139E-4</v>
      </c>
      <c r="AC56" s="22">
        <f t="shared" si="3"/>
        <v>8.4612271351840285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</v>
      </c>
      <c r="AI56" s="13">
        <f>IF('Données projet'!$A$62&gt;35,AI55+AH56-AQ55,IF(A56&lt;'Données projet'!$A$62,$AF$205^A56,IF(A56='Données projet'!$A$62,'Données projet'!$B$62,AI55+AH56-AQ55)))</f>
        <v>381.99999999999972</v>
      </c>
      <c r="AJ56" s="13">
        <f>AI56*VLOOKUP('Données projet'!$B$10,Paramètres!$A$1:$I$89,3,0)*VLOOKUP('Données projet'!$B$10,Paramètres!$A$1:$I$89,5,0)</f>
        <v>228.43599999999986</v>
      </c>
      <c r="AK56" s="13">
        <f t="shared" si="35"/>
        <v>55.944373989427987</v>
      </c>
      <c r="AL56" s="20">
        <f t="shared" si="4"/>
        <v>495.29581803158686</v>
      </c>
      <c r="AM56" s="59">
        <f t="shared" si="5"/>
        <v>788.62915136492018</v>
      </c>
      <c r="AN56" s="59">
        <f ca="1">AVERAGE(OFFSET($AM$3,0,0,'Données projet'!$E$10+1,1))-AVERAGE(OFFSET($H$3,0,0,'Données projet'!$E$10+1,1))</f>
        <v>316.58509520829671</v>
      </c>
      <c r="AO56" s="59">
        <f t="shared" si="36"/>
        <v>240.71332110643596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1.6072398488441173</v>
      </c>
      <c r="AV56" s="21">
        <f>EXP(-LN(2)/25)*AV55+(1-EXP(-LN(2)/25))/(LN(2)/25)*Calculateur!AQ56*Calculateur!AS56*VLOOKUP('Données projet'!$B$10,Paramètres!$A$1:$I$89,3,0)*0.475*44/12</f>
        <v>8.0692369928193184</v>
      </c>
      <c r="AW56" s="21">
        <f>EXP(-LN(2)/2)*AW55+(1-EXP(-LN(2)/2))/(LN(2)/2)*AQ56*AT56*VLOOKUP('Données projet'!$B$10,Paramètres!$A$1:$I$89,3,0)*0.475*44/12</f>
        <v>7.5749307908567704E-3</v>
      </c>
      <c r="AX56" s="21">
        <f t="shared" si="6"/>
        <v>9.6840517724542909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7.9</v>
      </c>
      <c r="BD56" s="12">
        <f>IF('Données projet'!$A$88&gt;35,BD55+BC56-BL55,IF(A56&lt;'Données projet'!$A$88,$BA$205^A56,IF(A56='Données projet'!$A$88,'Données projet'!$B$88,BD55+BC56-BL55)))</f>
        <v>305.69999999999993</v>
      </c>
      <c r="BE56" s="13">
        <f>BD56*VLOOKUP('Données projet'!$B$11,Paramètres!$A$1:$I$89,3,0)*VLOOKUP('Données projet'!$B$11,Paramètres!$A$1:$I$89,5,0)</f>
        <v>243.21491999999995</v>
      </c>
      <c r="BF56" s="13">
        <f t="shared" si="37"/>
        <v>59.130699584367115</v>
      </c>
      <c r="BG56" s="20">
        <f t="shared" si="7"/>
        <v>526.5852874427726</v>
      </c>
      <c r="BH56" s="59">
        <f t="shared" si="8"/>
        <v>819.91862077610585</v>
      </c>
      <c r="BI56" s="59">
        <f ca="1">AVERAGE(OFFSET($BH$3,0,0,'Données projet'!$E$11+1,1))-AVERAGE(OFFSET($H$3,0,0,'Données projet'!$E$11+1,1))</f>
        <v>314.94704727988847</v>
      </c>
      <c r="BJ56" s="59">
        <f t="shared" si="38"/>
        <v>366.49199094166454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2.4830034847911446</v>
      </c>
      <c r="BQ56" s="21">
        <f>EXP(-LN(2)/25)*BQ55+(1-EXP(-LN(2)/25))/(LN(2)/25)*Calculateur!BL56*Calculateur!BN56*VLOOKUP('Données projet'!$B$11,Paramètres!$A$1:$I$89,3,0)*0.475*44/12</f>
        <v>13.427772064525467</v>
      </c>
      <c r="BR56" s="21">
        <f>EXP(-LN(2)/2)*BR55+(1-EXP(-LN(2)/2))/(LN(2)/2)*BL56*BO56*VLOOKUP('Données projet'!$B$11,Paramètres!$A$1:$I$89,3,0)*0.475*44/12</f>
        <v>9.9675942157864683E-3</v>
      </c>
      <c r="BS56" s="22">
        <f t="shared" si="9"/>
        <v>15.920743143532398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7.9</v>
      </c>
      <c r="BY56" s="12">
        <f>IF('Données projet'!$A$114&gt;35,BY55+BX56-CG55,IF(A56&lt;'Données projet'!$A$114,$BV$205^A56,IF(A56='Données projet'!$A$114,'Données projet'!$B$114,BY55+BX56-CG55)))</f>
        <v>305.69999999999993</v>
      </c>
      <c r="BZ56" s="13">
        <f>BY56*VLOOKUP('Données projet'!$B$12,Paramètres!$A$1:$I$89,3,0)*VLOOKUP('Données projet'!$B$12,Paramètres!$A$1:$I$89,5,0)</f>
        <v>243.21491999999995</v>
      </c>
      <c r="CA56" s="13">
        <f t="shared" si="39"/>
        <v>59.130699584367115</v>
      </c>
      <c r="CB56" s="20">
        <f t="shared" si="10"/>
        <v>526.5852874427726</v>
      </c>
      <c r="CC56" s="59">
        <f t="shared" si="11"/>
        <v>819.91862077610585</v>
      </c>
      <c r="CD56" s="59">
        <f ca="1">AVERAGE(OFFSET($CC$3,0,0,'Données projet'!$E$12+1,1))-AVERAGE(OFFSET($H$3,0,0,'Données projet'!$E$12+1,1))</f>
        <v>314.94704727988847</v>
      </c>
      <c r="CE56" s="59">
        <f t="shared" si="40"/>
        <v>366.49199094166454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2.4830034847911446</v>
      </c>
      <c r="CL56" s="21">
        <f>EXP(-LN(2)/25)*CL55+(1-EXP(-LN(2)/25))/(LN(2)/25)*Calculateur!CG56*Calculateur!CI56*VLOOKUP('Données projet'!$B$12,Paramètres!$A$1:$I$89,3,0)*0.475*44/12</f>
        <v>13.427772064525467</v>
      </c>
      <c r="CM56" s="21">
        <f>EXP(-LN(2)/2)*CM55+(1-EXP(-LN(2)/2))/(LN(2)/2)*CG56*CJ56*VLOOKUP('Données projet'!$B$12,Paramètres!$A$1:$I$89,3,0)*0.475*44/12</f>
        <v>9.9675942157864683E-3</v>
      </c>
      <c r="CN56" s="22">
        <f t="shared" si="12"/>
        <v>15.920743143532398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8.8736263736263741</v>
      </c>
      <c r="CT56" s="12">
        <f>IF('Données projet'!$A$140&gt;35,CT55+CS56-DB55,IF(A56&lt;'Données projet'!$A$140,$CQ$205^A56,IF(A56='Données projet'!$A$140,'Données projet'!$B$140,CT55+CS56-DB55)))</f>
        <v>180.69505494505495</v>
      </c>
      <c r="CU56" s="17">
        <f>CT56*VLOOKUP('Données projet'!$B$13,Paramètres!$A$1:$I$89,3,0)*VLOOKUP('Données projet'!$B$13,Paramètres!$A$1:$I$89,5,0)</f>
        <v>163.49288571428571</v>
      </c>
      <c r="CV56" s="13">
        <f t="shared" si="41"/>
        <v>41.629352600963429</v>
      </c>
      <c r="CW56" s="20">
        <f t="shared" si="13"/>
        <v>357.25456506572556</v>
      </c>
      <c r="CX56" s="59">
        <f t="shared" si="14"/>
        <v>650.58789839905887</v>
      </c>
      <c r="CY56" s="59">
        <f ca="1">AVERAGE(OFFSET($CX$3,0,0,'Données projet'!$E$13+1,1))-AVERAGE(OFFSET($H$3,0,0,'Données projet'!$E$13+1,1))</f>
        <v>221.7429870520005</v>
      </c>
      <c r="CZ56" s="59">
        <f t="shared" si="42"/>
        <v>182.2029938397186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257.89399999999983</v>
      </c>
      <c r="P57" s="13">
        <f t="shared" si="33"/>
        <v>62.273251593816425</v>
      </c>
      <c r="Q57" s="20">
        <f t="shared" si="53"/>
        <v>557.62462985923003</v>
      </c>
      <c r="R57" s="59">
        <f t="shared" si="0"/>
        <v>850.95796319256328</v>
      </c>
      <c r="S57" s="59">
        <f ca="1">AVERAGE(OFFSET($R$3,0,0,'Données projet'!$E$9+1,1))-AVERAGE(OFFSET($H$3,0,0,'Données projet'!$E$9+1,1))</f>
        <v>199.01551760562705</v>
      </c>
      <c r="T57" s="59">
        <f t="shared" si="34"/>
        <v>269.50915104901367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1.5636632908344421</v>
      </c>
      <c r="AA57" s="21">
        <f>EXP(-LN(2)/25)*AA56+(1-EXP(-LN(2)/25))/(LN(2)/25)*Calculateur!V57*Calculateur!X57*VLOOKUP('Données projet'!$B$9,Paramètres!$A$1:$I$89,3,0)*0.475*44/12</f>
        <v>6.6780663733660406</v>
      </c>
      <c r="AB57" s="21">
        <f>EXP(-LN(2)/2)*AB56+(1-EXP(-LN(2)/2))/(LN(2)/2)*V57*Y57*VLOOKUP('Données projet'!$B$9,Paramètres!$A$1:$I$89,3,0)*0.475*44/12</f>
        <v>3.3636232047654221E-4</v>
      </c>
      <c r="AC57" s="22">
        <f t="shared" si="3"/>
        <v>8.2420660265209591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</v>
      </c>
      <c r="AI57" s="13">
        <f>IF('Données projet'!$A$62&gt;35,AI56+AH57-AQ56,IF(A57&lt;'Données projet'!$A$62,$AF$205^A57,IF(A57='Données projet'!$A$62,'Données projet'!$B$62,AI56+AH57-AQ56)))</f>
        <v>399.99999999999972</v>
      </c>
      <c r="AJ57" s="13">
        <f>AI57*VLOOKUP('Données projet'!$B$10,Paramètres!$A$1:$I$89,3,0)*VLOOKUP('Données projet'!$B$10,Paramètres!$A$1:$I$89,5,0)</f>
        <v>239.19999999999985</v>
      </c>
      <c r="AK57" s="13">
        <f t="shared" si="35"/>
        <v>58.267373151570702</v>
      </c>
      <c r="AL57" s="20">
        <f t="shared" si="4"/>
        <v>518.08900823898523</v>
      </c>
      <c r="AM57" s="59">
        <f t="shared" si="5"/>
        <v>811.4223415723186</v>
      </c>
      <c r="AN57" s="59">
        <f ca="1">AVERAGE(OFFSET($AM$3,0,0,'Données projet'!$E$10+1,1))-AVERAGE(OFFSET($H$3,0,0,'Données projet'!$E$10+1,1))</f>
        <v>316.58509520829671</v>
      </c>
      <c r="AO57" s="59">
        <f t="shared" si="36"/>
        <v>240.71332110643596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1.5757228557277934</v>
      </c>
      <c r="AV57" s="21">
        <f>EXP(-LN(2)/25)*AV56+(1-EXP(-LN(2)/25))/(LN(2)/25)*Calculateur!AQ57*Calculateur!AS57*VLOOKUP('Données projet'!$B$10,Paramètres!$A$1:$I$89,3,0)*0.475*44/12</f>
        <v>7.8485832829079429</v>
      </c>
      <c r="AW57" s="21">
        <f>EXP(-LN(2)/2)*AW56+(1-EXP(-LN(2)/2))/(LN(2)/2)*AQ57*AT57*VLOOKUP('Données projet'!$B$10,Paramètres!$A$1:$I$89,3,0)*0.475*44/12</f>
        <v>5.3562849292336E-3</v>
      </c>
      <c r="AX57" s="21">
        <f t="shared" si="6"/>
        <v>9.4296624235649684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7.9</v>
      </c>
      <c r="BD57" s="12">
        <f>IF('Données projet'!$A$88&gt;35,BD56+BC57-BL56,IF(A57&lt;'Données projet'!$A$88,$BA$205^A57,IF(A57='Données projet'!$A$88,'Données projet'!$B$88,BD56+BC57-BL56)))</f>
        <v>313.59999999999991</v>
      </c>
      <c r="BE57" s="13">
        <f>BD57*VLOOKUP('Données projet'!$B$11,Paramètres!$A$1:$I$89,3,0)*VLOOKUP('Données projet'!$B$11,Paramètres!$A$1:$I$89,5,0)</f>
        <v>249.50015999999994</v>
      </c>
      <c r="BF57" s="13">
        <f t="shared" si="37"/>
        <v>60.478895175306739</v>
      </c>
      <c r="BG57" s="20">
        <f t="shared" si="7"/>
        <v>539.88018776365902</v>
      </c>
      <c r="BH57" s="59">
        <f t="shared" si="8"/>
        <v>833.21352109699228</v>
      </c>
      <c r="BI57" s="59">
        <f ca="1">AVERAGE(OFFSET($BH$3,0,0,'Données projet'!$E$11+1,1))-AVERAGE(OFFSET($H$3,0,0,'Données projet'!$E$11+1,1))</f>
        <v>314.94704727988847</v>
      </c>
      <c r="BJ57" s="59">
        <f t="shared" si="38"/>
        <v>366.49199094166454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2.4343133009369731</v>
      </c>
      <c r="BQ57" s="21">
        <f>EXP(-LN(2)/25)*BQ56+(1-EXP(-LN(2)/25))/(LN(2)/25)*Calculateur!BL57*Calculateur!BN57*VLOOKUP('Données projet'!$B$11,Paramètres!$A$1:$I$89,3,0)*0.475*44/12</f>
        <v>13.060588931285174</v>
      </c>
      <c r="BR57" s="21">
        <f>EXP(-LN(2)/2)*BR56+(1-EXP(-LN(2)/2))/(LN(2)/2)*BL57*BO57*VLOOKUP('Données projet'!$B$11,Paramètres!$A$1:$I$89,3,0)*0.475*44/12</f>
        <v>7.0481534620984191E-3</v>
      </c>
      <c r="BS57" s="22">
        <f t="shared" si="9"/>
        <v>15.501950385684246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7.9</v>
      </c>
      <c r="BY57" s="12">
        <f>IF('Données projet'!$A$114&gt;35,BY56+BX57-CG56,IF(A57&lt;'Données projet'!$A$114,$BV$205^A57,IF(A57='Données projet'!$A$114,'Données projet'!$B$114,BY56+BX57-CG56)))</f>
        <v>313.59999999999991</v>
      </c>
      <c r="BZ57" s="13">
        <f>BY57*VLOOKUP('Données projet'!$B$12,Paramètres!$A$1:$I$89,3,0)*VLOOKUP('Données projet'!$B$12,Paramètres!$A$1:$I$89,5,0)</f>
        <v>249.50015999999994</v>
      </c>
      <c r="CA57" s="13">
        <f t="shared" si="39"/>
        <v>60.478895175306739</v>
      </c>
      <c r="CB57" s="20">
        <f t="shared" si="10"/>
        <v>539.88018776365902</v>
      </c>
      <c r="CC57" s="59">
        <f t="shared" si="11"/>
        <v>833.21352109699228</v>
      </c>
      <c r="CD57" s="59">
        <f ca="1">AVERAGE(OFFSET($CC$3,0,0,'Données projet'!$E$12+1,1))-AVERAGE(OFFSET($H$3,0,0,'Données projet'!$E$12+1,1))</f>
        <v>314.94704727988847</v>
      </c>
      <c r="CE57" s="59">
        <f t="shared" si="40"/>
        <v>366.49199094166454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2.4343133009369731</v>
      </c>
      <c r="CL57" s="21">
        <f>EXP(-LN(2)/25)*CL56+(1-EXP(-LN(2)/25))/(LN(2)/25)*Calculateur!CG57*Calculateur!CI57*VLOOKUP('Données projet'!$B$12,Paramètres!$A$1:$I$89,3,0)*0.475*44/12</f>
        <v>13.060588931285174</v>
      </c>
      <c r="CM57" s="21">
        <f>EXP(-LN(2)/2)*CM56+(1-EXP(-LN(2)/2))/(LN(2)/2)*CG57*CJ57*VLOOKUP('Données projet'!$B$12,Paramètres!$A$1:$I$89,3,0)*0.475*44/12</f>
        <v>7.0481534620984191E-3</v>
      </c>
      <c r="CN57" s="22">
        <f t="shared" si="12"/>
        <v>15.501950385684246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8.8736263736263741</v>
      </c>
      <c r="CT57" s="12">
        <f>IF('Données projet'!$A$140&gt;35,CT56+CS57-DB56,IF(A57&lt;'Données projet'!$A$140,$CQ$205^A57,IF(A57='Données projet'!$A$140,'Données projet'!$B$140,CT56+CS57-DB56)))</f>
        <v>189.56868131868131</v>
      </c>
      <c r="CU57" s="17">
        <f>CT57*VLOOKUP('Données projet'!$B$13,Paramètres!$A$1:$I$89,3,0)*VLOOKUP('Données projet'!$B$13,Paramètres!$A$1:$I$89,5,0)</f>
        <v>171.52174285714284</v>
      </c>
      <c r="CV57" s="13">
        <f t="shared" si="41"/>
        <v>43.430666394282092</v>
      </c>
      <c r="CW57" s="20">
        <f t="shared" si="13"/>
        <v>374.37544611289837</v>
      </c>
      <c r="CX57" s="59">
        <f t="shared" si="14"/>
        <v>667.70877944623169</v>
      </c>
      <c r="CY57" s="59">
        <f ca="1">AVERAGE(OFFSET($CX$3,0,0,'Données projet'!$E$13+1,1))-AVERAGE(OFFSET($H$3,0,0,'Données projet'!$E$13+1,1))</f>
        <v>221.7429870520005</v>
      </c>
      <c r="CZ57" s="59">
        <f t="shared" si="42"/>
        <v>182.2029938397186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-1.0345502232667058E-13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199.01551760562705</v>
      </c>
      <c r="T58" s="59">
        <f t="shared" si="34"/>
        <v>269.50915104901367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1.5330008074416122</v>
      </c>
      <c r="AA58" s="21">
        <f>EXP(-LN(2)/25)*AA57+(1-EXP(-LN(2)/25))/(LN(2)/25)*Calculateur!V58*Calculateur!X58*VLOOKUP('Données projet'!$B$9,Paramètres!$A$1:$I$89,3,0)*0.475*44/12</f>
        <v>6.495454297202099</v>
      </c>
      <c r="AB58" s="21">
        <f>EXP(-LN(2)/2)*AB57+(1-EXP(-LN(2)/2))/(LN(2)/2)*V58*Y58*VLOOKUP('Données projet'!$B$9,Paramètres!$A$1:$I$89,3,0)*0.475*44/12</f>
        <v>2.3784407774460572E-4</v>
      </c>
      <c r="AC58" s="22">
        <f t="shared" si="3"/>
        <v>8.0286929487214564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</v>
      </c>
      <c r="AI58" s="13">
        <f>IF('Données projet'!$A$62&gt;35,AI57+AH58-AQ57,IF(A58&lt;'Données projet'!$A$62,$AF$205^A58,IF(A58='Données projet'!$A$62,'Données projet'!$B$62,AI57+AH58-AQ57)))</f>
        <v>417.99999999999972</v>
      </c>
      <c r="AJ58" s="13">
        <f>AI58*VLOOKUP('Données projet'!$B$10,Paramètres!$A$1:$I$89,3,0)*VLOOKUP('Données projet'!$B$10,Paramètres!$A$1:$I$89,5,0)</f>
        <v>249.96399999999986</v>
      </c>
      <c r="AK58" s="13">
        <f t="shared" si="35"/>
        <v>60.578231929558321</v>
      </c>
      <c r="AL58" s="20">
        <f t="shared" si="4"/>
        <v>540.86105394398044</v>
      </c>
      <c r="AM58" s="59">
        <f t="shared" si="5"/>
        <v>834.19438727731381</v>
      </c>
      <c r="AN58" s="59">
        <f ca="1">AVERAGE(OFFSET($AM$3,0,0,'Données projet'!$E$10+1,1))-AVERAGE(OFFSET($H$3,0,0,'Données projet'!$E$10+1,1))</f>
        <v>316.58509520829671</v>
      </c>
      <c r="AO58" s="59">
        <f t="shared" si="36"/>
        <v>240.71332110643596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1.544823891623013</v>
      </c>
      <c r="AV58" s="21">
        <f>EXP(-LN(2)/25)*AV57+(1-EXP(-LN(2)/25))/(LN(2)/25)*Calculateur!AQ58*Calculateur!AS58*VLOOKUP('Données projet'!$B$10,Paramètres!$A$1:$I$89,3,0)*0.475*44/12</f>
        <v>7.633963360297769</v>
      </c>
      <c r="AW58" s="21">
        <f>EXP(-LN(2)/2)*AW57+(1-EXP(-LN(2)/2))/(LN(2)/2)*AQ58*AT58*VLOOKUP('Données projet'!$B$10,Paramètres!$A$1:$I$89,3,0)*0.475*44/12</f>
        <v>3.7874653954283856E-3</v>
      </c>
      <c r="AX58" s="21">
        <f t="shared" si="6"/>
        <v>9.1825747173162107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7.9</v>
      </c>
      <c r="BD58" s="12">
        <f>IF('Données projet'!$A$88&gt;35,BD57+BC58-BL57,IF(A58&lt;'Données projet'!$A$88,$BA$205^A58,IF(A58='Données projet'!$A$88,'Données projet'!$B$88,BD57+BC58-BL57)))</f>
        <v>321.49999999999989</v>
      </c>
      <c r="BE58" s="13">
        <f>BD58*VLOOKUP('Données projet'!$B$11,Paramètres!$A$1:$I$89,3,0)*VLOOKUP('Données projet'!$B$11,Paramètres!$A$1:$I$89,5,0)</f>
        <v>255.78539999999992</v>
      </c>
      <c r="BF58" s="13">
        <f t="shared" si="37"/>
        <v>61.823142841300566</v>
      </c>
      <c r="BG58" s="20">
        <f t="shared" si="7"/>
        <v>553.16821211526496</v>
      </c>
      <c r="BH58" s="59">
        <f t="shared" si="8"/>
        <v>846.50154544859834</v>
      </c>
      <c r="BI58" s="59">
        <f ca="1">AVERAGE(OFFSET($BH$3,0,0,'Données projet'!$E$11+1,1))-AVERAGE(OFFSET($H$3,0,0,'Données projet'!$E$11+1,1))</f>
        <v>314.94704727988847</v>
      </c>
      <c r="BJ58" s="59">
        <f t="shared" si="38"/>
        <v>366.49199094166454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2.3865779018901021</v>
      </c>
      <c r="BQ58" s="21">
        <f>EXP(-LN(2)/25)*BQ57+(1-EXP(-LN(2)/25))/(LN(2)/25)*Calculateur!BL58*Calculateur!BN58*VLOOKUP('Données projet'!$B$11,Paramètres!$A$1:$I$89,3,0)*0.475*44/12</f>
        <v>12.703446440132661</v>
      </c>
      <c r="BR58" s="21">
        <f>EXP(-LN(2)/2)*BR57+(1-EXP(-LN(2)/2))/(LN(2)/2)*BL58*BO58*VLOOKUP('Données projet'!$B$11,Paramètres!$A$1:$I$89,3,0)*0.475*44/12</f>
        <v>4.9837971078932342E-3</v>
      </c>
      <c r="BS58" s="22">
        <f t="shared" si="9"/>
        <v>15.095008139130655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7.9</v>
      </c>
      <c r="BY58" s="12">
        <f>IF('Données projet'!$A$114&gt;35,BY57+BX58-CG57,IF(A58&lt;'Données projet'!$A$114,$BV$205^A58,IF(A58='Données projet'!$A$114,'Données projet'!$B$114,BY57+BX58-CG57)))</f>
        <v>321.49999999999989</v>
      </c>
      <c r="BZ58" s="13">
        <f>BY58*VLOOKUP('Données projet'!$B$12,Paramètres!$A$1:$I$89,3,0)*VLOOKUP('Données projet'!$B$12,Paramètres!$A$1:$I$89,5,0)</f>
        <v>255.78539999999992</v>
      </c>
      <c r="CA58" s="13">
        <f t="shared" si="39"/>
        <v>61.823142841300566</v>
      </c>
      <c r="CB58" s="20">
        <f t="shared" si="10"/>
        <v>553.16821211526496</v>
      </c>
      <c r="CC58" s="59">
        <f t="shared" si="11"/>
        <v>846.50154544859834</v>
      </c>
      <c r="CD58" s="59">
        <f ca="1">AVERAGE(OFFSET($CC$3,0,0,'Données projet'!$E$12+1,1))-AVERAGE(OFFSET($H$3,0,0,'Données projet'!$E$12+1,1))</f>
        <v>314.94704727988847</v>
      </c>
      <c r="CE58" s="59">
        <f t="shared" si="40"/>
        <v>366.49199094166454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2.3865779018901021</v>
      </c>
      <c r="CL58" s="21">
        <f>EXP(-LN(2)/25)*CL57+(1-EXP(-LN(2)/25))/(LN(2)/25)*Calculateur!CG58*Calculateur!CI58*VLOOKUP('Données projet'!$B$12,Paramètres!$A$1:$I$89,3,0)*0.475*44/12</f>
        <v>12.703446440132661</v>
      </c>
      <c r="CM58" s="21">
        <f>EXP(-LN(2)/2)*CM57+(1-EXP(-LN(2)/2))/(LN(2)/2)*CG58*CJ58*VLOOKUP('Données projet'!$B$12,Paramètres!$A$1:$I$89,3,0)*0.475*44/12</f>
        <v>4.9837971078932342E-3</v>
      </c>
      <c r="CN58" s="22">
        <f t="shared" si="12"/>
        <v>15.095008139130655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198.44230769230768</v>
      </c>
      <c r="CR58" s="12">
        <f>VLOOKUP(A58,'Données projet'!$A$139:$I$159,9,0)</f>
        <v>8.8736263736263741</v>
      </c>
      <c r="CS58" s="12">
        <f t="array" ref="CS58">INDEX(CR:CR,MIN(IF(ISNUMBER(CR58:CR254),ROW(CR58:CR254),"")))</f>
        <v>8.8736263736263741</v>
      </c>
      <c r="CT58" s="12">
        <f>IF('Données projet'!$A$140&gt;35,CT57+CS58-DB57,IF(A58&lt;'Données projet'!$A$140,$CQ$205^A58,IF(A58='Données projet'!$A$140,'Données projet'!$B$140,CT57+CS58-DB57)))</f>
        <v>198.44230769230768</v>
      </c>
      <c r="CU58" s="17">
        <f>CT58*VLOOKUP('Données projet'!$B$13,Paramètres!$A$1:$I$89,3,0)*VLOOKUP('Données projet'!$B$13,Paramètres!$A$1:$I$89,5,0)</f>
        <v>179.55059999999997</v>
      </c>
      <c r="CV58" s="13">
        <f t="shared" si="41"/>
        <v>45.22218840459005</v>
      </c>
      <c r="CW58" s="20">
        <f t="shared" si="13"/>
        <v>391.47927313799431</v>
      </c>
      <c r="CX58" s="59">
        <f t="shared" si="14"/>
        <v>684.81260647132763</v>
      </c>
      <c r="CY58" s="59">
        <f ca="1">AVERAGE(OFFSET($CX$3,0,0,'Données projet'!$E$13+1,1))-AVERAGE(OFFSET($H$3,0,0,'Données projet'!$E$13+1,1))</f>
        <v>221.7429870520005</v>
      </c>
      <c r="CZ58" s="59">
        <f t="shared" si="42"/>
        <v>182.2029938397186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45.147435897435898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-1.0345502232667058E-13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199.01551760562705</v>
      </c>
      <c r="T59" s="59">
        <f t="shared" si="34"/>
        <v>269.50915104901367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1.5029395966458474</v>
      </c>
      <c r="AA59" s="21">
        <f>EXP(-LN(2)/25)*AA58+(1-EXP(-LN(2)/25))/(LN(2)/25)*Calculateur!V59*Calculateur!X59*VLOOKUP('Données projet'!$B$9,Paramètres!$A$1:$I$89,3,0)*0.475*44/12</f>
        <v>6.3178357578640121</v>
      </c>
      <c r="AB59" s="21">
        <f>EXP(-LN(2)/2)*AB58+(1-EXP(-LN(2)/2))/(LN(2)/2)*V59*Y59*VLOOKUP('Données projet'!$B$9,Paramètres!$A$1:$I$89,3,0)*0.475*44/12</f>
        <v>1.6818116023827113E-4</v>
      </c>
      <c r="AC59" s="22">
        <f t="shared" si="3"/>
        <v>7.8209435356700974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</v>
      </c>
      <c r="AI59" s="13">
        <f>IF('Données projet'!$A$62&gt;35,AI58+AH59-AQ58,IF(A59&lt;'Données projet'!$A$62,$AF$205^A59,IF(A59='Données projet'!$A$62,'Données projet'!$B$62,AI58+AH59-AQ58)))</f>
        <v>435.99999999999972</v>
      </c>
      <c r="AJ59" s="13">
        <f>AI59*VLOOKUP('Données projet'!$B$10,Paramètres!$A$1:$I$89,3,0)*VLOOKUP('Données projet'!$B$10,Paramètres!$A$1:$I$89,5,0)</f>
        <v>260.72799999999984</v>
      </c>
      <c r="AK59" s="13">
        <f t="shared" si="35"/>
        <v>62.87753287516481</v>
      </c>
      <c r="AL59" s="20">
        <f t="shared" si="4"/>
        <v>563.61296975757841</v>
      </c>
      <c r="AM59" s="59">
        <f t="shared" si="5"/>
        <v>856.94630309091167</v>
      </c>
      <c r="AN59" s="59">
        <f ca="1">AVERAGE(OFFSET($AM$3,0,0,'Données projet'!$E$10+1,1))-AVERAGE(OFFSET($H$3,0,0,'Données projet'!$E$10+1,1))</f>
        <v>316.58509520829671</v>
      </c>
      <c r="AO59" s="59">
        <f t="shared" si="36"/>
        <v>240.71332110643596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1.5145308373578201</v>
      </c>
      <c r="AV59" s="21">
        <f>EXP(-LN(2)/25)*AV58+(1-EXP(-LN(2)/25))/(LN(2)/25)*Calculateur!AQ59*Calculateur!AS59*VLOOKUP('Données projet'!$B$10,Paramètres!$A$1:$I$89,3,0)*0.475*44/12</f>
        <v>7.4252122307577411</v>
      </c>
      <c r="AW59" s="21">
        <f>EXP(-LN(2)/2)*AW58+(1-EXP(-LN(2)/2))/(LN(2)/2)*AQ59*AT59*VLOOKUP('Données projet'!$B$10,Paramètres!$A$1:$I$89,3,0)*0.475*44/12</f>
        <v>2.6781424646168004E-3</v>
      </c>
      <c r="AX59" s="21">
        <f t="shared" si="6"/>
        <v>8.9424212105801786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7.9</v>
      </c>
      <c r="BD59" s="12">
        <f>IF('Données projet'!$A$88&gt;35,BD58+BC59-BL58,IF(A59&lt;'Données projet'!$A$88,$BA$205^A59,IF(A59='Données projet'!$A$88,'Données projet'!$B$88,BD58+BC59-BL58)))</f>
        <v>329.39999999999986</v>
      </c>
      <c r="BE59" s="13">
        <f>BD59*VLOOKUP('Données projet'!$B$11,Paramètres!$A$1:$I$89,3,0)*VLOOKUP('Données projet'!$B$11,Paramètres!$A$1:$I$89,5,0)</f>
        <v>262.07063999999991</v>
      </c>
      <c r="BF59" s="13">
        <f t="shared" si="37"/>
        <v>63.163550751219262</v>
      </c>
      <c r="BG59" s="20">
        <f t="shared" si="7"/>
        <v>566.44954889170663</v>
      </c>
      <c r="BH59" s="59">
        <f t="shared" si="8"/>
        <v>859.78288222503988</v>
      </c>
      <c r="BI59" s="59">
        <f ca="1">AVERAGE(OFFSET($BH$3,0,0,'Données projet'!$E$11+1,1))-AVERAGE(OFFSET($H$3,0,0,'Données projet'!$E$11+1,1))</f>
        <v>314.94704727988847</v>
      </c>
      <c r="BJ59" s="59">
        <f t="shared" si="38"/>
        <v>366.49199094166454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2.3397785649028222</v>
      </c>
      <c r="BQ59" s="21">
        <f>EXP(-LN(2)/25)*BQ58+(1-EXP(-LN(2)/25))/(LN(2)/25)*Calculateur!BL59*Calculateur!BN59*VLOOKUP('Données projet'!$B$11,Paramètres!$A$1:$I$89,3,0)*0.475*44/12</f>
        <v>12.356070029182019</v>
      </c>
      <c r="BR59" s="21">
        <f>EXP(-LN(2)/2)*BR58+(1-EXP(-LN(2)/2))/(LN(2)/2)*BL59*BO59*VLOOKUP('Données projet'!$B$11,Paramètres!$A$1:$I$89,3,0)*0.475*44/12</f>
        <v>3.5240767310492096E-3</v>
      </c>
      <c r="BS59" s="22">
        <f t="shared" si="9"/>
        <v>14.69937267081589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7.9</v>
      </c>
      <c r="BY59" s="12">
        <f>IF('Données projet'!$A$114&gt;35,BY58+BX59-CG58,IF(A59&lt;'Données projet'!$A$114,$BV$205^A59,IF(A59='Données projet'!$A$114,'Données projet'!$B$114,BY58+BX59-CG58)))</f>
        <v>329.39999999999986</v>
      </c>
      <c r="BZ59" s="13">
        <f>BY59*VLOOKUP('Données projet'!$B$12,Paramètres!$A$1:$I$89,3,0)*VLOOKUP('Données projet'!$B$12,Paramètres!$A$1:$I$89,5,0)</f>
        <v>262.07063999999991</v>
      </c>
      <c r="CA59" s="13">
        <f t="shared" si="39"/>
        <v>63.163550751219262</v>
      </c>
      <c r="CB59" s="20">
        <f t="shared" si="10"/>
        <v>566.44954889170663</v>
      </c>
      <c r="CC59" s="59">
        <f t="shared" si="11"/>
        <v>859.78288222503988</v>
      </c>
      <c r="CD59" s="59">
        <f ca="1">AVERAGE(OFFSET($CC$3,0,0,'Données projet'!$E$12+1,1))-AVERAGE(OFFSET($H$3,0,0,'Données projet'!$E$12+1,1))</f>
        <v>314.94704727988847</v>
      </c>
      <c r="CE59" s="59">
        <f t="shared" si="40"/>
        <v>366.49199094166454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2.3397785649028222</v>
      </c>
      <c r="CL59" s="21">
        <f>EXP(-LN(2)/25)*CL58+(1-EXP(-LN(2)/25))/(LN(2)/25)*Calculateur!CG59*Calculateur!CI59*VLOOKUP('Données projet'!$B$12,Paramètres!$A$1:$I$89,3,0)*0.475*44/12</f>
        <v>12.356070029182019</v>
      </c>
      <c r="CM59" s="21">
        <f>EXP(-LN(2)/2)*CM58+(1-EXP(-LN(2)/2))/(LN(2)/2)*CG59*CJ59*VLOOKUP('Données projet'!$B$12,Paramètres!$A$1:$I$89,3,0)*0.475*44/12</f>
        <v>3.5240767310492096E-3</v>
      </c>
      <c r="CN59" s="22">
        <f t="shared" si="12"/>
        <v>14.69937267081589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8.374198717948719</v>
      </c>
      <c r="CT59" s="12">
        <f>IF('Données projet'!$A$140&gt;35,CT58+CS59-DB58,IF(A59&lt;'Données projet'!$A$140,$CQ$205^A59,IF(A59='Données projet'!$A$140,'Données projet'!$B$140,CT58+CS59-DB58)))</f>
        <v>161.6690705128205</v>
      </c>
      <c r="CU59" s="17">
        <f>CT59*VLOOKUP('Données projet'!$B$13,Paramètres!$A$1:$I$89,3,0)*VLOOKUP('Données projet'!$B$13,Paramètres!$A$1:$I$89,5,0)</f>
        <v>146.27817499999998</v>
      </c>
      <c r="CV59" s="13">
        <f t="shared" si="41"/>
        <v>37.731554716297467</v>
      </c>
      <c r="CW59" s="20">
        <f t="shared" si="13"/>
        <v>320.48361258921801</v>
      </c>
      <c r="CX59" s="59">
        <f t="shared" si="14"/>
        <v>613.81694592255133</v>
      </c>
      <c r="CY59" s="59">
        <f ca="1">AVERAGE(OFFSET($CX$3,0,0,'Données projet'!$E$13+1,1))-AVERAGE(OFFSET($H$3,0,0,'Données projet'!$E$13+1,1))</f>
        <v>221.7429870520005</v>
      </c>
      <c r="CZ59" s="59">
        <f t="shared" si="42"/>
        <v>182.2029938397186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-1.0345502232667058E-13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199.01551760562705</v>
      </c>
      <c r="T60" s="59">
        <f t="shared" si="34"/>
        <v>269.50915104901367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1.4734678678582593</v>
      </c>
      <c r="AA60" s="21">
        <f>EXP(-LN(2)/25)*AA59+(1-EXP(-LN(2)/25))/(LN(2)/25)*Calculateur!V60*Calculateur!X60*VLOOKUP('Données projet'!$B$9,Paramètres!$A$1:$I$89,3,0)*0.475*44/12</f>
        <v>6.1450742068246775</v>
      </c>
      <c r="AB60" s="21">
        <f>EXP(-LN(2)/2)*AB59+(1-EXP(-LN(2)/2))/(LN(2)/2)*V60*Y60*VLOOKUP('Données projet'!$B$9,Paramètres!$A$1:$I$89,3,0)*0.475*44/12</f>
        <v>1.1892203887230288E-4</v>
      </c>
      <c r="AC60" s="22">
        <f t="shared" si="3"/>
        <v>7.6186609967218093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</v>
      </c>
      <c r="AI60" s="13">
        <f>IF('Données projet'!$A$62&gt;35,AI59+AH60-AQ59,IF(A60&lt;'Données projet'!$A$62,$AF$205^A60,IF(A60='Données projet'!$A$62,'Données projet'!$B$62,AI59+AH60-AQ59)))</f>
        <v>453.99999999999972</v>
      </c>
      <c r="AJ60" s="13">
        <f>AI60*VLOOKUP('Données projet'!$B$10,Paramètres!$A$1:$I$89,3,0)*VLOOKUP('Données projet'!$B$10,Paramètres!$A$1:$I$89,5,0)</f>
        <v>271.49199999999985</v>
      </c>
      <c r="AK60" s="13">
        <f t="shared" si="35"/>
        <v>65.165807717935309</v>
      </c>
      <c r="AL60" s="20">
        <f t="shared" si="4"/>
        <v>586.3456817754037</v>
      </c>
      <c r="AM60" s="59">
        <f t="shared" si="5"/>
        <v>879.67901510873708</v>
      </c>
      <c r="AN60" s="59">
        <f ca="1">AVERAGE(OFFSET($AM$3,0,0,'Données projet'!$E$10+1,1))-AVERAGE(OFFSET($H$3,0,0,'Données projet'!$E$10+1,1))</f>
        <v>316.58509520829671</v>
      </c>
      <c r="AO60" s="59">
        <f t="shared" si="36"/>
        <v>240.71332110643596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1.4848318114098291</v>
      </c>
      <c r="AV60" s="21">
        <f>EXP(-LN(2)/25)*AV59+(1-EXP(-LN(2)/25))/(LN(2)/25)*Calculateur!AQ60*Calculateur!AS60*VLOOKUP('Données projet'!$B$10,Paramètres!$A$1:$I$89,3,0)*0.475*44/12</f>
        <v>7.2221694118327298</v>
      </c>
      <c r="AW60" s="21">
        <f>EXP(-LN(2)/2)*AW59+(1-EXP(-LN(2)/2))/(LN(2)/2)*AQ60*AT60*VLOOKUP('Données projet'!$B$10,Paramètres!$A$1:$I$89,3,0)*0.475*44/12</f>
        <v>1.893732697714193E-3</v>
      </c>
      <c r="AX60" s="21">
        <f t="shared" si="6"/>
        <v>8.7088949559402735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7.9</v>
      </c>
      <c r="BD60" s="12">
        <f>IF('Données projet'!$A$88&gt;35,BD59+BC60-BL59,IF(A60&lt;'Données projet'!$A$88,$BA$205^A60,IF(A60='Données projet'!$A$88,'Données projet'!$B$88,BD59+BC60-BL59)))</f>
        <v>337.29999999999984</v>
      </c>
      <c r="BE60" s="13">
        <f>BD60*VLOOKUP('Données projet'!$B$11,Paramètres!$A$1:$I$89,3,0)*VLOOKUP('Données projet'!$B$11,Paramètres!$A$1:$I$89,5,0)</f>
        <v>268.35587999999984</v>
      </c>
      <c r="BF60" s="13">
        <f t="shared" si="37"/>
        <v>64.50022158961194</v>
      </c>
      <c r="BG60" s="20">
        <f t="shared" si="7"/>
        <v>579.72437693524057</v>
      </c>
      <c r="BH60" s="59">
        <f t="shared" si="8"/>
        <v>873.05771026857383</v>
      </c>
      <c r="BI60" s="59">
        <f ca="1">AVERAGE(OFFSET($BH$3,0,0,'Données projet'!$E$11+1,1))-AVERAGE(OFFSET($H$3,0,0,'Données projet'!$E$11+1,1))</f>
        <v>314.94704727988847</v>
      </c>
      <c r="BJ60" s="59">
        <f t="shared" si="38"/>
        <v>366.49199094166454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2.2938969343690858</v>
      </c>
      <c r="BQ60" s="21">
        <f>EXP(-LN(2)/25)*BQ59+(1-EXP(-LN(2)/25))/(LN(2)/25)*Calculateur!BL60*Calculateur!BN60*VLOOKUP('Données projet'!$B$11,Paramètres!$A$1:$I$89,3,0)*0.475*44/12</f>
        <v>12.018192644456555</v>
      </c>
      <c r="BR60" s="21">
        <f>EXP(-LN(2)/2)*BR59+(1-EXP(-LN(2)/2))/(LN(2)/2)*BL60*BO60*VLOOKUP('Données projet'!$B$11,Paramètres!$A$1:$I$89,3,0)*0.475*44/12</f>
        <v>2.4918985539466171E-3</v>
      </c>
      <c r="BS60" s="22">
        <f t="shared" si="9"/>
        <v>14.314581477379587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7.9</v>
      </c>
      <c r="BY60" s="12">
        <f>IF('Données projet'!$A$114&gt;35,BY59+BX60-CG59,IF(A60&lt;'Données projet'!$A$114,$BV$205^A60,IF(A60='Données projet'!$A$114,'Données projet'!$B$114,BY59+BX60-CG59)))</f>
        <v>337.29999999999984</v>
      </c>
      <c r="BZ60" s="13">
        <f>BY60*VLOOKUP('Données projet'!$B$12,Paramètres!$A$1:$I$89,3,0)*VLOOKUP('Données projet'!$B$12,Paramètres!$A$1:$I$89,5,0)</f>
        <v>268.35587999999984</v>
      </c>
      <c r="CA60" s="13">
        <f t="shared" si="39"/>
        <v>64.50022158961194</v>
      </c>
      <c r="CB60" s="20">
        <f t="shared" si="10"/>
        <v>579.72437693524057</v>
      </c>
      <c r="CC60" s="59">
        <f t="shared" si="11"/>
        <v>873.05771026857383</v>
      </c>
      <c r="CD60" s="59">
        <f ca="1">AVERAGE(OFFSET($CC$3,0,0,'Données projet'!$E$12+1,1))-AVERAGE(OFFSET($H$3,0,0,'Données projet'!$E$12+1,1))</f>
        <v>314.94704727988847</v>
      </c>
      <c r="CE60" s="59">
        <f t="shared" si="40"/>
        <v>366.49199094166454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2.2938969343690858</v>
      </c>
      <c r="CL60" s="21">
        <f>EXP(-LN(2)/25)*CL59+(1-EXP(-LN(2)/25))/(LN(2)/25)*Calculateur!CG60*Calculateur!CI60*VLOOKUP('Données projet'!$B$12,Paramètres!$A$1:$I$89,3,0)*0.475*44/12</f>
        <v>12.018192644456555</v>
      </c>
      <c r="CM60" s="21">
        <f>EXP(-LN(2)/2)*CM59+(1-EXP(-LN(2)/2))/(LN(2)/2)*CG60*CJ60*VLOOKUP('Données projet'!$B$12,Paramètres!$A$1:$I$89,3,0)*0.475*44/12</f>
        <v>2.4918985539466171E-3</v>
      </c>
      <c r="CN60" s="22">
        <f t="shared" si="12"/>
        <v>14.314581477379587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8.374198717948719</v>
      </c>
      <c r="CT60" s="12">
        <f>IF('Données projet'!$A$140&gt;35,CT59+CS60-DB59,IF(A60&lt;'Données projet'!$A$140,$CQ$205^A60,IF(A60='Données projet'!$A$140,'Données projet'!$B$140,CT59+CS60-DB59)))</f>
        <v>170.04326923076923</v>
      </c>
      <c r="CU60" s="17">
        <f>CT60*VLOOKUP('Données projet'!$B$13,Paramètres!$A$1:$I$89,3,0)*VLOOKUP('Données projet'!$B$13,Paramètres!$A$1:$I$89,5,0)</f>
        <v>153.85514999999998</v>
      </c>
      <c r="CV60" s="13">
        <f t="shared" si="41"/>
        <v>39.453384193994481</v>
      </c>
      <c r="CW60" s="20">
        <f t="shared" si="13"/>
        <v>336.67903038787364</v>
      </c>
      <c r="CX60" s="59">
        <f t="shared" si="14"/>
        <v>630.01236372120695</v>
      </c>
      <c r="CY60" s="59">
        <f ca="1">AVERAGE(OFFSET($CX$3,0,0,'Données projet'!$E$13+1,1))-AVERAGE(OFFSET($H$3,0,0,'Données projet'!$E$13+1,1))</f>
        <v>221.7429870520005</v>
      </c>
      <c r="CZ60" s="59">
        <f t="shared" si="42"/>
        <v>182.2029938397186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-1.0345502232667058E-13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199.01551760562705</v>
      </c>
      <c r="T61" s="59">
        <f t="shared" si="34"/>
        <v>269.50915104901367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1.4445740616962164</v>
      </c>
      <c r="AA61" s="21">
        <f>EXP(-LN(2)/25)*AA60+(1-EXP(-LN(2)/25))/(LN(2)/25)*Calculateur!V61*Calculateur!X61*VLOOKUP('Données projet'!$B$9,Paramètres!$A$1:$I$89,3,0)*0.475*44/12</f>
        <v>5.9770368294836489</v>
      </c>
      <c r="AB61" s="21">
        <f>EXP(-LN(2)/2)*AB60+(1-EXP(-LN(2)/2))/(LN(2)/2)*V61*Y61*VLOOKUP('Données projet'!$B$9,Paramètres!$A$1:$I$89,3,0)*0.475*44/12</f>
        <v>8.409058011913558E-5</v>
      </c>
      <c r="AC61" s="22">
        <f t="shared" si="3"/>
        <v>7.421694981759984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</v>
      </c>
      <c r="AI61" s="13">
        <f>IF('Données projet'!$A$62&gt;35,AI60+AH61-AQ60,IF(A61&lt;'Données projet'!$A$62,$AF$205^A61,IF(A61='Données projet'!$A$62,'Données projet'!$B$62,AI60+AH61-AQ60)))</f>
        <v>471.99999999999972</v>
      </c>
      <c r="AJ61" s="13">
        <f>AI61*VLOOKUP('Données projet'!$B$10,Paramètres!$A$1:$I$89,3,0)*VLOOKUP('Données projet'!$B$10,Paramètres!$A$1:$I$89,5,0)</f>
        <v>282.25599999999986</v>
      </c>
      <c r="AK61" s="13">
        <f t="shared" si="35"/>
        <v>67.443543636985055</v>
      </c>
      <c r="AL61" s="20">
        <f t="shared" si="4"/>
        <v>609.06003850108198</v>
      </c>
      <c r="AM61" s="59">
        <f t="shared" si="5"/>
        <v>902.39337183441535</v>
      </c>
      <c r="AN61" s="59">
        <f ca="1">AVERAGE(OFFSET($AM$3,0,0,'Données projet'!$E$10+1,1))-AVERAGE(OFFSET($H$3,0,0,'Données projet'!$E$10+1,1))</f>
        <v>316.58509520829671</v>
      </c>
      <c r="AO61" s="59">
        <f t="shared" si="36"/>
        <v>240.71332110643596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1.4557151652460609</v>
      </c>
      <c r="AV61" s="21">
        <f>EXP(-LN(2)/25)*AV60+(1-EXP(-LN(2)/25))/(LN(2)/25)*Calculateur!AQ61*Calculateur!AS61*VLOOKUP('Données projet'!$B$10,Paramètres!$A$1:$I$89,3,0)*0.475*44/12</f>
        <v>7.0246788094687806</v>
      </c>
      <c r="AW61" s="21">
        <f>EXP(-LN(2)/2)*AW60+(1-EXP(-LN(2)/2))/(LN(2)/2)*AQ61*AT61*VLOOKUP('Données projet'!$B$10,Paramètres!$A$1:$I$89,3,0)*0.475*44/12</f>
        <v>1.3390712323084004E-3</v>
      </c>
      <c r="AX61" s="21">
        <f t="shared" si="6"/>
        <v>8.4817330459471503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7.9</v>
      </c>
      <c r="BD61" s="12">
        <f>IF('Données projet'!$A$88&gt;35,BD60+BC61-BL60,IF(A61&lt;'Données projet'!$A$88,$BA$205^A61,IF(A61='Données projet'!$A$88,'Données projet'!$B$88,BD60+BC61-BL60)))</f>
        <v>345.19999999999982</v>
      </c>
      <c r="BE61" s="13">
        <f>BD61*VLOOKUP('Données projet'!$B$11,Paramètres!$A$1:$I$89,3,0)*VLOOKUP('Données projet'!$B$11,Paramètres!$A$1:$I$89,5,0)</f>
        <v>274.64111999999989</v>
      </c>
      <c r="BF61" s="13">
        <f t="shared" si="37"/>
        <v>65.833252956609641</v>
      </c>
      <c r="BG61" s="20">
        <f t="shared" si="7"/>
        <v>592.99286623276146</v>
      </c>
      <c r="BH61" s="59">
        <f t="shared" si="8"/>
        <v>886.32619956609483</v>
      </c>
      <c r="BI61" s="59">
        <f ca="1">AVERAGE(OFFSET($BH$3,0,0,'Données projet'!$E$11+1,1))-AVERAGE(OFFSET($H$3,0,0,'Données projet'!$E$11+1,1))</f>
        <v>314.94704727988847</v>
      </c>
      <c r="BJ61" s="59">
        <f t="shared" si="38"/>
        <v>366.49199094166454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2.2489150146250845</v>
      </c>
      <c r="BQ61" s="21">
        <f>EXP(-LN(2)/25)*BQ60+(1-EXP(-LN(2)/25))/(LN(2)/25)*Calculateur!BL61*Calculateur!BN61*VLOOKUP('Données projet'!$B$11,Paramètres!$A$1:$I$89,3,0)*0.475*44/12</f>
        <v>11.689554534584607</v>
      </c>
      <c r="BR61" s="21">
        <f>EXP(-LN(2)/2)*BR60+(1-EXP(-LN(2)/2))/(LN(2)/2)*BL61*BO61*VLOOKUP('Données projet'!$B$11,Paramètres!$A$1:$I$89,3,0)*0.475*44/12</f>
        <v>1.7620383655246048E-3</v>
      </c>
      <c r="BS61" s="22">
        <f t="shared" si="9"/>
        <v>13.940231587575218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7.9</v>
      </c>
      <c r="BY61" s="12">
        <f>IF('Données projet'!$A$114&gt;35,BY60+BX61-CG60,IF(A61&lt;'Données projet'!$A$114,$BV$205^A61,IF(A61='Données projet'!$A$114,'Données projet'!$B$114,BY60+BX61-CG60)))</f>
        <v>345.19999999999982</v>
      </c>
      <c r="BZ61" s="13">
        <f>BY61*VLOOKUP('Données projet'!$B$12,Paramètres!$A$1:$I$89,3,0)*VLOOKUP('Données projet'!$B$12,Paramètres!$A$1:$I$89,5,0)</f>
        <v>274.64111999999989</v>
      </c>
      <c r="CA61" s="13">
        <f t="shared" si="39"/>
        <v>65.833252956609641</v>
      </c>
      <c r="CB61" s="20">
        <f t="shared" si="10"/>
        <v>592.99286623276146</v>
      </c>
      <c r="CC61" s="59">
        <f t="shared" si="11"/>
        <v>886.32619956609483</v>
      </c>
      <c r="CD61" s="59">
        <f ca="1">AVERAGE(OFFSET($CC$3,0,0,'Données projet'!$E$12+1,1))-AVERAGE(OFFSET($H$3,0,0,'Données projet'!$E$12+1,1))</f>
        <v>314.94704727988847</v>
      </c>
      <c r="CE61" s="59">
        <f t="shared" si="40"/>
        <v>366.49199094166454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2.2489150146250845</v>
      </c>
      <c r="CL61" s="21">
        <f>EXP(-LN(2)/25)*CL60+(1-EXP(-LN(2)/25))/(LN(2)/25)*Calculateur!CG61*Calculateur!CI61*VLOOKUP('Données projet'!$B$12,Paramètres!$A$1:$I$89,3,0)*0.475*44/12</f>
        <v>11.689554534584607</v>
      </c>
      <c r="CM61" s="21">
        <f>EXP(-LN(2)/2)*CM60+(1-EXP(-LN(2)/2))/(LN(2)/2)*CG61*CJ61*VLOOKUP('Données projet'!$B$12,Paramètres!$A$1:$I$89,3,0)*0.475*44/12</f>
        <v>1.7620383655246048E-3</v>
      </c>
      <c r="CN61" s="22">
        <f t="shared" si="12"/>
        <v>13.940231587575218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8.374198717948719</v>
      </c>
      <c r="CT61" s="12">
        <f>IF('Données projet'!$A$140&gt;35,CT60+CS61-DB60,IF(A61&lt;'Données projet'!$A$140,$CQ$205^A61,IF(A61='Données projet'!$A$140,'Données projet'!$B$140,CT60+CS61-DB60)))</f>
        <v>178.41746794871796</v>
      </c>
      <c r="CU61" s="17">
        <f>CT61*VLOOKUP('Données projet'!$B$13,Paramètres!$A$1:$I$89,3,0)*VLOOKUP('Données projet'!$B$13,Paramètres!$A$1:$I$89,5,0)</f>
        <v>161.43212499999998</v>
      </c>
      <c r="CV61" s="13">
        <f t="shared" si="41"/>
        <v>41.165367483374254</v>
      </c>
      <c r="CW61" s="20">
        <f t="shared" si="13"/>
        <v>352.85729940854344</v>
      </c>
      <c r="CX61" s="59">
        <f t="shared" si="14"/>
        <v>646.1906327418767</v>
      </c>
      <c r="CY61" s="59">
        <f ca="1">AVERAGE(OFFSET($CX$3,0,0,'Données projet'!$E$13+1,1))-AVERAGE(OFFSET($H$3,0,0,'Données projet'!$E$13+1,1))</f>
        <v>221.7429870520005</v>
      </c>
      <c r="CZ61" s="59">
        <f t="shared" si="42"/>
        <v>182.2029938397186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-1.0345502232667058E-13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199.01551760562705</v>
      </c>
      <c r="T62" s="59">
        <f t="shared" si="34"/>
        <v>269.50915104901367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1.4162468454495296</v>
      </c>
      <c r="AA62" s="21">
        <f>EXP(-LN(2)/25)*AA61+(1-EXP(-LN(2)/25))/(LN(2)/25)*Calculateur!V62*Calculateur!X62*VLOOKUP('Données projet'!$B$9,Paramètres!$A$1:$I$89,3,0)*0.475*44/12</f>
        <v>5.813594443062712</v>
      </c>
      <c r="AB62" s="21">
        <f>EXP(-LN(2)/2)*AB61+(1-EXP(-LN(2)/2))/(LN(2)/2)*V62*Y62*VLOOKUP('Données projet'!$B$9,Paramètres!$A$1:$I$89,3,0)*0.475*44/12</f>
        <v>5.9461019436151451E-5</v>
      </c>
      <c r="AC62" s="22">
        <f t="shared" si="3"/>
        <v>7.2299007495316783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</v>
      </c>
      <c r="AI62" s="13">
        <f>IF('Données projet'!$A$62&gt;35,AI61+AH62-AQ61,IF(A62&lt;'Données projet'!$A$62,$AF$205^A62,IF(A62='Données projet'!$A$62,'Données projet'!$B$62,AI61+AH62-AQ61)))</f>
        <v>489.99999999999972</v>
      </c>
      <c r="AJ62" s="13">
        <f>AI62*VLOOKUP('Données projet'!$B$10,Paramètres!$A$1:$I$89,3,0)*VLOOKUP('Données projet'!$B$10,Paramètres!$A$1:$I$89,5,0)</f>
        <v>293.01999999999987</v>
      </c>
      <c r="AK62" s="13">
        <f t="shared" si="35"/>
        <v>69.711188549176683</v>
      </c>
      <c r="AL62" s="20">
        <f t="shared" si="4"/>
        <v>631.75682005648241</v>
      </c>
      <c r="AM62" s="59">
        <f t="shared" si="5"/>
        <v>925.09015338981567</v>
      </c>
      <c r="AN62" s="59">
        <f ca="1">AVERAGE(OFFSET($AM$3,0,0,'Données projet'!$E$10+1,1))-AVERAGE(OFFSET($H$3,0,0,'Données projet'!$E$10+1,1))</f>
        <v>316.58509520829671</v>
      </c>
      <c r="AO62" s="59">
        <f t="shared" si="36"/>
        <v>240.71332110643596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1.4271694787541638</v>
      </c>
      <c r="AV62" s="21">
        <f>EXP(-LN(2)/25)*AV61+(1-EXP(-LN(2)/25))/(LN(2)/25)*Calculateur!AQ62*Calculateur!AS62*VLOOKUP('Données projet'!$B$10,Paramètres!$A$1:$I$89,3,0)*0.475*44/12</f>
        <v>6.8325885980120535</v>
      </c>
      <c r="AW62" s="21">
        <f>EXP(-LN(2)/2)*AW61+(1-EXP(-LN(2)/2))/(LN(2)/2)*AQ62*AT62*VLOOKUP('Données projet'!$B$10,Paramètres!$A$1:$I$89,3,0)*0.475*44/12</f>
        <v>9.4686634885709673E-4</v>
      </c>
      <c r="AX62" s="21">
        <f t="shared" si="6"/>
        <v>8.2607049431150745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7.9</v>
      </c>
      <c r="BD62" s="12">
        <f>IF('Données projet'!$A$88&gt;35,BD61+BC62-BL61,IF(A62&lt;'Données projet'!$A$88,$BA$205^A62,IF(A62='Données projet'!$A$88,'Données projet'!$B$88,BD61+BC62-BL61)))</f>
        <v>353.0999999999998</v>
      </c>
      <c r="BE62" s="13">
        <f>BD62*VLOOKUP('Données projet'!$B$11,Paramètres!$A$1:$I$89,3,0)*VLOOKUP('Données projet'!$B$11,Paramètres!$A$1:$I$89,5,0)</f>
        <v>280.92635999999987</v>
      </c>
      <c r="BF62" s="13">
        <f t="shared" si="37"/>
        <v>67.162737730188837</v>
      </c>
      <c r="BG62" s="20">
        <f t="shared" si="7"/>
        <v>606.25517854674536</v>
      </c>
      <c r="BH62" s="59">
        <f t="shared" si="8"/>
        <v>899.58851188007861</v>
      </c>
      <c r="BI62" s="59">
        <f ca="1">AVERAGE(OFFSET($BH$3,0,0,'Données projet'!$E$11+1,1))-AVERAGE(OFFSET($H$3,0,0,'Données projet'!$E$11+1,1))</f>
        <v>314.94704727988847</v>
      </c>
      <c r="BJ62" s="59">
        <f t="shared" si="38"/>
        <v>366.49199094166454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2.2048151628910011</v>
      </c>
      <c r="BQ62" s="21">
        <f>EXP(-LN(2)/25)*BQ61+(1-EXP(-LN(2)/25))/(LN(2)/25)*Calculateur!BL62*Calculateur!BN62*VLOOKUP('Données projet'!$B$11,Paramètres!$A$1:$I$89,3,0)*0.475*44/12</f>
        <v>11.369903051109436</v>
      </c>
      <c r="BR62" s="21">
        <f>EXP(-LN(2)/2)*BR61+(1-EXP(-LN(2)/2))/(LN(2)/2)*BL62*BO62*VLOOKUP('Données projet'!$B$11,Paramètres!$A$1:$I$89,3,0)*0.475*44/12</f>
        <v>1.2459492769733085E-3</v>
      </c>
      <c r="BS62" s="22">
        <f t="shared" si="9"/>
        <v>13.57596416327741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7.9</v>
      </c>
      <c r="BY62" s="12">
        <f>IF('Données projet'!$A$114&gt;35,BY61+BX62-CG61,IF(A62&lt;'Données projet'!$A$114,$BV$205^A62,IF(A62='Données projet'!$A$114,'Données projet'!$B$114,BY61+BX62-CG61)))</f>
        <v>353.0999999999998</v>
      </c>
      <c r="BZ62" s="13">
        <f>BY62*VLOOKUP('Données projet'!$B$12,Paramètres!$A$1:$I$89,3,0)*VLOOKUP('Données projet'!$B$12,Paramètres!$A$1:$I$89,5,0)</f>
        <v>280.92635999999987</v>
      </c>
      <c r="CA62" s="13">
        <f t="shared" si="39"/>
        <v>67.162737730188837</v>
      </c>
      <c r="CB62" s="20">
        <f t="shared" si="10"/>
        <v>606.25517854674536</v>
      </c>
      <c r="CC62" s="59">
        <f t="shared" si="11"/>
        <v>899.58851188007861</v>
      </c>
      <c r="CD62" s="59">
        <f ca="1">AVERAGE(OFFSET($CC$3,0,0,'Données projet'!$E$12+1,1))-AVERAGE(OFFSET($H$3,0,0,'Données projet'!$E$12+1,1))</f>
        <v>314.94704727988847</v>
      </c>
      <c r="CE62" s="59">
        <f t="shared" si="40"/>
        <v>366.49199094166454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2.2048151628910011</v>
      </c>
      <c r="CL62" s="21">
        <f>EXP(-LN(2)/25)*CL61+(1-EXP(-LN(2)/25))/(LN(2)/25)*Calculateur!CG62*Calculateur!CI62*VLOOKUP('Données projet'!$B$12,Paramètres!$A$1:$I$89,3,0)*0.475*44/12</f>
        <v>11.369903051109436</v>
      </c>
      <c r="CM62" s="21">
        <f>EXP(-LN(2)/2)*CM61+(1-EXP(-LN(2)/2))/(LN(2)/2)*CG62*CJ62*VLOOKUP('Données projet'!$B$12,Paramètres!$A$1:$I$89,3,0)*0.475*44/12</f>
        <v>1.2459492769733085E-3</v>
      </c>
      <c r="CN62" s="22">
        <f t="shared" si="12"/>
        <v>13.57596416327741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8.374198717948719</v>
      </c>
      <c r="CT62" s="12">
        <f>IF('Données projet'!$A$140&gt;35,CT61+CS62-DB61,IF(A62&lt;'Données projet'!$A$140,$CQ$205^A62,IF(A62='Données projet'!$A$140,'Données projet'!$B$140,CT61+CS62-DB61)))</f>
        <v>186.79166666666669</v>
      </c>
      <c r="CU62" s="17">
        <f>CT62*VLOOKUP('Données projet'!$B$13,Paramètres!$A$1:$I$89,3,0)*VLOOKUP('Données projet'!$B$13,Paramètres!$A$1:$I$89,5,0)</f>
        <v>169.00910000000002</v>
      </c>
      <c r="CV62" s="13">
        <f t="shared" si="41"/>
        <v>42.868019497909927</v>
      </c>
      <c r="CW62" s="20">
        <f t="shared" si="13"/>
        <v>369.01931645885975</v>
      </c>
      <c r="CX62" s="59">
        <f t="shared" si="14"/>
        <v>662.35264979219301</v>
      </c>
      <c r="CY62" s="59">
        <f ca="1">AVERAGE(OFFSET($CX$3,0,0,'Données projet'!$E$13+1,1))-AVERAGE(OFFSET($H$3,0,0,'Données projet'!$E$13+1,1))</f>
        <v>221.7429870520005</v>
      </c>
      <c r="CZ62" s="59">
        <f t="shared" si="42"/>
        <v>182.2029938397186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-1.0345502232667058E-13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199.01551760562705</v>
      </c>
      <c r="T63" s="59">
        <f t="shared" si="34"/>
        <v>269.50915104901367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1.3884751086355445</v>
      </c>
      <c r="AA63" s="21">
        <f>EXP(-LN(2)/25)*AA62+(1-EXP(-LN(2)/25))/(LN(2)/25)*Calculateur!V63*Calculateur!X63*VLOOKUP('Données projet'!$B$9,Paramètres!$A$1:$I$89,3,0)*0.475*44/12</f>
        <v>5.6546213972935178</v>
      </c>
      <c r="AB63" s="21">
        <f>EXP(-LN(2)/2)*AB62+(1-EXP(-LN(2)/2))/(LN(2)/2)*V63*Y63*VLOOKUP('Données projet'!$B$9,Paramètres!$A$1:$I$89,3,0)*0.475*44/12</f>
        <v>4.2045290059567797E-5</v>
      </c>
      <c r="AC63" s="22">
        <f t="shared" si="3"/>
        <v>7.0431385512191218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508</v>
      </c>
      <c r="AG63" s="12">
        <f>VLOOKUP(A63,'Données projet'!$A$61:$I$81,9,0)</f>
        <v>18</v>
      </c>
      <c r="AH63" s="12">
        <f t="array" ref="AH63">INDEX(AG:AG,MIN(IF(ISNUMBER(AG63:AG259),ROW(AG63:AG259),"")))</f>
        <v>18</v>
      </c>
      <c r="AI63" s="13">
        <f>IF('Données projet'!$A$62&gt;35,AI62+AH63-AQ62,IF(A63&lt;'Données projet'!$A$62,$AF$205^A63,IF(A63='Données projet'!$A$62,'Données projet'!$B$62,AI62+AH63-AQ62)))</f>
        <v>507.99999999999972</v>
      </c>
      <c r="AJ63" s="13">
        <f>AI63*VLOOKUP('Données projet'!$B$10,Paramètres!$A$1:$I$89,3,0)*VLOOKUP('Données projet'!$B$10,Paramètres!$A$1:$I$89,5,0)</f>
        <v>303.78399999999988</v>
      </c>
      <c r="AK63" s="13">
        <f t="shared" si="35"/>
        <v>71.969155598417572</v>
      </c>
      <c r="AL63" s="20">
        <f t="shared" si="4"/>
        <v>654.43674600057705</v>
      </c>
      <c r="AM63" s="59">
        <f t="shared" si="5"/>
        <v>947.77007933391042</v>
      </c>
      <c r="AN63" s="59">
        <f ca="1">AVERAGE(OFFSET($AM$3,0,0,'Données projet'!$E$10+1,1))-AVERAGE(OFFSET($H$3,0,0,'Données projet'!$E$10+1,1))</f>
        <v>316.58509520829671</v>
      </c>
      <c r="AO63" s="59">
        <f t="shared" si="36"/>
        <v>240.71332110643596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108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1.3991835557632231</v>
      </c>
      <c r="AV63" s="21">
        <f>EXP(-LN(2)/25)*AV62+(1-EXP(-LN(2)/25))/(LN(2)/25)*Calculateur!AQ63*Calculateur!AS63*VLOOKUP('Données projet'!$B$10,Paramètres!$A$1:$I$89,3,0)*0.475*44/12</f>
        <v>6.6457511034891956</v>
      </c>
      <c r="AW63" s="21">
        <f>EXP(-LN(2)/2)*AW62+(1-EXP(-LN(2)/2))/(LN(2)/2)*AQ63*AT63*VLOOKUP('Données projet'!$B$10,Paramètres!$A$1:$I$89,3,0)*0.475*44/12</f>
        <v>6.6953561615420033E-4</v>
      </c>
      <c r="AX63" s="21">
        <f t="shared" si="6"/>
        <v>8.0456041948685737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361</v>
      </c>
      <c r="BB63" s="12">
        <f>VLOOKUP(A63,'Données projet'!$A$87:$I$107,9,0)</f>
        <v>7.9</v>
      </c>
      <c r="BC63" s="12">
        <f t="array" ref="BC63">INDEX(BB:BB,MIN(IF(ISNUMBER(BB63:BB259),ROW(BB63:BB259),"")))</f>
        <v>7.9</v>
      </c>
      <c r="BD63" s="12">
        <f>IF('Données projet'!$A$88&gt;35,BD62+BC63-BL62,IF(A63&lt;'Données projet'!$A$88,$BA$205^A63,IF(A63='Données projet'!$A$88,'Données projet'!$B$88,BD62+BC63-BL62)))</f>
        <v>360.99999999999977</v>
      </c>
      <c r="BE63" s="13">
        <f>BD63*VLOOKUP('Données projet'!$B$11,Paramètres!$A$1:$I$89,3,0)*VLOOKUP('Données projet'!$B$11,Paramètres!$A$1:$I$89,5,0)</f>
        <v>287.21159999999986</v>
      </c>
      <c r="BF63" s="13">
        <f t="shared" si="37"/>
        <v>68.488764395100958</v>
      </c>
      <c r="BG63" s="20">
        <f t="shared" si="7"/>
        <v>619.51146798813386</v>
      </c>
      <c r="BH63" s="59">
        <f t="shared" si="8"/>
        <v>912.84480132146723</v>
      </c>
      <c r="BI63" s="59">
        <f ca="1">AVERAGE(OFFSET($BH$3,0,0,'Données projet'!$E$11+1,1))-AVERAGE(OFFSET($H$3,0,0,'Données projet'!$E$11+1,1))</f>
        <v>314.94704727988847</v>
      </c>
      <c r="BJ63" s="59">
        <f t="shared" si="38"/>
        <v>366.49199094166454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2.1615800823511697</v>
      </c>
      <c r="BQ63" s="21">
        <f>EXP(-LN(2)/25)*BQ62+(1-EXP(-LN(2)/25))/(LN(2)/25)*Calculateur!BL63*Calculateur!BN63*VLOOKUP('Données projet'!$B$11,Paramètres!$A$1:$I$89,3,0)*0.475*44/12</f>
        <v>11.058992454259633</v>
      </c>
      <c r="BR63" s="21">
        <f>EXP(-LN(2)/2)*BR62+(1-EXP(-LN(2)/2))/(LN(2)/2)*BL63*BO63*VLOOKUP('Données projet'!$B$11,Paramètres!$A$1:$I$89,3,0)*0.475*44/12</f>
        <v>8.8101918276230239E-4</v>
      </c>
      <c r="BS63" s="22">
        <f t="shared" si="9"/>
        <v>13.221453555793564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361</v>
      </c>
      <c r="BW63" s="12">
        <f>VLOOKUP(A63,'Données projet'!$A$113:$I$133,9,0)</f>
        <v>7.9</v>
      </c>
      <c r="BX63" s="12">
        <f t="array" ref="BX63">INDEX(BW:BW,MIN(IF(ISNUMBER(BW63:BW259),ROW(BW63:BW259),"")))</f>
        <v>7.9</v>
      </c>
      <c r="BY63" s="12">
        <f>IF('Données projet'!$A$114&gt;35,BY62+BX63-CG62,IF(A63&lt;'Données projet'!$A$114,$BV$205^A63,IF(A63='Données projet'!$A$114,'Données projet'!$B$114,BY62+BX63-CG62)))</f>
        <v>360.99999999999977</v>
      </c>
      <c r="BZ63" s="13">
        <f>BY63*VLOOKUP('Données projet'!$B$12,Paramètres!$A$1:$I$89,3,0)*VLOOKUP('Données projet'!$B$12,Paramètres!$A$1:$I$89,5,0)</f>
        <v>287.21159999999986</v>
      </c>
      <c r="CA63" s="13">
        <f t="shared" si="39"/>
        <v>68.488764395100958</v>
      </c>
      <c r="CB63" s="20">
        <f t="shared" si="10"/>
        <v>619.51146798813386</v>
      </c>
      <c r="CC63" s="59">
        <f t="shared" si="11"/>
        <v>912.84480132146723</v>
      </c>
      <c r="CD63" s="59">
        <f ca="1">AVERAGE(OFFSET($CC$3,0,0,'Données projet'!$E$12+1,1))-AVERAGE(OFFSET($H$3,0,0,'Données projet'!$E$12+1,1))</f>
        <v>314.94704727988847</v>
      </c>
      <c r="CE63" s="59">
        <f t="shared" si="40"/>
        <v>366.49199094166454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35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2.1615800823511697</v>
      </c>
      <c r="CL63" s="21">
        <f>EXP(-LN(2)/25)*CL62+(1-EXP(-LN(2)/25))/(LN(2)/25)*Calculateur!CG63*Calculateur!CI63*VLOOKUP('Données projet'!$B$12,Paramètres!$A$1:$I$89,3,0)*0.475*44/12</f>
        <v>11.058992454259633</v>
      </c>
      <c r="CM63" s="21">
        <f>EXP(-LN(2)/2)*CM62+(1-EXP(-LN(2)/2))/(LN(2)/2)*CG63*CJ63*VLOOKUP('Données projet'!$B$12,Paramètres!$A$1:$I$89,3,0)*0.475*44/12</f>
        <v>8.8101918276230239E-4</v>
      </c>
      <c r="CN63" s="22">
        <f t="shared" si="12"/>
        <v>13.221453555793564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8.374198717948719</v>
      </c>
      <c r="CT63" s="12">
        <f>IF('Données projet'!$A$140&gt;35,CT62+CS63-DB62,IF(A63&lt;'Données projet'!$A$140,$CQ$205^A63,IF(A63='Données projet'!$A$140,'Données projet'!$B$140,CT62+CS63-DB62)))</f>
        <v>195.16586538461542</v>
      </c>
      <c r="CU63" s="17">
        <f>CT63*VLOOKUP('Données projet'!$B$13,Paramètres!$A$1:$I$89,3,0)*VLOOKUP('Données projet'!$B$13,Paramètres!$A$1:$I$89,5,0)</f>
        <v>176.58607500000002</v>
      </c>
      <c r="CV63" s="13">
        <f t="shared" si="41"/>
        <v>44.561806372041332</v>
      </c>
      <c r="CW63" s="20">
        <f t="shared" si="13"/>
        <v>385.16589338963871</v>
      </c>
      <c r="CX63" s="59">
        <f t="shared" si="14"/>
        <v>678.49922672297203</v>
      </c>
      <c r="CY63" s="59">
        <f ca="1">AVERAGE(OFFSET($CX$3,0,0,'Données projet'!$E$13+1,1))-AVERAGE(OFFSET($H$3,0,0,'Données projet'!$E$13+1,1))</f>
        <v>221.7429870520005</v>
      </c>
      <c r="CZ63" s="59">
        <f t="shared" si="42"/>
        <v>182.2029938397186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-1.0345502232667058E-13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199.01551760562705</v>
      </c>
      <c r="T64" s="59">
        <f t="shared" si="34"/>
        <v>269.50915104901367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1.3612479586413946</v>
      </c>
      <c r="AA64" s="21">
        <f>EXP(-LN(2)/25)*AA63+(1-EXP(-LN(2)/25))/(LN(2)/25)*Calculateur!V64*Calculateur!X64*VLOOKUP('Données projet'!$B$9,Paramètres!$A$1:$I$89,3,0)*0.475*44/12</f>
        <v>5.499995477820911</v>
      </c>
      <c r="AB64" s="21">
        <f>EXP(-LN(2)/2)*AB63+(1-EXP(-LN(2)/2))/(LN(2)/2)*V64*Y64*VLOOKUP('Données projet'!$B$9,Paramètres!$A$1:$I$89,3,0)*0.475*44/12</f>
        <v>2.9730509718075729E-5</v>
      </c>
      <c r="AC64" s="22">
        <f t="shared" si="3"/>
        <v>6.8612731669720235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16.399999999999999</v>
      </c>
      <c r="AI64" s="13">
        <f>IF('Données projet'!$A$62&gt;35,AI63+AH64-AQ63,IF(A64&lt;'Données projet'!$A$62,$AF$205^A64,IF(A64='Données projet'!$A$62,'Données projet'!$B$62,AI63+AH64-AQ63)))</f>
        <v>416.39999999999975</v>
      </c>
      <c r="AJ64" s="13">
        <f>AI64*VLOOKUP('Données projet'!$B$10,Paramètres!$A$1:$I$89,3,0)*VLOOKUP('Données projet'!$B$10,Paramètres!$A$1:$I$89,5,0)</f>
        <v>249.00719999999987</v>
      </c>
      <c r="AK64" s="13">
        <f t="shared" si="35"/>
        <v>60.373298466513951</v>
      </c>
      <c r="AL64" s="20">
        <f t="shared" si="4"/>
        <v>538.83770149584484</v>
      </c>
      <c r="AM64" s="59">
        <f t="shared" si="5"/>
        <v>832.1710348291781</v>
      </c>
      <c r="AN64" s="59">
        <f ca="1">AVERAGE(OFFSET($AM$3,0,0,'Données projet'!$E$10+1,1))-AVERAGE(OFFSET($H$3,0,0,'Données projet'!$E$10+1,1))</f>
        <v>316.58509520829671</v>
      </c>
      <c r="AO64" s="59">
        <f t="shared" si="36"/>
        <v>240.71332110643596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1.3717464196524072</v>
      </c>
      <c r="AV64" s="21">
        <f>EXP(-LN(2)/25)*AV63+(1-EXP(-LN(2)/25))/(LN(2)/25)*Calculateur!AQ64*Calculateur!AS64*VLOOKUP('Données projet'!$B$10,Paramètres!$A$1:$I$89,3,0)*0.475*44/12</f>
        <v>6.464022690079422</v>
      </c>
      <c r="AW64" s="21">
        <f>EXP(-LN(2)/2)*AW63+(1-EXP(-LN(2)/2))/(LN(2)/2)*AQ64*AT64*VLOOKUP('Données projet'!$B$10,Paramètres!$A$1:$I$89,3,0)*0.475*44/12</f>
        <v>4.7343317442854842E-4</v>
      </c>
      <c r="AX64" s="21">
        <f t="shared" si="6"/>
        <v>7.8362425429062572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331.5999999999998</v>
      </c>
      <c r="BE64" s="13">
        <f>BD64*VLOOKUP('Données projet'!$B$11,Paramètres!$A$1:$I$89,3,0)*VLOOKUP('Données projet'!$B$11,Paramètres!$A$1:$I$89,5,0)</f>
        <v>263.82095999999984</v>
      </c>
      <c r="BF64" s="13">
        <f t="shared" si="37"/>
        <v>63.536159374372303</v>
      </c>
      <c r="BG64" s="20">
        <f t="shared" si="7"/>
        <v>570.14698291036473</v>
      </c>
      <c r="BH64" s="59">
        <f t="shared" si="8"/>
        <v>863.4803162436981</v>
      </c>
      <c r="BI64" s="59">
        <f ca="1">AVERAGE(OFFSET($BH$3,0,0,'Données projet'!$E$11+1,1))-AVERAGE(OFFSET($H$3,0,0,'Données projet'!$E$11+1,1))</f>
        <v>314.94704727988847</v>
      </c>
      <c r="BJ64" s="59">
        <f t="shared" si="38"/>
        <v>366.49199094166454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2.1191928153699289</v>
      </c>
      <c r="BQ64" s="21">
        <f>EXP(-LN(2)/25)*BQ63+(1-EXP(-LN(2)/25))/(LN(2)/25)*Calculateur!BL64*Calculateur!BN64*VLOOKUP('Données projet'!$B$11,Paramètres!$A$1:$I$89,3,0)*0.475*44/12</f>
        <v>10.756583724030765</v>
      </c>
      <c r="BR64" s="21">
        <f>EXP(-LN(2)/2)*BR63+(1-EXP(-LN(2)/2))/(LN(2)/2)*BL64*BO64*VLOOKUP('Données projet'!$B$11,Paramètres!$A$1:$I$89,3,0)*0.475*44/12</f>
        <v>6.2297463848665427E-4</v>
      </c>
      <c r="BS64" s="22">
        <f t="shared" si="9"/>
        <v>12.87639951403918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331.5999999999998</v>
      </c>
      <c r="BZ64" s="13">
        <f>BY64*VLOOKUP('Données projet'!$B$12,Paramètres!$A$1:$I$89,3,0)*VLOOKUP('Données projet'!$B$12,Paramètres!$A$1:$I$89,5,0)</f>
        <v>263.82095999999984</v>
      </c>
      <c r="CA64" s="13">
        <f t="shared" si="39"/>
        <v>63.536159374372303</v>
      </c>
      <c r="CB64" s="20">
        <f t="shared" si="10"/>
        <v>570.14698291036473</v>
      </c>
      <c r="CC64" s="59">
        <f t="shared" si="11"/>
        <v>863.4803162436981</v>
      </c>
      <c r="CD64" s="59">
        <f ca="1">AVERAGE(OFFSET($CC$3,0,0,'Données projet'!$E$12+1,1))-AVERAGE(OFFSET($H$3,0,0,'Données projet'!$E$12+1,1))</f>
        <v>314.94704727988847</v>
      </c>
      <c r="CE64" s="59">
        <f t="shared" si="40"/>
        <v>366.49199094166454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2.1191928153699289</v>
      </c>
      <c r="CL64" s="21">
        <f>EXP(-LN(2)/25)*CL63+(1-EXP(-LN(2)/25))/(LN(2)/25)*Calculateur!CG64*Calculateur!CI64*VLOOKUP('Données projet'!$B$12,Paramètres!$A$1:$I$89,3,0)*0.475*44/12</f>
        <v>10.756583724030765</v>
      </c>
      <c r="CM64" s="21">
        <f>EXP(-LN(2)/2)*CM63+(1-EXP(-LN(2)/2))/(LN(2)/2)*CG64*CJ64*VLOOKUP('Données projet'!$B$12,Paramètres!$A$1:$I$89,3,0)*0.475*44/12</f>
        <v>6.2297463848665427E-4</v>
      </c>
      <c r="CN64" s="22">
        <f t="shared" si="12"/>
        <v>12.87639951403918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8.374198717948719</v>
      </c>
      <c r="CT64" s="12">
        <f>IF('Données projet'!$A$140&gt;35,CT63+CS64-DB63,IF(A64&lt;'Données projet'!$A$140,$CQ$205^A64,IF(A64='Données projet'!$A$140,'Données projet'!$B$140,CT63+CS64-DB63)))</f>
        <v>203.54006410256414</v>
      </c>
      <c r="CU64" s="17">
        <f>CT64*VLOOKUP('Données projet'!$B$13,Paramètres!$A$1:$I$89,3,0)*VLOOKUP('Données projet'!$B$13,Paramètres!$A$1:$I$89,5,0)</f>
        <v>184.16305000000003</v>
      </c>
      <c r="CV64" s="13">
        <f t="shared" si="41"/>
        <v>46.247151975893182</v>
      </c>
      <c r="CW64" s="20">
        <f t="shared" si="13"/>
        <v>401.29776844134739</v>
      </c>
      <c r="CX64" s="59">
        <f t="shared" si="14"/>
        <v>694.6311017746807</v>
      </c>
      <c r="CY64" s="59">
        <f ca="1">AVERAGE(OFFSET($CX$3,0,0,'Données projet'!$E$13+1,1))-AVERAGE(OFFSET($H$3,0,0,'Données projet'!$E$13+1,1))</f>
        <v>221.7429870520005</v>
      </c>
      <c r="CZ64" s="59">
        <f t="shared" si="42"/>
        <v>182.2029938397186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-1.0345502232667058E-13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199.01551760562705</v>
      </c>
      <c r="T65" s="59">
        <f t="shared" si="34"/>
        <v>269.50915104901367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1.3345547164517084</v>
      </c>
      <c r="AA65" s="21">
        <f>EXP(-LN(2)/25)*AA64+(1-EXP(-LN(2)/25))/(LN(2)/25)*Calculateur!V65*Calculateur!X65*VLOOKUP('Données projet'!$B$9,Paramètres!$A$1:$I$89,3,0)*0.475*44/12</f>
        <v>5.3495978122477066</v>
      </c>
      <c r="AB65" s="21">
        <f>EXP(-LN(2)/2)*AB64+(1-EXP(-LN(2)/2))/(LN(2)/2)*V65*Y65*VLOOKUP('Données projet'!$B$9,Paramètres!$A$1:$I$89,3,0)*0.475*44/12</f>
        <v>2.1022645029783902E-5</v>
      </c>
      <c r="AC65" s="22">
        <f t="shared" si="3"/>
        <v>6.6841735513444451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16.399999999999999</v>
      </c>
      <c r="AI65" s="13">
        <f>IF('Données projet'!$A$62&gt;35,AI64+AH65-AQ64,IF(A65&lt;'Données projet'!$A$62,$AF$205^A65,IF(A65='Données projet'!$A$62,'Données projet'!$B$62,AI64+AH65-AQ64)))</f>
        <v>432.79999999999973</v>
      </c>
      <c r="AJ65" s="13">
        <f>AI65*VLOOKUP('Données projet'!$B$10,Paramètres!$A$1:$I$89,3,0)*VLOOKUP('Données projet'!$B$10,Paramètres!$A$1:$I$89,5,0)</f>
        <v>258.81439999999986</v>
      </c>
      <c r="AK65" s="13">
        <f t="shared" si="35"/>
        <v>62.469588762855253</v>
      </c>
      <c r="AL65" s="20">
        <f t="shared" si="4"/>
        <v>559.56961376197262</v>
      </c>
      <c r="AM65" s="59">
        <f t="shared" si="5"/>
        <v>852.90294709530599</v>
      </c>
      <c r="AN65" s="59">
        <f ca="1">AVERAGE(OFFSET($AM$3,0,0,'Données projet'!$E$10+1,1))-AVERAGE(OFFSET($H$3,0,0,'Données projet'!$E$10+1,1))</f>
        <v>316.58509520829671</v>
      </c>
      <c r="AO65" s="59">
        <f t="shared" si="36"/>
        <v>240.71332110643596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1.3448473090457238</v>
      </c>
      <c r="AV65" s="21">
        <f>EXP(-LN(2)/25)*AV64+(1-EXP(-LN(2)/25))/(LN(2)/25)*Calculateur!AQ65*Calculateur!AS65*VLOOKUP('Données projet'!$B$10,Paramètres!$A$1:$I$89,3,0)*0.475*44/12</f>
        <v>6.2872636496910204</v>
      </c>
      <c r="AW65" s="21">
        <f>EXP(-LN(2)/2)*AW64+(1-EXP(-LN(2)/2))/(LN(2)/2)*AQ65*AT65*VLOOKUP('Données projet'!$B$10,Paramètres!$A$1:$I$89,3,0)*0.475*44/12</f>
        <v>3.3476780807710022E-4</v>
      </c>
      <c r="AX65" s="21">
        <f t="shared" si="6"/>
        <v>7.6324457265448213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337.19999999999982</v>
      </c>
      <c r="BE65" s="13">
        <f>BD65*VLOOKUP('Données projet'!$B$11,Paramètres!$A$1:$I$89,3,0)*VLOOKUP('Données projet'!$B$11,Paramètres!$A$1:$I$89,5,0)</f>
        <v>268.27631999999988</v>
      </c>
      <c r="BF65" s="13">
        <f t="shared" si="37"/>
        <v>64.483324649413319</v>
      </c>
      <c r="BG65" s="20">
        <f t="shared" si="7"/>
        <v>579.55638109772792</v>
      </c>
      <c r="BH65" s="59">
        <f t="shared" si="8"/>
        <v>872.88971443106129</v>
      </c>
      <c r="BI65" s="59">
        <f ca="1">AVERAGE(OFFSET($BH$3,0,0,'Données projet'!$E$11+1,1))-AVERAGE(OFFSET($H$3,0,0,'Données projet'!$E$11+1,1))</f>
        <v>314.94704727988847</v>
      </c>
      <c r="BJ65" s="59">
        <f t="shared" si="38"/>
        <v>366.49199094166454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2.0776367368405104</v>
      </c>
      <c r="BQ65" s="21">
        <f>EXP(-LN(2)/25)*BQ64+(1-EXP(-LN(2)/25))/(LN(2)/25)*Calculateur!BL65*Calculateur!BN65*VLOOKUP('Données projet'!$B$11,Paramètres!$A$1:$I$89,3,0)*0.475*44/12</f>
        <v>10.462444376432991</v>
      </c>
      <c r="BR65" s="21">
        <f>EXP(-LN(2)/2)*BR64+(1-EXP(-LN(2)/2))/(LN(2)/2)*BL65*BO65*VLOOKUP('Données projet'!$B$11,Paramètres!$A$1:$I$89,3,0)*0.475*44/12</f>
        <v>4.405095913811512E-4</v>
      </c>
      <c r="BS65" s="22">
        <f t="shared" si="9"/>
        <v>12.540521622864883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337.19999999999982</v>
      </c>
      <c r="BZ65" s="13">
        <f>BY65*VLOOKUP('Données projet'!$B$12,Paramètres!$A$1:$I$89,3,0)*VLOOKUP('Données projet'!$B$12,Paramètres!$A$1:$I$89,5,0)</f>
        <v>268.27631999999988</v>
      </c>
      <c r="CA65" s="13">
        <f t="shared" si="39"/>
        <v>64.483324649413319</v>
      </c>
      <c r="CB65" s="20">
        <f t="shared" si="10"/>
        <v>579.55638109772792</v>
      </c>
      <c r="CC65" s="59">
        <f t="shared" si="11"/>
        <v>872.88971443106129</v>
      </c>
      <c r="CD65" s="59">
        <f ca="1">AVERAGE(OFFSET($CC$3,0,0,'Données projet'!$E$12+1,1))-AVERAGE(OFFSET($H$3,0,0,'Données projet'!$E$12+1,1))</f>
        <v>314.94704727988847</v>
      </c>
      <c r="CE65" s="59">
        <f t="shared" si="40"/>
        <v>366.49199094166454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2.0776367368405104</v>
      </c>
      <c r="CL65" s="21">
        <f>EXP(-LN(2)/25)*CL64+(1-EXP(-LN(2)/25))/(LN(2)/25)*Calculateur!CG65*Calculateur!CI65*VLOOKUP('Données projet'!$B$12,Paramètres!$A$1:$I$89,3,0)*0.475*44/12</f>
        <v>10.462444376432991</v>
      </c>
      <c r="CM65" s="21">
        <f>EXP(-LN(2)/2)*CM64+(1-EXP(-LN(2)/2))/(LN(2)/2)*CG65*CJ65*VLOOKUP('Données projet'!$B$12,Paramètres!$A$1:$I$89,3,0)*0.475*44/12</f>
        <v>4.405095913811512E-4</v>
      </c>
      <c r="CN65" s="22">
        <f t="shared" si="12"/>
        <v>12.540521622864883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8.374198717948719</v>
      </c>
      <c r="CT65" s="12">
        <f>IF('Données projet'!$A$140&gt;35,CT64+CS65-DB64,IF(A65&lt;'Données projet'!$A$140,$CQ$205^A65,IF(A65='Données projet'!$A$140,'Données projet'!$B$140,CT64+CS65-DB64)))</f>
        <v>211.91426282051287</v>
      </c>
      <c r="CU65" s="17">
        <f>CT65*VLOOKUP('Données projet'!$B$13,Paramètres!$A$1:$I$89,3,0)*VLOOKUP('Données projet'!$B$13,Paramètres!$A$1:$I$89,5,0)</f>
        <v>191.74002500000003</v>
      </c>
      <c r="CV65" s="13">
        <f t="shared" si="41"/>
        <v>47.924443327659169</v>
      </c>
      <c r="CW65" s="20">
        <f t="shared" si="13"/>
        <v>417.41561567067311</v>
      </c>
      <c r="CX65" s="59">
        <f t="shared" si="14"/>
        <v>710.74894900400636</v>
      </c>
      <c r="CY65" s="59">
        <f ca="1">AVERAGE(OFFSET($CX$3,0,0,'Données projet'!$E$13+1,1))-AVERAGE(OFFSET($H$3,0,0,'Données projet'!$E$13+1,1))</f>
        <v>221.7429870520005</v>
      </c>
      <c r="CZ65" s="59">
        <f t="shared" si="42"/>
        <v>182.2029938397186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-1.0345502232667058E-13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199.01551760562705</v>
      </c>
      <c r="T66" s="59">
        <f t="shared" si="34"/>
        <v>269.50915104901367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1.3083849124600919</v>
      </c>
      <c r="AA66" s="21">
        <f>EXP(-LN(2)/25)*AA65+(1-EXP(-LN(2)/25))/(LN(2)/25)*Calculateur!V66*Calculateur!X66*VLOOKUP('Données projet'!$B$9,Paramètres!$A$1:$I$89,3,0)*0.475*44/12</f>
        <v>5.2033127787486704</v>
      </c>
      <c r="AB66" s="21">
        <f>EXP(-LN(2)/2)*AB65+(1-EXP(-LN(2)/2))/(LN(2)/2)*V66*Y66*VLOOKUP('Données projet'!$B$9,Paramètres!$A$1:$I$89,3,0)*0.475*44/12</f>
        <v>1.4865254859037868E-5</v>
      </c>
      <c r="AC66" s="22">
        <f t="shared" si="3"/>
        <v>6.5117125564636211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16.399999999999999</v>
      </c>
      <c r="AI66" s="13">
        <f>IF('Données projet'!$A$62&gt;35,AI65+AH66-AQ65,IF(A66&lt;'Données projet'!$A$62,$AF$205^A66,IF(A66='Données projet'!$A$62,'Données projet'!$B$62,AI65+AH66-AQ65)))</f>
        <v>449.1999999999997</v>
      </c>
      <c r="AJ66" s="13">
        <f>AI66*VLOOKUP('Données projet'!$B$10,Paramètres!$A$1:$I$89,3,0)*VLOOKUP('Données projet'!$B$10,Paramètres!$A$1:$I$89,5,0)</f>
        <v>268.62159999999983</v>
      </c>
      <c r="AK66" s="13">
        <f t="shared" si="35"/>
        <v>64.556650936372577</v>
      </c>
      <c r="AL66" s="20">
        <f t="shared" si="4"/>
        <v>580.28545371418193</v>
      </c>
      <c r="AM66" s="59">
        <f t="shared" si="5"/>
        <v>873.6187870475153</v>
      </c>
      <c r="AN66" s="59">
        <f ca="1">AVERAGE(OFFSET($AM$3,0,0,'Données projet'!$E$10+1,1))-AVERAGE(OFFSET($H$3,0,0,'Données projet'!$E$10+1,1))</f>
        <v>316.58509520829671</v>
      </c>
      <c r="AO66" s="59">
        <f t="shared" si="36"/>
        <v>240.71332110643596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1.3184756735912002</v>
      </c>
      <c r="AV66" s="21">
        <f>EXP(-LN(2)/25)*AV65+(1-EXP(-LN(2)/25))/(LN(2)/25)*Calculateur!AQ66*Calculateur!AS66*VLOOKUP('Données projet'!$B$10,Paramètres!$A$1:$I$89,3,0)*0.475*44/12</f>
        <v>6.1153380945573934</v>
      </c>
      <c r="AW66" s="21">
        <f>EXP(-LN(2)/2)*AW65+(1-EXP(-LN(2)/2))/(LN(2)/2)*AQ66*AT66*VLOOKUP('Données projet'!$B$10,Paramètres!$A$1:$I$89,3,0)*0.475*44/12</f>
        <v>2.3671658721427426E-4</v>
      </c>
      <c r="AX66" s="21">
        <f t="shared" si="6"/>
        <v>7.434050484735808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342.79999999999984</v>
      </c>
      <c r="BE66" s="13">
        <f>BD66*VLOOKUP('Données projet'!$B$11,Paramètres!$A$1:$I$89,3,0)*VLOOKUP('Données projet'!$B$11,Paramètres!$A$1:$I$89,5,0)</f>
        <v>272.73167999999987</v>
      </c>
      <c r="BF66" s="13">
        <f t="shared" si="37"/>
        <v>65.428660642640267</v>
      </c>
      <c r="BG66" s="20">
        <f t="shared" si="7"/>
        <v>588.96259328593146</v>
      </c>
      <c r="BH66" s="59">
        <f t="shared" si="8"/>
        <v>882.29592661926472</v>
      </c>
      <c r="BI66" s="59">
        <f ca="1">AVERAGE(OFFSET($BH$3,0,0,'Données projet'!$E$11+1,1))-AVERAGE(OFFSET($H$3,0,0,'Données projet'!$E$11+1,1))</f>
        <v>314.94704727988847</v>
      </c>
      <c r="BJ66" s="59">
        <f t="shared" si="38"/>
        <v>366.49199094166454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2.0368955476643484</v>
      </c>
      <c r="BQ66" s="21">
        <f>EXP(-LN(2)/25)*BQ65+(1-EXP(-LN(2)/25))/(LN(2)/25)*Calculateur!BL66*Calculateur!BN66*VLOOKUP('Données projet'!$B$11,Paramètres!$A$1:$I$89,3,0)*0.475*44/12</f>
        <v>10.176348284763394</v>
      </c>
      <c r="BR66" s="21">
        <f>EXP(-LN(2)/2)*BR65+(1-EXP(-LN(2)/2))/(LN(2)/2)*BL66*BO66*VLOOKUP('Données projet'!$B$11,Paramètres!$A$1:$I$89,3,0)*0.475*44/12</f>
        <v>3.1148731924332713E-4</v>
      </c>
      <c r="BS66" s="22">
        <f t="shared" si="9"/>
        <v>12.213555319746986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342.79999999999984</v>
      </c>
      <c r="BZ66" s="13">
        <f>BY66*VLOOKUP('Données projet'!$B$12,Paramètres!$A$1:$I$89,3,0)*VLOOKUP('Données projet'!$B$12,Paramètres!$A$1:$I$89,5,0)</f>
        <v>272.73167999999987</v>
      </c>
      <c r="CA66" s="13">
        <f t="shared" si="39"/>
        <v>65.428660642640267</v>
      </c>
      <c r="CB66" s="20">
        <f t="shared" si="10"/>
        <v>588.96259328593146</v>
      </c>
      <c r="CC66" s="59">
        <f t="shared" si="11"/>
        <v>882.29592661926472</v>
      </c>
      <c r="CD66" s="59">
        <f ca="1">AVERAGE(OFFSET($CC$3,0,0,'Données projet'!$E$12+1,1))-AVERAGE(OFFSET($H$3,0,0,'Données projet'!$E$12+1,1))</f>
        <v>314.94704727988847</v>
      </c>
      <c r="CE66" s="59">
        <f t="shared" si="40"/>
        <v>366.49199094166454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2.0368955476643484</v>
      </c>
      <c r="CL66" s="21">
        <f>EXP(-LN(2)/25)*CL65+(1-EXP(-LN(2)/25))/(LN(2)/25)*Calculateur!CG66*Calculateur!CI66*VLOOKUP('Données projet'!$B$12,Paramètres!$A$1:$I$89,3,0)*0.475*44/12</f>
        <v>10.176348284763394</v>
      </c>
      <c r="CM66" s="21">
        <f>EXP(-LN(2)/2)*CM65+(1-EXP(-LN(2)/2))/(LN(2)/2)*CG66*CJ66*VLOOKUP('Données projet'!$B$12,Paramètres!$A$1:$I$89,3,0)*0.475*44/12</f>
        <v>3.1148731924332713E-4</v>
      </c>
      <c r="CN66" s="22">
        <f t="shared" si="12"/>
        <v>12.213555319746986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220.28846153846152</v>
      </c>
      <c r="CR66" s="12">
        <f>VLOOKUP(A66,'Données projet'!$A$139:$I$159,9,0)</f>
        <v>8.374198717948719</v>
      </c>
      <c r="CS66" s="12">
        <f t="array" ref="CS66">INDEX(CR:CR,MIN(IF(ISNUMBER(CR66:CR262),ROW(CR66:CR262),"")))</f>
        <v>8.374198717948719</v>
      </c>
      <c r="CT66" s="12">
        <f>IF('Données projet'!$A$140&gt;35,CT65+CS66-DB65,IF(A66&lt;'Données projet'!$A$140,$CQ$205^A66,IF(A66='Données projet'!$A$140,'Données projet'!$B$140,CT65+CS66-DB65)))</f>
        <v>220.2884615384616</v>
      </c>
      <c r="CU66" s="17">
        <f>CT66*VLOOKUP('Données projet'!$B$13,Paramètres!$A$1:$I$89,3,0)*VLOOKUP('Données projet'!$B$13,Paramètres!$A$1:$I$89,5,0)</f>
        <v>199.31700000000006</v>
      </c>
      <c r="CV66" s="13">
        <f t="shared" si="41"/>
        <v>49.59403512638746</v>
      </c>
      <c r="CW66" s="20">
        <f t="shared" si="13"/>
        <v>433.52005284512489</v>
      </c>
      <c r="CX66" s="59">
        <f t="shared" si="14"/>
        <v>726.85338617845821</v>
      </c>
      <c r="CY66" s="59">
        <f ca="1">AVERAGE(OFFSET($CX$3,0,0,'Données projet'!$E$13+1,1))-AVERAGE(OFFSET($H$3,0,0,'Données projet'!$E$13+1,1))</f>
        <v>221.7429870520005</v>
      </c>
      <c r="CZ66" s="59">
        <f t="shared" si="42"/>
        <v>182.2029938397186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41.724358974358978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-1.0345502232667058E-13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199.01551760562705</v>
      </c>
      <c r="T67" s="59">
        <f t="shared" si="34"/>
        <v>269.50915104901367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1.2827282823627466</v>
      </c>
      <c r="AA67" s="21">
        <f>EXP(-LN(2)/25)*AA66+(1-EXP(-LN(2)/25))/(LN(2)/25)*Calculateur!V67*Calculateur!X67*VLOOKUP('Données projet'!$B$9,Paramètres!$A$1:$I$89,3,0)*0.475*44/12</f>
        <v>5.0610279171834609</v>
      </c>
      <c r="AB67" s="21">
        <f>EXP(-LN(2)/2)*AB66+(1-EXP(-LN(2)/2))/(LN(2)/2)*V67*Y67*VLOOKUP('Données projet'!$B$9,Paramètres!$A$1:$I$89,3,0)*0.475*44/12</f>
        <v>1.0511322514891953E-5</v>
      </c>
      <c r="AC67" s="22">
        <f t="shared" si="3"/>
        <v>6.3437667108687226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16.399999999999999</v>
      </c>
      <c r="AI67" s="13">
        <f>IF('Données projet'!$A$62&gt;35,AI66+AH67-AQ66,IF(A67&lt;'Données projet'!$A$62,$AF$205^A67,IF(A67='Données projet'!$A$62,'Données projet'!$B$62,AI66+AH67-AQ66)))</f>
        <v>465.59999999999968</v>
      </c>
      <c r="AJ67" s="13">
        <f>AI67*VLOOKUP('Données projet'!$B$10,Paramètres!$A$1:$I$89,3,0)*VLOOKUP('Données projet'!$B$10,Paramètres!$A$1:$I$89,5,0)</f>
        <v>278.42879999999985</v>
      </c>
      <c r="AK67" s="13">
        <f t="shared" si="35"/>
        <v>66.634860488094674</v>
      </c>
      <c r="AL67" s="20">
        <f t="shared" si="4"/>
        <v>600.9858753500979</v>
      </c>
      <c r="AM67" s="59">
        <f t="shared" si="5"/>
        <v>894.31920868343127</v>
      </c>
      <c r="AN67" s="59">
        <f ca="1">AVERAGE(OFFSET($AM$3,0,0,'Données projet'!$E$10+1,1))-AVERAGE(OFFSET($H$3,0,0,'Données projet'!$E$10+1,1))</f>
        <v>316.58509520829671</v>
      </c>
      <c r="AO67" s="59">
        <f t="shared" si="36"/>
        <v>240.71332110643596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1.2926211698228305</v>
      </c>
      <c r="AV67" s="21">
        <f>EXP(-LN(2)/25)*AV66+(1-EXP(-LN(2)/25))/(LN(2)/25)*Calculateur!AQ67*Calculateur!AS67*VLOOKUP('Données projet'!$B$10,Paramètres!$A$1:$I$89,3,0)*0.475*44/12</f>
        <v>5.9481138527700681</v>
      </c>
      <c r="AW67" s="21">
        <f>EXP(-LN(2)/2)*AW66+(1-EXP(-LN(2)/2))/(LN(2)/2)*AQ67*AT67*VLOOKUP('Données projet'!$B$10,Paramètres!$A$1:$I$89,3,0)*0.475*44/12</f>
        <v>1.6738390403855014E-4</v>
      </c>
      <c r="AX67" s="21">
        <f t="shared" si="6"/>
        <v>7.2409024064969376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348.39999999999986</v>
      </c>
      <c r="BE67" s="13">
        <f>BD67*VLOOKUP('Données projet'!$B$11,Paramètres!$A$1:$I$89,3,0)*VLOOKUP('Données projet'!$B$11,Paramètres!$A$1:$I$89,5,0)</f>
        <v>277.18703999999991</v>
      </c>
      <c r="BF67" s="13">
        <f t="shared" si="37"/>
        <v>66.372200687001879</v>
      </c>
      <c r="BG67" s="20">
        <f t="shared" si="7"/>
        <v>598.36567752986139</v>
      </c>
      <c r="BH67" s="59">
        <f t="shared" si="8"/>
        <v>891.69901086319464</v>
      </c>
      <c r="BI67" s="59">
        <f ca="1">AVERAGE(OFFSET($BH$3,0,0,'Données projet'!$E$11+1,1))-AVERAGE(OFFSET($H$3,0,0,'Données projet'!$E$11+1,1))</f>
        <v>314.94704727988847</v>
      </c>
      <c r="BJ67" s="59">
        <f t="shared" si="38"/>
        <v>366.49199094166454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1.9969532683582594</v>
      </c>
      <c r="BQ67" s="21">
        <f>EXP(-LN(2)/25)*BQ66+(1-EXP(-LN(2)/25))/(LN(2)/25)*Calculateur!BL67*Calculateur!BN67*VLOOKUP('Données projet'!$B$11,Paramètres!$A$1:$I$89,3,0)*0.475*44/12</f>
        <v>9.8980755057656413</v>
      </c>
      <c r="BR67" s="21">
        <f>EXP(-LN(2)/2)*BR66+(1-EXP(-LN(2)/2))/(LN(2)/2)*BL67*BO67*VLOOKUP('Données projet'!$B$11,Paramètres!$A$1:$I$89,3,0)*0.475*44/12</f>
        <v>2.202547956905756E-4</v>
      </c>
      <c r="BS67" s="22">
        <f t="shared" si="9"/>
        <v>11.895249028919592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348.39999999999986</v>
      </c>
      <c r="BZ67" s="13">
        <f>BY67*VLOOKUP('Données projet'!$B$12,Paramètres!$A$1:$I$89,3,0)*VLOOKUP('Données projet'!$B$12,Paramètres!$A$1:$I$89,5,0)</f>
        <v>277.18703999999991</v>
      </c>
      <c r="CA67" s="13">
        <f t="shared" si="39"/>
        <v>66.372200687001879</v>
      </c>
      <c r="CB67" s="20">
        <f t="shared" si="10"/>
        <v>598.36567752986139</v>
      </c>
      <c r="CC67" s="59">
        <f t="shared" si="11"/>
        <v>891.69901086319464</v>
      </c>
      <c r="CD67" s="59">
        <f ca="1">AVERAGE(OFFSET($CC$3,0,0,'Données projet'!$E$12+1,1))-AVERAGE(OFFSET($H$3,0,0,'Données projet'!$E$12+1,1))</f>
        <v>314.94704727988847</v>
      </c>
      <c r="CE67" s="59">
        <f t="shared" si="40"/>
        <v>366.49199094166454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1.9969532683582594</v>
      </c>
      <c r="CL67" s="21">
        <f>EXP(-LN(2)/25)*CL66+(1-EXP(-LN(2)/25))/(LN(2)/25)*Calculateur!CG67*Calculateur!CI67*VLOOKUP('Données projet'!$B$12,Paramètres!$A$1:$I$89,3,0)*0.475*44/12</f>
        <v>9.8980755057656413</v>
      </c>
      <c r="CM67" s="21">
        <f>EXP(-LN(2)/2)*CM66+(1-EXP(-LN(2)/2))/(LN(2)/2)*CG67*CJ67*VLOOKUP('Données projet'!$B$12,Paramètres!$A$1:$I$89,3,0)*0.475*44/12</f>
        <v>2.202547956905756E-4</v>
      </c>
      <c r="CN67" s="22">
        <f t="shared" si="12"/>
        <v>11.895249028919592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8.1001602564102555</v>
      </c>
      <c r="CT67" s="12">
        <f>IF('Données projet'!$A$140&gt;35,CT66+CS67-DB66,IF(A67&lt;'Données projet'!$A$140,$CQ$205^A67,IF(A67='Données projet'!$A$140,'Données projet'!$B$140,CT66+CS67-DB66)))</f>
        <v>186.66426282051287</v>
      </c>
      <c r="CU67" s="17">
        <f>CT67*VLOOKUP('Données projet'!$B$13,Paramètres!$A$1:$I$89,3,0)*VLOOKUP('Données projet'!$B$13,Paramètres!$A$1:$I$89,5,0)</f>
        <v>168.89382500000005</v>
      </c>
      <c r="CV67" s="13">
        <f t="shared" si="41"/>
        <v>42.842183132845896</v>
      </c>
      <c r="CW67" s="20">
        <f t="shared" si="13"/>
        <v>368.77354749803999</v>
      </c>
      <c r="CX67" s="59">
        <f t="shared" si="14"/>
        <v>662.10688083137325</v>
      </c>
      <c r="CY67" s="59">
        <f ca="1">AVERAGE(OFFSET($CX$3,0,0,'Données projet'!$E$13+1,1))-AVERAGE(OFFSET($H$3,0,0,'Données projet'!$E$13+1,1))</f>
        <v>221.7429870520005</v>
      </c>
      <c r="CZ67" s="59">
        <f t="shared" si="42"/>
        <v>182.2029938397186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-1.0345502232667058E-13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199.01551760562705</v>
      </c>
      <c r="T68" s="59">
        <f t="shared" si="34"/>
        <v>269.50915104901367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1.2575747631326111</v>
      </c>
      <c r="AA68" s="21">
        <f>EXP(-LN(2)/25)*AA67+(1-EXP(-LN(2)/25))/(LN(2)/25)*Calculateur!V68*Calculateur!X68*VLOOKUP('Données projet'!$B$9,Paramètres!$A$1:$I$89,3,0)*0.475*44/12</f>
        <v>4.9226338426401881</v>
      </c>
      <c r="AB68" s="21">
        <f>EXP(-LN(2)/2)*AB67+(1-EXP(-LN(2)/2))/(LN(2)/2)*V68*Y68*VLOOKUP('Données projet'!$B$9,Paramètres!$A$1:$I$89,3,0)*0.475*44/12</f>
        <v>7.4326274295189348E-6</v>
      </c>
      <c r="AC68" s="22">
        <f t="shared" ref="AC68:AC131" si="57">SUM(Z68:AB68)</f>
        <v>6.1802160384002285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16.399999999999999</v>
      </c>
      <c r="AI68" s="13">
        <f>IF('Données projet'!$A$62&gt;35,AI67+AH68-AQ67,IF(A68&lt;'Données projet'!$A$62,$AF$205^A68,IF(A68='Données projet'!$A$62,'Données projet'!$B$62,AI67+AH68-AQ67)))</f>
        <v>481.99999999999966</v>
      </c>
      <c r="AJ68" s="13">
        <f>AI68*VLOOKUP('Données projet'!$B$10,Paramètres!$A$1:$I$89,3,0)*VLOOKUP('Données projet'!$B$10,Paramètres!$A$1:$I$89,5,0)</f>
        <v>288.23599999999982</v>
      </c>
      <c r="AK68" s="13">
        <f t="shared" si="35"/>
        <v>68.704564966369475</v>
      </c>
      <c r="AL68" s="20">
        <f t="shared" ref="AL68:AL131" si="58">(AJ68+AK68)*0.475*44/12</f>
        <v>621.67148398309314</v>
      </c>
      <c r="AM68" s="59">
        <f t="shared" ref="AM68:AM131" si="59">AL68+(AD68+AE68)*44/12</f>
        <v>915.0048173164264</v>
      </c>
      <c r="AN68" s="59">
        <f ca="1">AVERAGE(OFFSET($AM$3,0,0,'Données projet'!$E$10+1,1))-AVERAGE(OFFSET($H$3,0,0,'Données projet'!$E$10+1,1))</f>
        <v>316.58509520829671</v>
      </c>
      <c r="AO68" s="59">
        <f t="shared" si="36"/>
        <v>240.71332110643596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1.2672736571036682</v>
      </c>
      <c r="AV68" s="21">
        <f>EXP(-LN(2)/25)*AV67+(1-EXP(-LN(2)/25))/(LN(2)/25)*Calculateur!AQ68*Calculateur!AS68*VLOOKUP('Données projet'!$B$10,Paramètres!$A$1:$I$89,3,0)*0.475*44/12</f>
        <v>5.7854623666683578</v>
      </c>
      <c r="AW68" s="21">
        <f>EXP(-LN(2)/2)*AW67+(1-EXP(-LN(2)/2))/(LN(2)/2)*AQ68*AT68*VLOOKUP('Données projet'!$B$10,Paramètres!$A$1:$I$89,3,0)*0.475*44/12</f>
        <v>1.1835829360713715E-4</v>
      </c>
      <c r="AX68" s="21">
        <f t="shared" ref="AX68:AX131" si="60">SUM(AU68:AW68)</f>
        <v>7.0528543820656324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353.99999999999989</v>
      </c>
      <c r="BE68" s="13">
        <f>BD68*VLOOKUP('Données projet'!$B$11,Paramètres!$A$1:$I$89,3,0)*VLOOKUP('Données projet'!$B$11,Paramètres!$A$1:$I$89,5,0)</f>
        <v>281.6423999999999</v>
      </c>
      <c r="BF68" s="13">
        <f t="shared" si="37"/>
        <v>67.313976982444089</v>
      </c>
      <c r="BG68" s="20">
        <f t="shared" ref="BG68:BG131" si="61">(BE68+BF68)*0.475*44/12</f>
        <v>607.76568991108991</v>
      </c>
      <c r="BH68" s="59">
        <f t="shared" ref="BH68:BH131" si="62">BG68+(AY68+AZ68)*44/12</f>
        <v>901.09902324442328</v>
      </c>
      <c r="BI68" s="59">
        <f ca="1">AVERAGE(OFFSET($BH$3,0,0,'Données projet'!$E$11+1,1))-AVERAGE(OFFSET($H$3,0,0,'Données projet'!$E$11+1,1))</f>
        <v>314.94704727988847</v>
      </c>
      <c r="BJ68" s="59">
        <f t="shared" si="38"/>
        <v>366.49199094166454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1.957794232786978</v>
      </c>
      <c r="BQ68" s="21">
        <f>EXP(-LN(2)/25)*BQ67+(1-EXP(-LN(2)/25))/(LN(2)/25)*Calculateur!BL68*Calculateur!BN68*VLOOKUP('Données projet'!$B$11,Paramètres!$A$1:$I$89,3,0)*0.475*44/12</f>
        <v>9.627412110543311</v>
      </c>
      <c r="BR68" s="21">
        <f>EXP(-LN(2)/2)*BR67+(1-EXP(-LN(2)/2))/(LN(2)/2)*BL68*BO68*VLOOKUP('Données projet'!$B$11,Paramètres!$A$1:$I$89,3,0)*0.475*44/12</f>
        <v>1.5574365962166357E-4</v>
      </c>
      <c r="BS68" s="22">
        <f t="shared" ref="BS68:BS131" si="63">SUM(BP68:BR68)</f>
        <v>11.58536208698991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353.99999999999989</v>
      </c>
      <c r="BZ68" s="13">
        <f>BY68*VLOOKUP('Données projet'!$B$12,Paramètres!$A$1:$I$89,3,0)*VLOOKUP('Données projet'!$B$12,Paramètres!$A$1:$I$89,5,0)</f>
        <v>281.6423999999999</v>
      </c>
      <c r="CA68" s="13">
        <f t="shared" si="39"/>
        <v>67.313976982444089</v>
      </c>
      <c r="CB68" s="20">
        <f t="shared" ref="CB68:CB131" si="64">(BZ68+CA68)*0.475*44/12</f>
        <v>607.76568991108991</v>
      </c>
      <c r="CC68" s="59">
        <f t="shared" ref="CC68:CC131" si="65">CB68+(BT68+BU68)*44/12</f>
        <v>901.09902324442328</v>
      </c>
      <c r="CD68" s="59">
        <f ca="1">AVERAGE(OFFSET($CC$3,0,0,'Données projet'!$E$12+1,1))-AVERAGE(OFFSET($H$3,0,0,'Données projet'!$E$12+1,1))</f>
        <v>314.94704727988847</v>
      </c>
      <c r="CE68" s="59">
        <f t="shared" si="40"/>
        <v>366.49199094166454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1.957794232786978</v>
      </c>
      <c r="CL68" s="21">
        <f>EXP(-LN(2)/25)*CL67+(1-EXP(-LN(2)/25))/(LN(2)/25)*Calculateur!CG68*Calculateur!CI68*VLOOKUP('Données projet'!$B$12,Paramètres!$A$1:$I$89,3,0)*0.475*44/12</f>
        <v>9.627412110543311</v>
      </c>
      <c r="CM68" s="21">
        <f>EXP(-LN(2)/2)*CM67+(1-EXP(-LN(2)/2))/(LN(2)/2)*CG68*CJ68*VLOOKUP('Données projet'!$B$12,Paramètres!$A$1:$I$89,3,0)*0.475*44/12</f>
        <v>1.5574365962166357E-4</v>
      </c>
      <c r="CN68" s="22">
        <f t="shared" ref="CN68:CN131" si="66">SUM(CK68:CM68)</f>
        <v>11.58536208698991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8.1001602564102555</v>
      </c>
      <c r="CT68" s="12">
        <f>IF('Données projet'!$A$140&gt;35,CT67+CS68-DB67,IF(A68&lt;'Données projet'!$A$140,$CQ$205^A68,IF(A68='Données projet'!$A$140,'Données projet'!$B$140,CT67+CS68-DB67)))</f>
        <v>194.76442307692312</v>
      </c>
      <c r="CU68" s="17">
        <f>CT68*VLOOKUP('Données projet'!$B$13,Paramètres!$A$1:$I$89,3,0)*VLOOKUP('Données projet'!$B$13,Paramètres!$A$1:$I$89,5,0)</f>
        <v>176.22285000000002</v>
      </c>
      <c r="CV68" s="13">
        <f t="shared" si="41"/>
        <v>44.480805480154558</v>
      </c>
      <c r="CW68" s="20">
        <f t="shared" ref="CW68:CW131" si="67">(CU68+CV68)*0.475*44/12</f>
        <v>384.39219996126917</v>
      </c>
      <c r="CX68" s="59">
        <f t="shared" ref="CX68:CX131" si="68">CW68+(CO68+CP68)*44/12</f>
        <v>677.72553329460243</v>
      </c>
      <c r="CY68" s="59">
        <f ca="1">AVERAGE(OFFSET($CX$3,0,0,'Données projet'!$E$13+1,1))-AVERAGE(OFFSET($H$3,0,0,'Données projet'!$E$13+1,1))</f>
        <v>221.7429870520005</v>
      </c>
      <c r="CZ68" s="59">
        <f t="shared" si="42"/>
        <v>182.2029938397186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-1.0345502232667058E-13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199.01551760562705</v>
      </c>
      <c r="T69" s="59">
        <f t="shared" ref="T69:T132" si="88">$T$3</f>
        <v>269.50915104901367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1.2329144890724466</v>
      </c>
      <c r="AA69" s="21">
        <f>EXP(-LN(2)/25)*AA68+(1-EXP(-LN(2)/25))/(LN(2)/25)*Calculateur!V69*Calculateur!X69*VLOOKUP('Données projet'!$B$9,Paramètres!$A$1:$I$89,3,0)*0.475*44/12</f>
        <v>4.7880241613431291</v>
      </c>
      <c r="AB69" s="21">
        <f>EXP(-LN(2)/2)*AB68+(1-EXP(-LN(2)/2))/(LN(2)/2)*V69*Y69*VLOOKUP('Données projet'!$B$9,Paramètres!$A$1:$I$89,3,0)*0.475*44/12</f>
        <v>5.2556612574459771E-6</v>
      </c>
      <c r="AC69" s="22">
        <f t="shared" si="57"/>
        <v>6.0209439060768331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16.399999999999999</v>
      </c>
      <c r="AI69" s="13">
        <f>IF('Données projet'!$A$62&gt;35,AI68+AH69-AQ68,IF(A69&lt;'Données projet'!$A$62,$AF$205^A69,IF(A69='Données projet'!$A$62,'Données projet'!$B$62,AI68+AH69-AQ68)))</f>
        <v>498.39999999999964</v>
      </c>
      <c r="AJ69" s="13">
        <f>AI69*VLOOKUP('Données projet'!$B$10,Paramètres!$A$1:$I$89,3,0)*VLOOKUP('Données projet'!$B$10,Paramètres!$A$1:$I$89,5,0)</f>
        <v>298.04319999999979</v>
      </c>
      <c r="AK69" s="13">
        <f t="shared" ref="AK69:AK132" si="89">EXP(-1.0587+0.8836*LN(AJ69)+0.284)</f>
        <v>70.766086927307597</v>
      </c>
      <c r="AL69" s="20">
        <f t="shared" si="58"/>
        <v>642.3428413983936</v>
      </c>
      <c r="AM69" s="59">
        <f t="shared" si="59"/>
        <v>935.67617473172686</v>
      </c>
      <c r="AN69" s="59">
        <f ca="1">AVERAGE(OFFSET($AM$3,0,0,'Données projet'!$E$10+1,1))-AVERAGE(OFFSET($H$3,0,0,'Données projet'!$E$10+1,1))</f>
        <v>316.58509520829671</v>
      </c>
      <c r="AO69" s="59">
        <f t="shared" ref="AO69:AO132" si="90">$AO$3</f>
        <v>240.71332110643596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1.2424231936484726</v>
      </c>
      <c r="AV69" s="21">
        <f>EXP(-LN(2)/25)*AV68+(1-EXP(-LN(2)/25))/(LN(2)/25)*Calculateur!AQ69*Calculateur!AS69*VLOOKUP('Données projet'!$B$10,Paramètres!$A$1:$I$89,3,0)*0.475*44/12</f>
        <v>5.6272585940075688</v>
      </c>
      <c r="AW69" s="21">
        <f>EXP(-LN(2)/2)*AW68+(1-EXP(-LN(2)/2))/(LN(2)/2)*AQ69*AT69*VLOOKUP('Données projet'!$B$10,Paramètres!$A$1:$I$89,3,0)*0.475*44/12</f>
        <v>8.3691952019275081E-5</v>
      </c>
      <c r="AX69" s="21">
        <f t="shared" si="60"/>
        <v>6.8697654796080609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5.6</v>
      </c>
      <c r="BD69" s="12">
        <f>IF('Données projet'!$A$88&gt;35,BD68+BC69-BL68,IF(A69&lt;'Données projet'!$A$88,$BA$205^A69,IF(A69='Données projet'!$A$88,'Données projet'!$B$88,BD68+BC69-BL68)))</f>
        <v>359.59999999999991</v>
      </c>
      <c r="BE69" s="13">
        <f>BD69*VLOOKUP('Données projet'!$B$11,Paramètres!$A$1:$I$89,3,0)*VLOOKUP('Données projet'!$B$11,Paramètres!$A$1:$I$89,5,0)</f>
        <v>286.09775999999994</v>
      </c>
      <c r="BF69" s="13">
        <f t="shared" ref="BF69:BF132" si="91">EXP(-1.0587+0.8836*LN(BE69)+0.284)</f>
        <v>68.254020651723678</v>
      </c>
      <c r="BG69" s="20">
        <f t="shared" si="61"/>
        <v>617.16268463508527</v>
      </c>
      <c r="BH69" s="59">
        <f t="shared" si="62"/>
        <v>910.49601796841853</v>
      </c>
      <c r="BI69" s="59">
        <f ca="1">AVERAGE(OFFSET($BH$3,0,0,'Données projet'!$E$11+1,1))-AVERAGE(OFFSET($H$3,0,0,'Données projet'!$E$11+1,1))</f>
        <v>314.94704727988847</v>
      </c>
      <c r="BJ69" s="59">
        <f t="shared" ref="BJ69:BJ132" si="92">$BJ$3</f>
        <v>366.49199094166454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1.9194030820185961</v>
      </c>
      <c r="BQ69" s="21">
        <f>EXP(-LN(2)/25)*BQ68+(1-EXP(-LN(2)/25))/(LN(2)/25)*Calculateur!BL69*Calculateur!BN69*VLOOKUP('Données projet'!$B$11,Paramètres!$A$1:$I$89,3,0)*0.475*44/12</f>
        <v>9.3641500200969059</v>
      </c>
      <c r="BR69" s="21">
        <f>EXP(-LN(2)/2)*BR68+(1-EXP(-LN(2)/2))/(LN(2)/2)*BL69*BO69*VLOOKUP('Données projet'!$B$11,Paramètres!$A$1:$I$89,3,0)*0.475*44/12</f>
        <v>1.101273978452878E-4</v>
      </c>
      <c r="BS69" s="22">
        <f t="shared" si="63"/>
        <v>11.283663229513346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5.6</v>
      </c>
      <c r="BY69" s="12">
        <f>IF('Données projet'!$A$114&gt;35,BY68+BX69-CG68,IF(A69&lt;'Données projet'!$A$114,$BV$205^A69,IF(A69='Données projet'!$A$114,'Données projet'!$B$114,BY68+BX69-CG68)))</f>
        <v>359.59999999999991</v>
      </c>
      <c r="BZ69" s="13">
        <f>BY69*VLOOKUP('Données projet'!$B$12,Paramètres!$A$1:$I$89,3,0)*VLOOKUP('Données projet'!$B$12,Paramètres!$A$1:$I$89,5,0)</f>
        <v>286.09775999999994</v>
      </c>
      <c r="CA69" s="13">
        <f t="shared" ref="CA69:CA132" si="93">EXP(-1.0587+0.8836*LN(BZ69)+0.284)</f>
        <v>68.254020651723678</v>
      </c>
      <c r="CB69" s="20">
        <f t="shared" si="64"/>
        <v>617.16268463508527</v>
      </c>
      <c r="CC69" s="59">
        <f t="shared" si="65"/>
        <v>910.49601796841853</v>
      </c>
      <c r="CD69" s="59">
        <f ca="1">AVERAGE(OFFSET($CC$3,0,0,'Données projet'!$E$12+1,1))-AVERAGE(OFFSET($H$3,0,0,'Données projet'!$E$12+1,1))</f>
        <v>314.94704727988847</v>
      </c>
      <c r="CE69" s="59">
        <f t="shared" ref="CE69:CE132" si="94">$CE$3</f>
        <v>366.49199094166454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1.9194030820185961</v>
      </c>
      <c r="CL69" s="21">
        <f>EXP(-LN(2)/25)*CL68+(1-EXP(-LN(2)/25))/(LN(2)/25)*Calculateur!CG69*Calculateur!CI69*VLOOKUP('Données projet'!$B$12,Paramètres!$A$1:$I$89,3,0)*0.475*44/12</f>
        <v>9.3641500200969059</v>
      </c>
      <c r="CM69" s="21">
        <f>EXP(-LN(2)/2)*CM68+(1-EXP(-LN(2)/2))/(LN(2)/2)*CG69*CJ69*VLOOKUP('Données projet'!$B$12,Paramètres!$A$1:$I$89,3,0)*0.475*44/12</f>
        <v>1.101273978452878E-4</v>
      </c>
      <c r="CN69" s="22">
        <f t="shared" si="66"/>
        <v>11.283663229513346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8.1001602564102555</v>
      </c>
      <c r="CT69" s="12">
        <f>IF('Données projet'!$A$140&gt;35,CT68+CS69-DB68,IF(A69&lt;'Données projet'!$A$140,$CQ$205^A69,IF(A69='Données projet'!$A$140,'Données projet'!$B$140,CT68+CS69-DB68)))</f>
        <v>202.86458333333337</v>
      </c>
      <c r="CU69" s="17">
        <f>CT69*VLOOKUP('Données projet'!$B$13,Paramètres!$A$1:$I$89,3,0)*VLOOKUP('Données projet'!$B$13,Paramètres!$A$1:$I$89,5,0)</f>
        <v>183.55187500000002</v>
      </c>
      <c r="CV69" s="13">
        <f t="shared" ref="CV69:CV132" si="95">EXP(-1.0587+0.8836*LN(CU69)+0.284)</f>
        <v>46.111511982372384</v>
      </c>
      <c r="CW69" s="20">
        <f t="shared" si="67"/>
        <v>399.99706566096523</v>
      </c>
      <c r="CX69" s="59">
        <f t="shared" si="68"/>
        <v>693.33039899429855</v>
      </c>
      <c r="CY69" s="59">
        <f ca="1">AVERAGE(OFFSET($CX$3,0,0,'Données projet'!$E$13+1,1))-AVERAGE(OFFSET($H$3,0,0,'Données projet'!$E$13+1,1))</f>
        <v>221.7429870520005</v>
      </c>
      <c r="CZ69" s="59">
        <f t="shared" ref="CZ69:CZ132" si="96">$CZ$3</f>
        <v>182.2029938397186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-1.0345502232667058E-13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199.01551760562705</v>
      </c>
      <c r="T70" s="59">
        <f t="shared" si="88"/>
        <v>269.50915104901367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1.2087377879453201</v>
      </c>
      <c r="AA70" s="21">
        <f>EXP(-LN(2)/25)*AA69+(1-EXP(-LN(2)/25))/(LN(2)/25)*Calculateur!V70*Calculateur!X70*VLOOKUP('Données projet'!$B$9,Paramètres!$A$1:$I$89,3,0)*0.475*44/12</f>
        <v>4.657095388859954</v>
      </c>
      <c r="AB70" s="21">
        <f>EXP(-LN(2)/2)*AB69+(1-EXP(-LN(2)/2))/(LN(2)/2)*V70*Y70*VLOOKUP('Données projet'!$B$9,Paramètres!$A$1:$I$89,3,0)*0.475*44/12</f>
        <v>3.7163137147594678E-6</v>
      </c>
      <c r="AC70" s="22">
        <f t="shared" si="57"/>
        <v>5.8658368931189884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16.399999999999999</v>
      </c>
      <c r="AI70" s="13">
        <f>IF('Données projet'!$A$62&gt;35,AI69+AH70-AQ69,IF(A70&lt;'Données projet'!$A$62,$AF$205^A70,IF(A70='Données projet'!$A$62,'Données projet'!$B$62,AI69+AH70-AQ69)))</f>
        <v>514.79999999999961</v>
      </c>
      <c r="AJ70" s="13">
        <f>AI70*VLOOKUP('Données projet'!$B$10,Paramètres!$A$1:$I$89,3,0)*VLOOKUP('Données projet'!$B$10,Paramètres!$A$1:$I$89,5,0)</f>
        <v>307.85039999999975</v>
      </c>
      <c r="AK70" s="13">
        <f t="shared" si="89"/>
        <v>72.819726494623737</v>
      </c>
      <c r="AL70" s="20">
        <f t="shared" si="58"/>
        <v>663.00047031146926</v>
      </c>
      <c r="AM70" s="59">
        <f t="shared" si="59"/>
        <v>956.33380364480263</v>
      </c>
      <c r="AN70" s="59">
        <f ca="1">AVERAGE(OFFSET($AM$3,0,0,'Données projet'!$E$10+1,1))-AVERAGE(OFFSET($H$3,0,0,'Données projet'!$E$10+1,1))</f>
        <v>316.58509520829671</v>
      </c>
      <c r="AO70" s="59">
        <f t="shared" si="90"/>
        <v>240.71332110643596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1.2180600326243474</v>
      </c>
      <c r="AV70" s="21">
        <f>EXP(-LN(2)/25)*AV69+(1-EXP(-LN(2)/25))/(LN(2)/25)*Calculateur!AQ70*Calculateur!AS70*VLOOKUP('Données projet'!$B$10,Paramètres!$A$1:$I$89,3,0)*0.475*44/12</f>
        <v>5.4733809118297634</v>
      </c>
      <c r="AW70" s="21">
        <f>EXP(-LN(2)/2)*AW69+(1-EXP(-LN(2)/2))/(LN(2)/2)*AQ70*AT70*VLOOKUP('Données projet'!$B$10,Paramètres!$A$1:$I$89,3,0)*0.475*44/12</f>
        <v>5.9179146803568586E-5</v>
      </c>
      <c r="AX70" s="21">
        <f t="shared" si="60"/>
        <v>6.691500123600914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5.6</v>
      </c>
      <c r="BD70" s="12">
        <f>IF('Données projet'!$A$88&gt;35,BD69+BC70-BL69,IF(A70&lt;'Données projet'!$A$88,$BA$205^A70,IF(A70='Données projet'!$A$88,'Données projet'!$B$88,BD69+BC70-BL69)))</f>
        <v>365.19999999999993</v>
      </c>
      <c r="BE70" s="13">
        <f>BD70*VLOOKUP('Données projet'!$B$11,Paramètres!$A$1:$I$89,3,0)*VLOOKUP('Données projet'!$B$11,Paramètres!$A$1:$I$89,5,0)</f>
        <v>290.55311999999998</v>
      </c>
      <c r="BF70" s="13">
        <f t="shared" si="91"/>
        <v>69.192361792646295</v>
      </c>
      <c r="BG70" s="20">
        <f t="shared" si="61"/>
        <v>626.55671412219226</v>
      </c>
      <c r="BH70" s="59">
        <f t="shared" si="62"/>
        <v>919.89004745552552</v>
      </c>
      <c r="BI70" s="59">
        <f ca="1">AVERAGE(OFFSET($BH$3,0,0,'Données projet'!$E$11+1,1))-AVERAGE(OFFSET($H$3,0,0,'Données projet'!$E$11+1,1))</f>
        <v>314.94704727988847</v>
      </c>
      <c r="BJ70" s="59">
        <f t="shared" si="92"/>
        <v>366.49199094166454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1.8817647583004924</v>
      </c>
      <c r="BQ70" s="21">
        <f>EXP(-LN(2)/25)*BQ69+(1-EXP(-LN(2)/25))/(LN(2)/25)*Calculateur!BL70*Calculateur!BN70*VLOOKUP('Données projet'!$B$11,Paramètres!$A$1:$I$89,3,0)*0.475*44/12</f>
        <v>9.108086845358109</v>
      </c>
      <c r="BR70" s="21">
        <f>EXP(-LN(2)/2)*BR69+(1-EXP(-LN(2)/2))/(LN(2)/2)*BL70*BO70*VLOOKUP('Données projet'!$B$11,Paramètres!$A$1:$I$89,3,0)*0.475*44/12</f>
        <v>7.7871829810831784E-5</v>
      </c>
      <c r="BS70" s="22">
        <f t="shared" si="63"/>
        <v>10.989929475488413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5.6</v>
      </c>
      <c r="BY70" s="12">
        <f>IF('Données projet'!$A$114&gt;35,BY69+BX70-CG69,IF(A70&lt;'Données projet'!$A$114,$BV$205^A70,IF(A70='Données projet'!$A$114,'Données projet'!$B$114,BY69+BX70-CG69)))</f>
        <v>365.19999999999993</v>
      </c>
      <c r="BZ70" s="13">
        <f>BY70*VLOOKUP('Données projet'!$B$12,Paramètres!$A$1:$I$89,3,0)*VLOOKUP('Données projet'!$B$12,Paramètres!$A$1:$I$89,5,0)</f>
        <v>290.55311999999998</v>
      </c>
      <c r="CA70" s="13">
        <f t="shared" si="93"/>
        <v>69.192361792646295</v>
      </c>
      <c r="CB70" s="20">
        <f t="shared" si="64"/>
        <v>626.55671412219226</v>
      </c>
      <c r="CC70" s="59">
        <f t="shared" si="65"/>
        <v>919.89004745552552</v>
      </c>
      <c r="CD70" s="59">
        <f ca="1">AVERAGE(OFFSET($CC$3,0,0,'Données projet'!$E$12+1,1))-AVERAGE(OFFSET($H$3,0,0,'Données projet'!$E$12+1,1))</f>
        <v>314.94704727988847</v>
      </c>
      <c r="CE70" s="59">
        <f t="shared" si="94"/>
        <v>366.49199094166454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1.8817647583004924</v>
      </c>
      <c r="CL70" s="21">
        <f>EXP(-LN(2)/25)*CL69+(1-EXP(-LN(2)/25))/(LN(2)/25)*Calculateur!CG70*Calculateur!CI70*VLOOKUP('Données projet'!$B$12,Paramètres!$A$1:$I$89,3,0)*0.475*44/12</f>
        <v>9.108086845358109</v>
      </c>
      <c r="CM70" s="21">
        <f>EXP(-LN(2)/2)*CM69+(1-EXP(-LN(2)/2))/(LN(2)/2)*CG70*CJ70*VLOOKUP('Données projet'!$B$12,Paramètres!$A$1:$I$89,3,0)*0.475*44/12</f>
        <v>7.7871829810831784E-5</v>
      </c>
      <c r="CN70" s="22">
        <f t="shared" si="66"/>
        <v>10.989929475488413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8.1001602564102555</v>
      </c>
      <c r="CT70" s="12">
        <f>IF('Données projet'!$A$140&gt;35,CT69+CS70-DB69,IF(A70&lt;'Données projet'!$A$140,$CQ$205^A70,IF(A70='Données projet'!$A$140,'Données projet'!$B$140,CT69+CS70-DB69)))</f>
        <v>210.96474358974362</v>
      </c>
      <c r="CU70" s="17">
        <f>CT70*VLOOKUP('Données projet'!$B$13,Paramètres!$A$1:$I$89,3,0)*VLOOKUP('Données projet'!$B$13,Paramètres!$A$1:$I$89,5,0)</f>
        <v>190.88090000000003</v>
      </c>
      <c r="CV70" s="13">
        <f t="shared" si="95"/>
        <v>47.734654873168694</v>
      </c>
      <c r="CW70" s="20">
        <f t="shared" si="67"/>
        <v>415.58875807076885</v>
      </c>
      <c r="CX70" s="59">
        <f t="shared" si="68"/>
        <v>708.92209140410216</v>
      </c>
      <c r="CY70" s="59">
        <f ca="1">AVERAGE(OFFSET($CX$3,0,0,'Données projet'!$E$13+1,1))-AVERAGE(OFFSET($H$3,0,0,'Données projet'!$E$13+1,1))</f>
        <v>221.7429870520005</v>
      </c>
      <c r="CZ70" s="59">
        <f t="shared" si="96"/>
        <v>182.2029938397186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-1.0345502232667058E-13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199.01551760562705</v>
      </c>
      <c r="T71" s="59">
        <f t="shared" si="88"/>
        <v>269.50915104901367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1.1850351771809648</v>
      </c>
      <c r="AA71" s="21">
        <f>EXP(-LN(2)/25)*AA70+(1-EXP(-LN(2)/25))/(LN(2)/25)*Calculateur!V71*Calculateur!X71*VLOOKUP('Données projet'!$B$9,Paramètres!$A$1:$I$89,3,0)*0.475*44/12</f>
        <v>4.5297468705455763</v>
      </c>
      <c r="AB71" s="21">
        <f>EXP(-LN(2)/2)*AB70+(1-EXP(-LN(2)/2))/(LN(2)/2)*V71*Y71*VLOOKUP('Données projet'!$B$9,Paramètres!$A$1:$I$89,3,0)*0.475*44/12</f>
        <v>2.627830628722989E-6</v>
      </c>
      <c r="AC71" s="22">
        <f t="shared" si="57"/>
        <v>5.7147846755571701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16.399999999999999</v>
      </c>
      <c r="AI71" s="13">
        <f>IF('Données projet'!$A$62&gt;35,AI70+AH71-AQ70,IF(A71&lt;'Données projet'!$A$62,$AF$205^A71,IF(A71='Données projet'!$A$62,'Données projet'!$B$62,AI70+AH71-AQ70)))</f>
        <v>531.19999999999959</v>
      </c>
      <c r="AJ71" s="13">
        <f>AI71*VLOOKUP('Données projet'!$B$10,Paramètres!$A$1:$I$89,3,0)*VLOOKUP('Données projet'!$B$10,Paramètres!$A$1:$I$89,5,0)</f>
        <v>317.65759999999977</v>
      </c>
      <c r="AK71" s="13">
        <f t="shared" si="89"/>
        <v>74.865763584117744</v>
      </c>
      <c r="AL71" s="20">
        <f t="shared" si="58"/>
        <v>683.64485824233805</v>
      </c>
      <c r="AM71" s="59">
        <f t="shared" si="59"/>
        <v>976.97819157567142</v>
      </c>
      <c r="AN71" s="59">
        <f ca="1">AVERAGE(OFFSET($AM$3,0,0,'Données projet'!$E$10+1,1))-AVERAGE(OFFSET($H$3,0,0,'Données projet'!$E$10+1,1))</f>
        <v>316.58509520829671</v>
      </c>
      <c r="AO71" s="59">
        <f t="shared" si="90"/>
        <v>240.71332110643596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1.1941746183278443</v>
      </c>
      <c r="AV71" s="21">
        <f>EXP(-LN(2)/25)*AV70+(1-EXP(-LN(2)/25))/(LN(2)/25)*Calculateur!AQ71*Calculateur!AS71*VLOOKUP('Données projet'!$B$10,Paramètres!$A$1:$I$89,3,0)*0.475*44/12</f>
        <v>5.3237110229631863</v>
      </c>
      <c r="AW71" s="21">
        <f>EXP(-LN(2)/2)*AW70+(1-EXP(-LN(2)/2))/(LN(2)/2)*AQ71*AT71*VLOOKUP('Données projet'!$B$10,Paramètres!$A$1:$I$89,3,0)*0.475*44/12</f>
        <v>4.1845976009637547E-5</v>
      </c>
      <c r="AX71" s="21">
        <f t="shared" si="60"/>
        <v>6.5179274872670403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</v>
      </c>
      <c r="BD71" s="12">
        <f>IF('Données projet'!$A$88&gt;35,BD70+BC71-BL70,IF(A71&lt;'Données projet'!$A$88,$BA$205^A71,IF(A71='Données projet'!$A$88,'Données projet'!$B$88,BD70+BC71-BL70)))</f>
        <v>370.79999999999995</v>
      </c>
      <c r="BE71" s="13">
        <f>BD71*VLOOKUP('Données projet'!$B$11,Paramètres!$A$1:$I$89,3,0)*VLOOKUP('Données projet'!$B$11,Paramètres!$A$1:$I$89,5,0)</f>
        <v>295.00847999999996</v>
      </c>
      <c r="BF71" s="13">
        <f t="shared" si="91"/>
        <v>70.12902952701063</v>
      </c>
      <c r="BG71" s="20">
        <f t="shared" si="61"/>
        <v>635.94782909287676</v>
      </c>
      <c r="BH71" s="59">
        <f t="shared" si="62"/>
        <v>929.28116242621013</v>
      </c>
      <c r="BI71" s="59">
        <f ca="1">AVERAGE(OFFSET($BH$3,0,0,'Données projet'!$E$11+1,1))-AVERAGE(OFFSET($H$3,0,0,'Données projet'!$E$11+1,1))</f>
        <v>314.94704727988847</v>
      </c>
      <c r="BJ71" s="59">
        <f t="shared" si="92"/>
        <v>366.49199094166454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1.84486449915339</v>
      </c>
      <c r="BQ71" s="21">
        <f>EXP(-LN(2)/25)*BQ70+(1-EXP(-LN(2)/25))/(LN(2)/25)*Calculateur!BL71*Calculateur!BN71*VLOOKUP('Données projet'!$B$11,Paramètres!$A$1:$I$89,3,0)*0.475*44/12</f>
        <v>8.8590257315983205</v>
      </c>
      <c r="BR71" s="21">
        <f>EXP(-LN(2)/2)*BR70+(1-EXP(-LN(2)/2))/(LN(2)/2)*BL71*BO71*VLOOKUP('Données projet'!$B$11,Paramètres!$A$1:$I$89,3,0)*0.475*44/12</f>
        <v>5.5063698922643899E-5</v>
      </c>
      <c r="BS71" s="22">
        <f t="shared" si="63"/>
        <v>10.703945294450634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</v>
      </c>
      <c r="BY71" s="12">
        <f>IF('Données projet'!$A$114&gt;35,BY70+BX71-CG70,IF(A71&lt;'Données projet'!$A$114,$BV$205^A71,IF(A71='Données projet'!$A$114,'Données projet'!$B$114,BY70+BX71-CG70)))</f>
        <v>370.79999999999995</v>
      </c>
      <c r="BZ71" s="13">
        <f>BY71*VLOOKUP('Données projet'!$B$12,Paramètres!$A$1:$I$89,3,0)*VLOOKUP('Données projet'!$B$12,Paramètres!$A$1:$I$89,5,0)</f>
        <v>295.00847999999996</v>
      </c>
      <c r="CA71" s="13">
        <f t="shared" si="93"/>
        <v>70.12902952701063</v>
      </c>
      <c r="CB71" s="20">
        <f t="shared" si="64"/>
        <v>635.94782909287676</v>
      </c>
      <c r="CC71" s="59">
        <f t="shared" si="65"/>
        <v>929.28116242621013</v>
      </c>
      <c r="CD71" s="59">
        <f ca="1">AVERAGE(OFFSET($CC$3,0,0,'Données projet'!$E$12+1,1))-AVERAGE(OFFSET($H$3,0,0,'Données projet'!$E$12+1,1))</f>
        <v>314.94704727988847</v>
      </c>
      <c r="CE71" s="59">
        <f t="shared" si="94"/>
        <v>366.49199094166454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1.84486449915339</v>
      </c>
      <c r="CL71" s="21">
        <f>EXP(-LN(2)/25)*CL70+(1-EXP(-LN(2)/25))/(LN(2)/25)*Calculateur!CG71*Calculateur!CI71*VLOOKUP('Données projet'!$B$12,Paramètres!$A$1:$I$89,3,0)*0.475*44/12</f>
        <v>8.8590257315983205</v>
      </c>
      <c r="CM71" s="21">
        <f>EXP(-LN(2)/2)*CM70+(1-EXP(-LN(2)/2))/(LN(2)/2)*CG71*CJ71*VLOOKUP('Données projet'!$B$12,Paramètres!$A$1:$I$89,3,0)*0.475*44/12</f>
        <v>5.5063698922643899E-5</v>
      </c>
      <c r="CN71" s="22">
        <f t="shared" si="66"/>
        <v>10.703945294450634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8.1001602564102555</v>
      </c>
      <c r="CT71" s="12">
        <f>IF('Données projet'!$A$140&gt;35,CT70+CS71-DB70,IF(A71&lt;'Données projet'!$A$140,$CQ$205^A71,IF(A71='Données projet'!$A$140,'Données projet'!$B$140,CT70+CS71-DB70)))</f>
        <v>219.06490384615387</v>
      </c>
      <c r="CU71" s="17">
        <f>CT71*VLOOKUP('Données projet'!$B$13,Paramètres!$A$1:$I$89,3,0)*VLOOKUP('Données projet'!$B$13,Paramètres!$A$1:$I$89,5,0)</f>
        <v>198.20992500000003</v>
      </c>
      <c r="CV71" s="13">
        <f t="shared" si="95"/>
        <v>49.350557805795454</v>
      </c>
      <c r="CW71" s="20">
        <f t="shared" si="67"/>
        <v>431.16784088676042</v>
      </c>
      <c r="CX71" s="59">
        <f t="shared" si="68"/>
        <v>724.50117422009373</v>
      </c>
      <c r="CY71" s="59">
        <f ca="1">AVERAGE(OFFSET($CX$3,0,0,'Données projet'!$E$13+1,1))-AVERAGE(OFFSET($H$3,0,0,'Données projet'!$E$13+1,1))</f>
        <v>221.7429870520005</v>
      </c>
      <c r="CZ71" s="59">
        <f t="shared" si="96"/>
        <v>182.2029938397186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-1.0345502232667058E-13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199.01551760562705</v>
      </c>
      <c r="T72" s="59">
        <f t="shared" si="88"/>
        <v>269.50915104901367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1.1617973601565337</v>
      </c>
      <c r="AA72" s="21">
        <f>EXP(-LN(2)/25)*AA71+(1-EXP(-LN(2)/25))/(LN(2)/25)*Calculateur!V72*Calculateur!X72*VLOOKUP('Données projet'!$B$9,Paramètres!$A$1:$I$89,3,0)*0.475*44/12</f>
        <v>4.4058807041614729</v>
      </c>
      <c r="AB72" s="21">
        <f>EXP(-LN(2)/2)*AB71+(1-EXP(-LN(2)/2))/(LN(2)/2)*V72*Y72*VLOOKUP('Données projet'!$B$9,Paramètres!$A$1:$I$89,3,0)*0.475*44/12</f>
        <v>1.8581568573797343E-6</v>
      </c>
      <c r="AC72" s="22">
        <f t="shared" si="57"/>
        <v>5.5676799224748645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16.399999999999999</v>
      </c>
      <c r="AI72" s="13">
        <f>IF('Données projet'!$A$62&gt;35,AI71+AH72-AQ71,IF(A72&lt;'Données projet'!$A$62,$AF$205^A72,IF(A72='Données projet'!$A$62,'Données projet'!$B$62,AI71+AH72-AQ71)))</f>
        <v>547.59999999999957</v>
      </c>
      <c r="AJ72" s="13">
        <f>AI72*VLOOKUP('Données projet'!$B$10,Paramètres!$A$1:$I$89,3,0)*VLOOKUP('Données projet'!$B$10,Paramètres!$A$1:$I$89,5,0)</f>
        <v>327.4647999999998</v>
      </c>
      <c r="AK72" s="13">
        <f t="shared" si="89"/>
        <v>76.904459845729477</v>
      </c>
      <c r="AL72" s="20">
        <f t="shared" si="58"/>
        <v>704.27646089797838</v>
      </c>
      <c r="AM72" s="59">
        <f t="shared" si="59"/>
        <v>997.60979423131175</v>
      </c>
      <c r="AN72" s="59">
        <f ca="1">AVERAGE(OFFSET($AM$3,0,0,'Données projet'!$E$10+1,1))-AVERAGE(OFFSET($H$3,0,0,'Données projet'!$E$10+1,1))</f>
        <v>316.58509520829671</v>
      </c>
      <c r="AO72" s="59">
        <f t="shared" si="90"/>
        <v>240.71332110643596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1.1707575824370315</v>
      </c>
      <c r="AV72" s="21">
        <f>EXP(-LN(2)/25)*AV71+(1-EXP(-LN(2)/25))/(LN(2)/25)*Calculateur!AQ72*Calculateur!AS72*VLOOKUP('Données projet'!$B$10,Paramètres!$A$1:$I$89,3,0)*0.475*44/12</f>
        <v>5.178133865078463</v>
      </c>
      <c r="AW72" s="21">
        <f>EXP(-LN(2)/2)*AW71+(1-EXP(-LN(2)/2))/(LN(2)/2)*AQ72*AT72*VLOOKUP('Données projet'!$B$10,Paramètres!$A$1:$I$89,3,0)*0.475*44/12</f>
        <v>2.9589573401784297E-5</v>
      </c>
      <c r="AX72" s="21">
        <f t="shared" si="60"/>
        <v>6.3489210370888971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</v>
      </c>
      <c r="BD72" s="12">
        <f>IF('Données projet'!$A$88&gt;35,BD71+BC72-BL71,IF(A72&lt;'Données projet'!$A$88,$BA$205^A72,IF(A72='Données projet'!$A$88,'Données projet'!$B$88,BD71+BC72-BL71)))</f>
        <v>376.4</v>
      </c>
      <c r="BE72" s="13">
        <f>BD72*VLOOKUP('Données projet'!$B$11,Paramètres!$A$1:$I$89,3,0)*VLOOKUP('Données projet'!$B$11,Paramètres!$A$1:$I$89,5,0)</f>
        <v>299.46384</v>
      </c>
      <c r="BF72" s="13">
        <f t="shared" si="91"/>
        <v>71.064052046510113</v>
      </c>
      <c r="BG72" s="20">
        <f t="shared" si="61"/>
        <v>645.3360786476718</v>
      </c>
      <c r="BH72" s="59">
        <f t="shared" si="62"/>
        <v>938.66941198100517</v>
      </c>
      <c r="BI72" s="59">
        <f ca="1">AVERAGE(OFFSET($BH$3,0,0,'Données projet'!$E$11+1,1))-AVERAGE(OFFSET($H$3,0,0,'Données projet'!$E$11+1,1))</f>
        <v>314.94704727988847</v>
      </c>
      <c r="BJ72" s="59">
        <f t="shared" si="92"/>
        <v>366.49199094166454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1.8086878315812267</v>
      </c>
      <c r="BQ72" s="21">
        <f>EXP(-LN(2)/25)*BQ71+(1-EXP(-LN(2)/25))/(LN(2)/25)*Calculateur!BL72*Calculateur!BN72*VLOOKUP('Données projet'!$B$11,Paramètres!$A$1:$I$89,3,0)*0.475*44/12</f>
        <v>8.6167752070918482</v>
      </c>
      <c r="BR72" s="21">
        <f>EXP(-LN(2)/2)*BR71+(1-EXP(-LN(2)/2))/(LN(2)/2)*BL72*BO72*VLOOKUP('Données projet'!$B$11,Paramètres!$A$1:$I$89,3,0)*0.475*44/12</f>
        <v>3.8935914905415892E-5</v>
      </c>
      <c r="BS72" s="22">
        <f t="shared" si="63"/>
        <v>10.425501974587979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</v>
      </c>
      <c r="BY72" s="12">
        <f>IF('Données projet'!$A$114&gt;35,BY71+BX72-CG71,IF(A72&lt;'Données projet'!$A$114,$BV$205^A72,IF(A72='Données projet'!$A$114,'Données projet'!$B$114,BY71+BX72-CG71)))</f>
        <v>376.4</v>
      </c>
      <c r="BZ72" s="13">
        <f>BY72*VLOOKUP('Données projet'!$B$12,Paramètres!$A$1:$I$89,3,0)*VLOOKUP('Données projet'!$B$12,Paramètres!$A$1:$I$89,5,0)</f>
        <v>299.46384</v>
      </c>
      <c r="CA72" s="13">
        <f t="shared" si="93"/>
        <v>71.064052046510113</v>
      </c>
      <c r="CB72" s="20">
        <f t="shared" si="64"/>
        <v>645.3360786476718</v>
      </c>
      <c r="CC72" s="59">
        <f t="shared" si="65"/>
        <v>938.66941198100517</v>
      </c>
      <c r="CD72" s="59">
        <f ca="1">AVERAGE(OFFSET($CC$3,0,0,'Données projet'!$E$12+1,1))-AVERAGE(OFFSET($H$3,0,0,'Données projet'!$E$12+1,1))</f>
        <v>314.94704727988847</v>
      </c>
      <c r="CE72" s="59">
        <f t="shared" si="94"/>
        <v>366.49199094166454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1.8086878315812267</v>
      </c>
      <c r="CL72" s="21">
        <f>EXP(-LN(2)/25)*CL71+(1-EXP(-LN(2)/25))/(LN(2)/25)*Calculateur!CG72*Calculateur!CI72*VLOOKUP('Données projet'!$B$12,Paramètres!$A$1:$I$89,3,0)*0.475*44/12</f>
        <v>8.6167752070918482</v>
      </c>
      <c r="CM72" s="21">
        <f>EXP(-LN(2)/2)*CM71+(1-EXP(-LN(2)/2))/(LN(2)/2)*CG72*CJ72*VLOOKUP('Données projet'!$B$12,Paramètres!$A$1:$I$89,3,0)*0.475*44/12</f>
        <v>3.8935914905415892E-5</v>
      </c>
      <c r="CN72" s="22">
        <f t="shared" si="66"/>
        <v>10.425501974587979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8.1001602564102555</v>
      </c>
      <c r="CT72" s="12">
        <f>IF('Données projet'!$A$140&gt;35,CT71+CS72-DB71,IF(A72&lt;'Données projet'!$A$140,$CQ$205^A72,IF(A72='Données projet'!$A$140,'Données projet'!$B$140,CT71+CS72-DB71)))</f>
        <v>227.16506410256412</v>
      </c>
      <c r="CU72" s="17">
        <f>CT72*VLOOKUP('Données projet'!$B$13,Paramètres!$A$1:$I$89,3,0)*VLOOKUP('Données projet'!$B$13,Paramètres!$A$1:$I$89,5,0)</f>
        <v>205.53895</v>
      </c>
      <c r="CV72" s="13">
        <f t="shared" si="95"/>
        <v>50.95951914247815</v>
      </c>
      <c r="CW72" s="20">
        <f t="shared" si="67"/>
        <v>446.73483375648271</v>
      </c>
      <c r="CX72" s="59">
        <f t="shared" si="68"/>
        <v>740.06816708981603</v>
      </c>
      <c r="CY72" s="59">
        <f ca="1">AVERAGE(OFFSET($CX$3,0,0,'Données projet'!$E$13+1,1))-AVERAGE(OFFSET($H$3,0,0,'Données projet'!$E$13+1,1))</f>
        <v>221.7429870520005</v>
      </c>
      <c r="CZ72" s="59">
        <f t="shared" si="96"/>
        <v>182.2029938397186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-1.0345502232667058E-13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199.01551760562705</v>
      </c>
      <c r="T73" s="59">
        <f t="shared" si="88"/>
        <v>269.50915104901367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1.1390152225502828</v>
      </c>
      <c r="AA73" s="21">
        <f>EXP(-LN(2)/25)*AA72+(1-EXP(-LN(2)/25))/(LN(2)/25)*Calculateur!V73*Calculateur!X73*VLOOKUP('Données projet'!$B$9,Paramètres!$A$1:$I$89,3,0)*0.475*44/12</f>
        <v>4.2854016646109807</v>
      </c>
      <c r="AB73" s="21">
        <f>EXP(-LN(2)/2)*AB72+(1-EXP(-LN(2)/2))/(LN(2)/2)*V73*Y73*VLOOKUP('Données projet'!$B$9,Paramètres!$A$1:$I$89,3,0)*0.475*44/12</f>
        <v>1.3139153143614947E-6</v>
      </c>
      <c r="AC73" s="22">
        <f t="shared" si="57"/>
        <v>5.4244182010765778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564</v>
      </c>
      <c r="AG73" s="12">
        <f>VLOOKUP(A73,'Données projet'!$A$61:$I$81,9,0)</f>
        <v>16.399999999999999</v>
      </c>
      <c r="AH73" s="12">
        <f t="array" ref="AH73">INDEX(AG:AG,MIN(IF(ISNUMBER(AG73:AG269),ROW(AG73:AG269),"")))</f>
        <v>16.399999999999999</v>
      </c>
      <c r="AI73" s="13">
        <f>IF('Données projet'!$A$62&gt;35,AI72+AH73-AQ72,IF(A73&lt;'Données projet'!$A$62,$AF$205^A73,IF(A73='Données projet'!$A$62,'Données projet'!$B$62,AI72+AH73-AQ72)))</f>
        <v>563.99999999999955</v>
      </c>
      <c r="AJ73" s="13">
        <f>AI73*VLOOKUP('Données projet'!$B$10,Paramètres!$A$1:$I$89,3,0)*VLOOKUP('Données projet'!$B$10,Paramètres!$A$1:$I$89,5,0)</f>
        <v>337.27199999999976</v>
      </c>
      <c r="AK73" s="13">
        <f t="shared" si="89"/>
        <v>78.936060366406466</v>
      </c>
      <c r="AL73" s="20">
        <f t="shared" si="58"/>
        <v>724.8957051381575</v>
      </c>
      <c r="AM73" s="59">
        <f t="shared" si="59"/>
        <v>1018.2290384714909</v>
      </c>
      <c r="AN73" s="59">
        <f ca="1">AVERAGE(OFFSET($AM$3,0,0,'Données projet'!$E$10+1,1))-AVERAGE(OFFSET($H$3,0,0,'Données projet'!$E$10+1,1))</f>
        <v>316.58509520829671</v>
      </c>
      <c r="AO73" s="59">
        <f t="shared" si="90"/>
        <v>240.71332110643596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103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1.1477997403370559</v>
      </c>
      <c r="AV73" s="21">
        <f>EXP(-LN(2)/25)*AV72+(1-EXP(-LN(2)/25))/(LN(2)/25)*Calculateur!AQ73*Calculateur!AS73*VLOOKUP('Données projet'!$B$10,Paramètres!$A$1:$I$89,3,0)*0.475*44/12</f>
        <v>5.0365375222316668</v>
      </c>
      <c r="AW73" s="21">
        <f>EXP(-LN(2)/2)*AW72+(1-EXP(-LN(2)/2))/(LN(2)/2)*AQ73*AT73*VLOOKUP('Données projet'!$B$10,Paramètres!$A$1:$I$89,3,0)*0.475*44/12</f>
        <v>2.0922988004818777E-5</v>
      </c>
      <c r="AX73" s="21">
        <f t="shared" si="60"/>
        <v>6.1843581855567269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382</v>
      </c>
      <c r="BB73" s="12">
        <f>VLOOKUP(A73,'Données projet'!$A$87:$I$107,9,0)</f>
        <v>5.6</v>
      </c>
      <c r="BC73" s="12">
        <f t="array" ref="BC73">INDEX(BB:BB,MIN(IF(ISNUMBER(BB73:BB269),ROW(BB73:BB269),"")))</f>
        <v>5.6</v>
      </c>
      <c r="BD73" s="12">
        <f>IF('Données projet'!$A$88&gt;35,BD72+BC73-BL72,IF(A73&lt;'Données projet'!$A$88,$BA$205^A73,IF(A73='Données projet'!$A$88,'Données projet'!$B$88,BD72+BC73-BL72)))</f>
        <v>382</v>
      </c>
      <c r="BE73" s="13">
        <f>BD73*VLOOKUP('Données projet'!$B$11,Paramètres!$A$1:$I$89,3,0)*VLOOKUP('Données projet'!$B$11,Paramètres!$A$1:$I$89,5,0)</f>
        <v>303.91919999999999</v>
      </c>
      <c r="BF73" s="13">
        <f t="shared" si="91"/>
        <v>71.997456655827349</v>
      </c>
      <c r="BG73" s="20">
        <f t="shared" si="61"/>
        <v>654.72151034223259</v>
      </c>
      <c r="BH73" s="59">
        <f t="shared" si="62"/>
        <v>948.05484367556596</v>
      </c>
      <c r="BI73" s="59">
        <f ca="1">AVERAGE(OFFSET($BH$3,0,0,'Données projet'!$E$11+1,1))-AVERAGE(OFFSET($H$3,0,0,'Données projet'!$E$11+1,1))</f>
        <v>314.94704727988847</v>
      </c>
      <c r="BJ73" s="59">
        <f t="shared" si="92"/>
        <v>366.49199094166454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1.773220566394565</v>
      </c>
      <c r="BQ73" s="21">
        <f>EXP(-LN(2)/25)*BQ72+(1-EXP(-LN(2)/25))/(LN(2)/25)*Calculateur!BL73*Calculateur!BN73*VLOOKUP('Données projet'!$B$11,Paramètres!$A$1:$I$89,3,0)*0.475*44/12</f>
        <v>8.3811490359174066</v>
      </c>
      <c r="BR73" s="21">
        <f>EXP(-LN(2)/2)*BR72+(1-EXP(-LN(2)/2))/(LN(2)/2)*BL73*BO73*VLOOKUP('Données projet'!$B$11,Paramètres!$A$1:$I$89,3,0)*0.475*44/12</f>
        <v>2.753184946132195E-5</v>
      </c>
      <c r="BS73" s="22">
        <f t="shared" si="63"/>
        <v>10.154397134161433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382</v>
      </c>
      <c r="BW73" s="12">
        <f>VLOOKUP(A73,'Données projet'!$A$113:$I$133,9,0)</f>
        <v>5.6</v>
      </c>
      <c r="BX73" s="12">
        <f t="array" ref="BX73">INDEX(BW:BW,MIN(IF(ISNUMBER(BW73:BW269),ROW(BW73:BW269),"")))</f>
        <v>5.6</v>
      </c>
      <c r="BY73" s="12">
        <f>IF('Données projet'!$A$114&gt;35,BY72+BX73-CG72,IF(A73&lt;'Données projet'!$A$114,$BV$205^A73,IF(A73='Données projet'!$A$114,'Données projet'!$B$114,BY72+BX73-CG72)))</f>
        <v>382</v>
      </c>
      <c r="BZ73" s="13">
        <f>BY73*VLOOKUP('Données projet'!$B$12,Paramètres!$A$1:$I$89,3,0)*VLOOKUP('Données projet'!$B$12,Paramètres!$A$1:$I$89,5,0)</f>
        <v>303.91919999999999</v>
      </c>
      <c r="CA73" s="13">
        <f t="shared" si="93"/>
        <v>71.997456655827349</v>
      </c>
      <c r="CB73" s="20">
        <f t="shared" si="64"/>
        <v>654.72151034223259</v>
      </c>
      <c r="CC73" s="59">
        <f t="shared" si="65"/>
        <v>948.05484367556596</v>
      </c>
      <c r="CD73" s="59">
        <f ca="1">AVERAGE(OFFSET($CC$3,0,0,'Données projet'!$E$12+1,1))-AVERAGE(OFFSET($H$3,0,0,'Données projet'!$E$12+1,1))</f>
        <v>314.94704727988847</v>
      </c>
      <c r="CE73" s="59">
        <f t="shared" si="94"/>
        <v>366.49199094166454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31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1.773220566394565</v>
      </c>
      <c r="CL73" s="21">
        <f>EXP(-LN(2)/25)*CL72+(1-EXP(-LN(2)/25))/(LN(2)/25)*Calculateur!CG73*Calculateur!CI73*VLOOKUP('Données projet'!$B$12,Paramètres!$A$1:$I$89,3,0)*0.475*44/12</f>
        <v>8.3811490359174066</v>
      </c>
      <c r="CM73" s="21">
        <f>EXP(-LN(2)/2)*CM72+(1-EXP(-LN(2)/2))/(LN(2)/2)*CG73*CJ73*VLOOKUP('Données projet'!$B$12,Paramètres!$A$1:$I$89,3,0)*0.475*44/12</f>
        <v>2.753184946132195E-5</v>
      </c>
      <c r="CN73" s="22">
        <f t="shared" si="66"/>
        <v>10.154397134161433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8.1001602564102555</v>
      </c>
      <c r="CT73" s="12">
        <f>IF('Données projet'!$A$140&gt;35,CT72+CS73-DB72,IF(A73&lt;'Données projet'!$A$140,$CQ$205^A73,IF(A73='Données projet'!$A$140,'Données projet'!$B$140,CT72+CS73-DB72)))</f>
        <v>235.26522435897436</v>
      </c>
      <c r="CU73" s="17">
        <f>CT73*VLOOKUP('Données projet'!$B$13,Paramètres!$A$1:$I$89,3,0)*VLOOKUP('Données projet'!$B$13,Paramètres!$A$1:$I$89,5,0)</f>
        <v>212.86797499999997</v>
      </c>
      <c r="CV73" s="13">
        <f t="shared" si="95"/>
        <v>52.561814761455558</v>
      </c>
      <c r="CW73" s="20">
        <f t="shared" si="67"/>
        <v>462.29021716786838</v>
      </c>
      <c r="CX73" s="59">
        <f t="shared" si="68"/>
        <v>755.62355050120163</v>
      </c>
      <c r="CY73" s="59">
        <f ca="1">AVERAGE(OFFSET($CX$3,0,0,'Données projet'!$E$13+1,1))-AVERAGE(OFFSET($H$3,0,0,'Données projet'!$E$13+1,1))</f>
        <v>221.7429870520005</v>
      </c>
      <c r="CZ73" s="59">
        <f t="shared" si="96"/>
        <v>182.2029938397186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-1.0345502232667058E-13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199.01551760562705</v>
      </c>
      <c r="T74" s="59">
        <f t="shared" si="88"/>
        <v>269.50915104901367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1.1166798287667585</v>
      </c>
      <c r="AA74" s="21">
        <f>EXP(-LN(2)/25)*AA73+(1-EXP(-LN(2)/25))/(LN(2)/25)*Calculateur!V74*Calculateur!X74*VLOOKUP('Données projet'!$B$9,Paramètres!$A$1:$I$89,3,0)*0.475*44/12</f>
        <v>4.1682171307327147</v>
      </c>
      <c r="AB74" s="21">
        <f>EXP(-LN(2)/2)*AB73+(1-EXP(-LN(2)/2))/(LN(2)/2)*V74*Y74*VLOOKUP('Données projet'!$B$9,Paramètres!$A$1:$I$89,3,0)*0.475*44/12</f>
        <v>9.2907842868986727E-7</v>
      </c>
      <c r="AC74" s="22">
        <f t="shared" si="57"/>
        <v>5.2848978885779019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14.5</v>
      </c>
      <c r="AI74" s="13">
        <f>IF('Données projet'!$A$62&gt;35,AI73+AH74-AQ73,IF(A74&lt;'Données projet'!$A$62,$AF$205^A74,IF(A74='Données projet'!$A$62,'Données projet'!$B$62,AI73+AH74-AQ73)))</f>
        <v>475.49999999999955</v>
      </c>
      <c r="AJ74" s="13">
        <f>AI74*VLOOKUP('Données projet'!$B$10,Paramètres!$A$1:$I$89,3,0)*VLOOKUP('Données projet'!$B$10,Paramètres!$A$1:$I$89,5,0)</f>
        <v>284.34899999999976</v>
      </c>
      <c r="AK74" s="13">
        <f t="shared" si="89"/>
        <v>67.88525155188097</v>
      </c>
      <c r="AL74" s="20">
        <f t="shared" si="58"/>
        <v>613.47465478619222</v>
      </c>
      <c r="AM74" s="59">
        <f t="shared" si="59"/>
        <v>906.80798811952559</v>
      </c>
      <c r="AN74" s="59">
        <f ca="1">AVERAGE(OFFSET($AM$3,0,0,'Données projet'!$E$10+1,1))-AVERAGE(OFFSET($H$3,0,0,'Données projet'!$E$10+1,1))</f>
        <v>316.58509520829671</v>
      </c>
      <c r="AO74" s="59">
        <f t="shared" si="90"/>
        <v>240.71332110643596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1.1252920875177599</v>
      </c>
      <c r="AV74" s="21">
        <f>EXP(-LN(2)/25)*AV73+(1-EXP(-LN(2)/25))/(LN(2)/25)*Calculateur!AQ74*Calculateur!AS74*VLOOKUP('Données projet'!$B$10,Paramètres!$A$1:$I$89,3,0)*0.475*44/12</f>
        <v>4.8988131388262444</v>
      </c>
      <c r="AW74" s="21">
        <f>EXP(-LN(2)/2)*AW73+(1-EXP(-LN(2)/2))/(LN(2)/2)*AQ74*AT74*VLOOKUP('Données projet'!$B$10,Paramètres!$A$1:$I$89,3,0)*0.475*44/12</f>
        <v>1.479478670089215E-5</v>
      </c>
      <c r="AX74" s="21">
        <f t="shared" si="60"/>
        <v>6.0241200211307051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355.4</v>
      </c>
      <c r="BE74" s="13">
        <f>BD74*VLOOKUP('Données projet'!$B$11,Paramètres!$A$1:$I$89,3,0)*VLOOKUP('Données projet'!$B$11,Paramètres!$A$1:$I$89,5,0)</f>
        <v>282.75623999999999</v>
      </c>
      <c r="BF74" s="13">
        <f t="shared" si="91"/>
        <v>67.549149140642555</v>
      </c>
      <c r="BG74" s="20">
        <f t="shared" si="61"/>
        <v>610.11521941995238</v>
      </c>
      <c r="BH74" s="59">
        <f t="shared" si="62"/>
        <v>903.44855275328564</v>
      </c>
      <c r="BI74" s="59">
        <f ca="1">AVERAGE(OFFSET($BH$3,0,0,'Données projet'!$E$11+1,1))-AVERAGE(OFFSET($H$3,0,0,'Données projet'!$E$11+1,1))</f>
        <v>314.94704727988847</v>
      </c>
      <c r="BJ74" s="59">
        <f t="shared" si="92"/>
        <v>366.49199094166454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1.7384487926453183</v>
      </c>
      <c r="BQ74" s="21">
        <f>EXP(-LN(2)/25)*BQ73+(1-EXP(-LN(2)/25))/(LN(2)/25)*Calculateur!BL74*Calculateur!BN74*VLOOKUP('Données projet'!$B$11,Paramètres!$A$1:$I$89,3,0)*0.475*44/12</f>
        <v>8.151966074784772</v>
      </c>
      <c r="BR74" s="21">
        <f>EXP(-LN(2)/2)*BR73+(1-EXP(-LN(2)/2))/(LN(2)/2)*BL74*BO74*VLOOKUP('Données projet'!$B$11,Paramètres!$A$1:$I$89,3,0)*0.475*44/12</f>
        <v>1.9467957452707946E-5</v>
      </c>
      <c r="BS74" s="22">
        <f t="shared" si="63"/>
        <v>9.8904343353875426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355.4</v>
      </c>
      <c r="BZ74" s="13">
        <f>BY74*VLOOKUP('Données projet'!$B$12,Paramètres!$A$1:$I$89,3,0)*VLOOKUP('Données projet'!$B$12,Paramètres!$A$1:$I$89,5,0)</f>
        <v>282.75623999999999</v>
      </c>
      <c r="CA74" s="13">
        <f t="shared" si="93"/>
        <v>67.549149140642555</v>
      </c>
      <c r="CB74" s="20">
        <f t="shared" si="64"/>
        <v>610.11521941995238</v>
      </c>
      <c r="CC74" s="59">
        <f t="shared" si="65"/>
        <v>903.44855275328564</v>
      </c>
      <c r="CD74" s="59">
        <f ca="1">AVERAGE(OFFSET($CC$3,0,0,'Données projet'!$E$12+1,1))-AVERAGE(OFFSET($H$3,0,0,'Données projet'!$E$12+1,1))</f>
        <v>314.94704727988847</v>
      </c>
      <c r="CE74" s="59">
        <f t="shared" si="94"/>
        <v>366.49199094166454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1.7384487926453183</v>
      </c>
      <c r="CL74" s="21">
        <f>EXP(-LN(2)/25)*CL73+(1-EXP(-LN(2)/25))/(LN(2)/25)*Calculateur!CG74*Calculateur!CI74*VLOOKUP('Données projet'!$B$12,Paramètres!$A$1:$I$89,3,0)*0.475*44/12</f>
        <v>8.151966074784772</v>
      </c>
      <c r="CM74" s="21">
        <f>EXP(-LN(2)/2)*CM73+(1-EXP(-LN(2)/2))/(LN(2)/2)*CG74*CJ74*VLOOKUP('Données projet'!$B$12,Paramètres!$A$1:$I$89,3,0)*0.475*44/12</f>
        <v>1.9467957452707946E-5</v>
      </c>
      <c r="CN74" s="22">
        <f t="shared" si="66"/>
        <v>9.8904343353875426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243.36538461538458</v>
      </c>
      <c r="CR74" s="12">
        <f>VLOOKUP(A74,'Données projet'!$A$139:$I$159,9,0)</f>
        <v>8.1001602564102555</v>
      </c>
      <c r="CS74" s="12">
        <f t="array" ref="CS74">INDEX(CR:CR,MIN(IF(ISNUMBER(CR74:CR270),ROW(CR74:CR270),"")))</f>
        <v>8.1001602564102555</v>
      </c>
      <c r="CT74" s="12">
        <f>IF('Données projet'!$A$140&gt;35,CT73+CS74-DB73,IF(A74&lt;'Données projet'!$A$140,$CQ$205^A74,IF(A74='Données projet'!$A$140,'Données projet'!$B$140,CT73+CS74-DB73)))</f>
        <v>243.36538461538461</v>
      </c>
      <c r="CU74" s="17">
        <f>CT74*VLOOKUP('Données projet'!$B$13,Paramètres!$A$1:$I$89,3,0)*VLOOKUP('Données projet'!$B$13,Paramètres!$A$1:$I$89,5,0)</f>
        <v>220.19699999999997</v>
      </c>
      <c r="CV74" s="13">
        <f t="shared" si="95"/>
        <v>54.157700466574305</v>
      </c>
      <c r="CW74" s="20">
        <f t="shared" si="67"/>
        <v>477.83443664595023</v>
      </c>
      <c r="CX74" s="59">
        <f t="shared" si="68"/>
        <v>771.16776997928355</v>
      </c>
      <c r="CY74" s="59">
        <f ca="1">AVERAGE(OFFSET($CX$3,0,0,'Données projet'!$E$13+1,1))-AVERAGE(OFFSET($H$3,0,0,'Données projet'!$E$13+1,1))</f>
        <v>221.7429870520005</v>
      </c>
      <c r="CZ74" s="59">
        <f t="shared" si="96"/>
        <v>182.2029938397186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39.935897435897431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-1.0345502232667058E-13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199.01551760562705</v>
      </c>
      <c r="T75" s="59">
        <f t="shared" si="88"/>
        <v>269.50915104901367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1.0947824184320842</v>
      </c>
      <c r="AA75" s="21">
        <f>EXP(-LN(2)/25)*AA74+(1-EXP(-LN(2)/25))/(LN(2)/25)*Calculateur!V75*Calculateur!X75*VLOOKUP('Données projet'!$B$9,Paramètres!$A$1:$I$89,3,0)*0.475*44/12</f>
        <v>4.0542370140958166</v>
      </c>
      <c r="AB75" s="21">
        <f>EXP(-LN(2)/2)*AB74+(1-EXP(-LN(2)/2))/(LN(2)/2)*V75*Y75*VLOOKUP('Données projet'!$B$9,Paramètres!$A$1:$I$89,3,0)*0.475*44/12</f>
        <v>6.5695765718074746E-7</v>
      </c>
      <c r="AC75" s="22">
        <f t="shared" si="57"/>
        <v>5.1490200894855578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14.5</v>
      </c>
      <c r="AI75" s="13">
        <f>IF('Données projet'!$A$62&gt;35,AI74+AH75-AQ74,IF(A75&lt;'Données projet'!$A$62,$AF$205^A75,IF(A75='Données projet'!$A$62,'Données projet'!$B$62,AI74+AH75-AQ74)))</f>
        <v>489.99999999999955</v>
      </c>
      <c r="AJ75" s="13">
        <f>AI75*VLOOKUP('Données projet'!$B$10,Paramètres!$A$1:$I$89,3,0)*VLOOKUP('Données projet'!$B$10,Paramètres!$A$1:$I$89,5,0)</f>
        <v>293.01999999999975</v>
      </c>
      <c r="AK75" s="13">
        <f t="shared" si="89"/>
        <v>69.711188549176683</v>
      </c>
      <c r="AL75" s="20">
        <f t="shared" si="58"/>
        <v>631.75682005648218</v>
      </c>
      <c r="AM75" s="59">
        <f t="shared" si="59"/>
        <v>925.09015338981544</v>
      </c>
      <c r="AN75" s="59">
        <f ca="1">AVERAGE(OFFSET($AM$3,0,0,'Données projet'!$E$10+1,1))-AVERAGE(OFFSET($H$3,0,0,'Données projet'!$E$10+1,1))</f>
        <v>316.58509520829671</v>
      </c>
      <c r="AO75" s="59">
        <f t="shared" si="90"/>
        <v>240.71332110643596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1.1032257960419376</v>
      </c>
      <c r="AV75" s="21">
        <f>EXP(-LN(2)/25)*AV74+(1-EXP(-LN(2)/25))/(LN(2)/25)*Calculateur!AQ75*Calculateur!AS75*VLOOKUP('Données projet'!$B$10,Paramètres!$A$1:$I$89,3,0)*0.475*44/12</f>
        <v>4.7648548359276539</v>
      </c>
      <c r="AW75" s="21">
        <f>EXP(-LN(2)/2)*AW74+(1-EXP(-LN(2)/2))/(LN(2)/2)*AQ75*AT75*VLOOKUP('Données projet'!$B$10,Paramètres!$A$1:$I$89,3,0)*0.475*44/12</f>
        <v>1.046149400240939E-5</v>
      </c>
      <c r="AX75" s="21">
        <f t="shared" si="60"/>
        <v>5.8680910934635939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359.79999999999995</v>
      </c>
      <c r="BE75" s="13">
        <f>BD75*VLOOKUP('Données projet'!$B$11,Paramètres!$A$1:$I$89,3,0)*VLOOKUP('Données projet'!$B$11,Paramètres!$A$1:$I$89,5,0)</f>
        <v>286.25687999999997</v>
      </c>
      <c r="BF75" s="13">
        <f t="shared" si="91"/>
        <v>68.287561975908019</v>
      </c>
      <c r="BG75" s="20">
        <f t="shared" si="61"/>
        <v>617.49823644137302</v>
      </c>
      <c r="BH75" s="59">
        <f t="shared" si="62"/>
        <v>910.8315697747064</v>
      </c>
      <c r="BI75" s="59">
        <f ca="1">AVERAGE(OFFSET($BH$3,0,0,'Données projet'!$E$11+1,1))-AVERAGE(OFFSET($H$3,0,0,'Données projet'!$E$11+1,1))</f>
        <v>314.94704727988847</v>
      </c>
      <c r="BJ75" s="59">
        <f t="shared" si="92"/>
        <v>366.49199094166454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1.7043588721706062</v>
      </c>
      <c r="BQ75" s="21">
        <f>EXP(-LN(2)/25)*BQ74+(1-EXP(-LN(2)/25))/(LN(2)/25)*Calculateur!BL75*Calculateur!BN75*VLOOKUP('Données projet'!$B$11,Paramètres!$A$1:$I$89,3,0)*0.475*44/12</f>
        <v>7.929050133776518</v>
      </c>
      <c r="BR75" s="21">
        <f>EXP(-LN(2)/2)*BR74+(1-EXP(-LN(2)/2))/(LN(2)/2)*BL75*BO75*VLOOKUP('Données projet'!$B$11,Paramètres!$A$1:$I$89,3,0)*0.475*44/12</f>
        <v>1.3765924730660975E-5</v>
      </c>
      <c r="BS75" s="22">
        <f t="shared" si="63"/>
        <v>9.6334227718718548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359.79999999999995</v>
      </c>
      <c r="BZ75" s="13">
        <f>BY75*VLOOKUP('Données projet'!$B$12,Paramètres!$A$1:$I$89,3,0)*VLOOKUP('Données projet'!$B$12,Paramètres!$A$1:$I$89,5,0)</f>
        <v>286.25687999999997</v>
      </c>
      <c r="CA75" s="13">
        <f t="shared" si="93"/>
        <v>68.287561975908019</v>
      </c>
      <c r="CB75" s="20">
        <f t="shared" si="64"/>
        <v>617.49823644137302</v>
      </c>
      <c r="CC75" s="59">
        <f t="shared" si="65"/>
        <v>910.8315697747064</v>
      </c>
      <c r="CD75" s="59">
        <f ca="1">AVERAGE(OFFSET($CC$3,0,0,'Données projet'!$E$12+1,1))-AVERAGE(OFFSET($H$3,0,0,'Données projet'!$E$12+1,1))</f>
        <v>314.94704727988847</v>
      </c>
      <c r="CE75" s="59">
        <f t="shared" si="94"/>
        <v>366.49199094166454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1.7043588721706062</v>
      </c>
      <c r="CL75" s="21">
        <f>EXP(-LN(2)/25)*CL74+(1-EXP(-LN(2)/25))/(LN(2)/25)*Calculateur!CG75*Calculateur!CI75*VLOOKUP('Données projet'!$B$12,Paramètres!$A$1:$I$89,3,0)*0.475*44/12</f>
        <v>7.929050133776518</v>
      </c>
      <c r="CM75" s="21">
        <f>EXP(-LN(2)/2)*CM74+(1-EXP(-LN(2)/2))/(LN(2)/2)*CG75*CJ75*VLOOKUP('Données projet'!$B$12,Paramètres!$A$1:$I$89,3,0)*0.475*44/12</f>
        <v>1.3765924730660975E-5</v>
      </c>
      <c r="CN75" s="22">
        <f t="shared" si="66"/>
        <v>9.6334227718718548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7.8425925925925934</v>
      </c>
      <c r="CT75" s="12">
        <f>IF('Données projet'!$A$140&gt;35,CT74+CS75-DB74,IF(A75&lt;'Données projet'!$A$140,$CQ$205^A75,IF(A75='Données projet'!$A$140,'Données projet'!$B$140,CT74+CS75-DB74)))</f>
        <v>211.27207977207976</v>
      </c>
      <c r="CU75" s="17">
        <f>CT75*VLOOKUP('Données projet'!$B$13,Paramètres!$A$1:$I$89,3,0)*VLOOKUP('Données projet'!$B$13,Paramètres!$A$1:$I$89,5,0)</f>
        <v>191.15897777777778</v>
      </c>
      <c r="CV75" s="13">
        <f t="shared" si="95"/>
        <v>47.796095622022946</v>
      </c>
      <c r="CW75" s="20">
        <f t="shared" si="67"/>
        <v>416.18008617131954</v>
      </c>
      <c r="CX75" s="59">
        <f t="shared" si="68"/>
        <v>709.5134195046528</v>
      </c>
      <c r="CY75" s="59">
        <f ca="1">AVERAGE(OFFSET($CX$3,0,0,'Données projet'!$E$13+1,1))-AVERAGE(OFFSET($H$3,0,0,'Données projet'!$E$13+1,1))</f>
        <v>221.7429870520005</v>
      </c>
      <c r="CZ75" s="59">
        <f t="shared" si="96"/>
        <v>182.2029938397186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-1.0345502232667058E-13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199.01551760562705</v>
      </c>
      <c r="T76" s="59">
        <f t="shared" si="88"/>
        <v>269.50915104901367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1.0733144029579713</v>
      </c>
      <c r="AA76" s="21">
        <f>EXP(-LN(2)/25)*AA75+(1-EXP(-LN(2)/25))/(LN(2)/25)*Calculateur!V76*Calculateur!X76*VLOOKUP('Données projet'!$B$9,Paramètres!$A$1:$I$89,3,0)*0.475*44/12</f>
        <v>3.943373689742308</v>
      </c>
      <c r="AB76" s="21">
        <f>EXP(-LN(2)/2)*AB75+(1-EXP(-LN(2)/2))/(LN(2)/2)*V76*Y76*VLOOKUP('Données projet'!$B$9,Paramètres!$A$1:$I$89,3,0)*0.475*44/12</f>
        <v>4.6453921434493374E-7</v>
      </c>
      <c r="AC76" s="22">
        <f t="shared" si="57"/>
        <v>5.0166885572394939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14.5</v>
      </c>
      <c r="AI76" s="13">
        <f>IF('Données projet'!$A$62&gt;35,AI75+AH76-AQ75,IF(A76&lt;'Données projet'!$A$62,$AF$205^A76,IF(A76='Données projet'!$A$62,'Données projet'!$B$62,AI75+AH76-AQ75)))</f>
        <v>504.49999999999955</v>
      </c>
      <c r="AJ76" s="13">
        <f>AI76*VLOOKUP('Données projet'!$B$10,Paramètres!$A$1:$I$89,3,0)*VLOOKUP('Données projet'!$B$10,Paramètres!$A$1:$I$89,5,0)</f>
        <v>301.69099999999975</v>
      </c>
      <c r="AK76" s="13">
        <f t="shared" si="89"/>
        <v>71.530845976260522</v>
      </c>
      <c r="AL76" s="20">
        <f t="shared" si="58"/>
        <v>650.02804840865338</v>
      </c>
      <c r="AM76" s="59">
        <f t="shared" si="59"/>
        <v>943.36138174198663</v>
      </c>
      <c r="AN76" s="59">
        <f ca="1">AVERAGE(OFFSET($AM$3,0,0,'Données projet'!$E$10+1,1))-AVERAGE(OFFSET($H$3,0,0,'Données projet'!$E$10+1,1))</f>
        <v>316.58509520829671</v>
      </c>
      <c r="AO76" s="59">
        <f t="shared" si="90"/>
        <v>240.71332110643596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1.0815922110828473</v>
      </c>
      <c r="AV76" s="21">
        <f>EXP(-LN(2)/25)*AV75+(1-EXP(-LN(2)/25))/(LN(2)/25)*Calculateur!AQ76*Calculateur!AS76*VLOOKUP('Données projet'!$B$10,Paramètres!$A$1:$I$89,3,0)*0.475*44/12</f>
        <v>4.6345596298663869</v>
      </c>
      <c r="AW76" s="21">
        <f>EXP(-LN(2)/2)*AW75+(1-EXP(-LN(2)/2))/(LN(2)/2)*AQ76*AT76*VLOOKUP('Données projet'!$B$10,Paramètres!$A$1:$I$89,3,0)*0.475*44/12</f>
        <v>7.3973933504460767E-6</v>
      </c>
      <c r="AX76" s="21">
        <f t="shared" si="60"/>
        <v>5.7161592383425841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364.19999999999993</v>
      </c>
      <c r="BE76" s="13">
        <f>BD76*VLOOKUP('Données projet'!$B$11,Paramètres!$A$1:$I$89,3,0)*VLOOKUP('Données projet'!$B$11,Paramètres!$A$1:$I$89,5,0)</f>
        <v>289.75751999999994</v>
      </c>
      <c r="BF76" s="13">
        <f t="shared" si="91"/>
        <v>69.024924431959747</v>
      </c>
      <c r="BG76" s="20">
        <f t="shared" si="61"/>
        <v>624.8794240523298</v>
      </c>
      <c r="BH76" s="59">
        <f t="shared" si="62"/>
        <v>918.21275738566305</v>
      </c>
      <c r="BI76" s="59">
        <f ca="1">AVERAGE(OFFSET($BH$3,0,0,'Données projet'!$E$11+1,1))-AVERAGE(OFFSET($H$3,0,0,'Données projet'!$E$11+1,1))</f>
        <v>314.94704727988847</v>
      </c>
      <c r="BJ76" s="59">
        <f t="shared" si="92"/>
        <v>366.49199094166454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1.670937434243605</v>
      </c>
      <c r="BQ76" s="21">
        <f>EXP(-LN(2)/25)*BQ75+(1-EXP(-LN(2)/25))/(LN(2)/25)*Calculateur!BL76*Calculateur!BN76*VLOOKUP('Données projet'!$B$11,Paramètres!$A$1:$I$89,3,0)*0.475*44/12</f>
        <v>7.7122298408977743</v>
      </c>
      <c r="BR76" s="21">
        <f>EXP(-LN(2)/2)*BR75+(1-EXP(-LN(2)/2))/(LN(2)/2)*BL76*BO76*VLOOKUP('Données projet'!$B$11,Paramètres!$A$1:$I$89,3,0)*0.475*44/12</f>
        <v>9.733978726353973E-6</v>
      </c>
      <c r="BS76" s="22">
        <f t="shared" si="63"/>
        <v>9.3831770091201054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364.19999999999993</v>
      </c>
      <c r="BZ76" s="13">
        <f>BY76*VLOOKUP('Données projet'!$B$12,Paramètres!$A$1:$I$89,3,0)*VLOOKUP('Données projet'!$B$12,Paramètres!$A$1:$I$89,5,0)</f>
        <v>289.75751999999994</v>
      </c>
      <c r="CA76" s="13">
        <f t="shared" si="93"/>
        <v>69.024924431959747</v>
      </c>
      <c r="CB76" s="20">
        <f t="shared" si="64"/>
        <v>624.8794240523298</v>
      </c>
      <c r="CC76" s="59">
        <f t="shared" si="65"/>
        <v>918.21275738566305</v>
      </c>
      <c r="CD76" s="59">
        <f ca="1">AVERAGE(OFFSET($CC$3,0,0,'Données projet'!$E$12+1,1))-AVERAGE(OFFSET($H$3,0,0,'Données projet'!$E$12+1,1))</f>
        <v>314.94704727988847</v>
      </c>
      <c r="CE76" s="59">
        <f t="shared" si="94"/>
        <v>366.49199094166454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1.670937434243605</v>
      </c>
      <c r="CL76" s="21">
        <f>EXP(-LN(2)/25)*CL75+(1-EXP(-LN(2)/25))/(LN(2)/25)*Calculateur!CG76*Calculateur!CI76*VLOOKUP('Données projet'!$B$12,Paramètres!$A$1:$I$89,3,0)*0.475*44/12</f>
        <v>7.7122298408977743</v>
      </c>
      <c r="CM76" s="21">
        <f>EXP(-LN(2)/2)*CM75+(1-EXP(-LN(2)/2))/(LN(2)/2)*CG76*CJ76*VLOOKUP('Données projet'!$B$12,Paramètres!$A$1:$I$89,3,0)*0.475*44/12</f>
        <v>9.733978726353973E-6</v>
      </c>
      <c r="CN76" s="22">
        <f t="shared" si="66"/>
        <v>9.3831770091201054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7.8425925925925934</v>
      </c>
      <c r="CT76" s="12">
        <f>IF('Données projet'!$A$140&gt;35,CT75+CS76-DB75,IF(A76&lt;'Données projet'!$A$140,$CQ$205^A76,IF(A76='Données projet'!$A$140,'Données projet'!$B$140,CT75+CS76-DB75)))</f>
        <v>219.11467236467234</v>
      </c>
      <c r="CU76" s="17">
        <f>CT76*VLOOKUP('Données projet'!$B$13,Paramètres!$A$1:$I$89,3,0)*VLOOKUP('Données projet'!$B$13,Paramètres!$A$1:$I$89,5,0)</f>
        <v>198.25495555555554</v>
      </c>
      <c r="CV76" s="13">
        <f t="shared" si="95"/>
        <v>49.360464390082761</v>
      </c>
      <c r="CW76" s="20">
        <f t="shared" si="67"/>
        <v>431.26352307198675</v>
      </c>
      <c r="CX76" s="59">
        <f t="shared" si="68"/>
        <v>724.59685640532007</v>
      </c>
      <c r="CY76" s="59">
        <f ca="1">AVERAGE(OFFSET($CX$3,0,0,'Données projet'!$E$13+1,1))-AVERAGE(OFFSET($H$3,0,0,'Données projet'!$E$13+1,1))</f>
        <v>221.7429870520005</v>
      </c>
      <c r="CZ76" s="59">
        <f t="shared" si="96"/>
        <v>182.2029938397186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-1.0345502232667058E-13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199.01551760562705</v>
      </c>
      <c r="T77" s="59">
        <f t="shared" si="88"/>
        <v>269.50915104901367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1.0522673621731093</v>
      </c>
      <c r="AA77" s="21">
        <f>EXP(-LN(2)/25)*AA76+(1-EXP(-LN(2)/25))/(LN(2)/25)*Calculateur!V77*Calculateur!X77*VLOOKUP('Données projet'!$B$9,Paramètres!$A$1:$I$89,3,0)*0.475*44/12</f>
        <v>3.8355419288232948</v>
      </c>
      <c r="AB77" s="21">
        <f>EXP(-LN(2)/2)*AB76+(1-EXP(-LN(2)/2))/(LN(2)/2)*V77*Y77*VLOOKUP('Données projet'!$B$9,Paramètres!$A$1:$I$89,3,0)*0.475*44/12</f>
        <v>3.2847882859037378E-7</v>
      </c>
      <c r="AC77" s="22">
        <f t="shared" si="57"/>
        <v>4.8878096194752336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14.5</v>
      </c>
      <c r="AI77" s="13">
        <f>IF('Données projet'!$A$62&gt;35,AI76+AH77-AQ76,IF(A77&lt;'Données projet'!$A$62,$AF$205^A77,IF(A77='Données projet'!$A$62,'Données projet'!$B$62,AI76+AH77-AQ76)))</f>
        <v>518.99999999999955</v>
      </c>
      <c r="AJ77" s="13">
        <f>AI77*VLOOKUP('Données projet'!$B$10,Paramètres!$A$1:$I$89,3,0)*VLOOKUP('Données projet'!$B$10,Paramètres!$A$1:$I$89,5,0)</f>
        <v>310.36199999999974</v>
      </c>
      <c r="AK77" s="13">
        <f t="shared" si="89"/>
        <v>73.34442504403718</v>
      </c>
      <c r="AL77" s="20">
        <f t="shared" si="58"/>
        <v>668.28869028503095</v>
      </c>
      <c r="AM77" s="59">
        <f t="shared" si="59"/>
        <v>961.62202361836421</v>
      </c>
      <c r="AN77" s="59">
        <f ca="1">AVERAGE(OFFSET($AM$3,0,0,'Données projet'!$E$10+1,1))-AVERAGE(OFFSET($H$3,0,0,'Données projet'!$E$10+1,1))</f>
        <v>316.58509520829671</v>
      </c>
      <c r="AO77" s="59">
        <f t="shared" si="90"/>
        <v>240.71332110643596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1.0603828475296209</v>
      </c>
      <c r="AV77" s="21">
        <f>EXP(-LN(2)/25)*AV76+(1-EXP(-LN(2)/25))/(LN(2)/25)*Calculateur!AQ77*Calculateur!AS77*VLOOKUP('Données projet'!$B$10,Paramètres!$A$1:$I$89,3,0)*0.475*44/12</f>
        <v>4.5078273530667925</v>
      </c>
      <c r="AW77" s="21">
        <f>EXP(-LN(2)/2)*AW76+(1-EXP(-LN(2)/2))/(LN(2)/2)*AQ77*AT77*VLOOKUP('Données projet'!$B$10,Paramètres!$A$1:$I$89,3,0)*0.475*44/12</f>
        <v>5.230747001204696E-6</v>
      </c>
      <c r="AX77" s="21">
        <f t="shared" si="60"/>
        <v>5.5682154313434138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368.59999999999991</v>
      </c>
      <c r="BE77" s="13">
        <f>BD77*VLOOKUP('Données projet'!$B$11,Paramètres!$A$1:$I$89,3,0)*VLOOKUP('Données projet'!$B$11,Paramètres!$A$1:$I$89,5,0)</f>
        <v>293.25815999999998</v>
      </c>
      <c r="BF77" s="13">
        <f t="shared" si="91"/>
        <v>69.761250666559334</v>
      </c>
      <c r="BG77" s="20">
        <f t="shared" si="61"/>
        <v>632.25880691092414</v>
      </c>
      <c r="BH77" s="59">
        <f t="shared" si="62"/>
        <v>925.59214024425751</v>
      </c>
      <c r="BI77" s="59">
        <f ca="1">AVERAGE(OFFSET($BH$3,0,0,'Données projet'!$E$11+1,1))-AVERAGE(OFFSET($H$3,0,0,'Données projet'!$E$11+1,1))</f>
        <v>314.94704727988847</v>
      </c>
      <c r="BJ77" s="59">
        <f t="shared" si="92"/>
        <v>366.49199094166454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1.6381713703292879</v>
      </c>
      <c r="BQ77" s="21">
        <f>EXP(-LN(2)/25)*BQ76+(1-EXP(-LN(2)/25))/(LN(2)/25)*Calculateur!BL77*Calculateur!BN77*VLOOKUP('Données projet'!$B$11,Paramètres!$A$1:$I$89,3,0)*0.475*44/12</f>
        <v>7.5013385103298837</v>
      </c>
      <c r="BR77" s="21">
        <f>EXP(-LN(2)/2)*BR76+(1-EXP(-LN(2)/2))/(LN(2)/2)*BL77*BO77*VLOOKUP('Données projet'!$B$11,Paramètres!$A$1:$I$89,3,0)*0.475*44/12</f>
        <v>6.8829623653304874E-6</v>
      </c>
      <c r="BS77" s="22">
        <f t="shared" si="63"/>
        <v>9.139516763621538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368.59999999999991</v>
      </c>
      <c r="BZ77" s="13">
        <f>BY77*VLOOKUP('Données projet'!$B$12,Paramètres!$A$1:$I$89,3,0)*VLOOKUP('Données projet'!$B$12,Paramètres!$A$1:$I$89,5,0)</f>
        <v>293.25815999999998</v>
      </c>
      <c r="CA77" s="13">
        <f t="shared" si="93"/>
        <v>69.761250666559334</v>
      </c>
      <c r="CB77" s="20">
        <f t="shared" si="64"/>
        <v>632.25880691092414</v>
      </c>
      <c r="CC77" s="59">
        <f t="shared" si="65"/>
        <v>925.59214024425751</v>
      </c>
      <c r="CD77" s="59">
        <f ca="1">AVERAGE(OFFSET($CC$3,0,0,'Données projet'!$E$12+1,1))-AVERAGE(OFFSET($H$3,0,0,'Données projet'!$E$12+1,1))</f>
        <v>314.94704727988847</v>
      </c>
      <c r="CE77" s="59">
        <f t="shared" si="94"/>
        <v>366.49199094166454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1.6381713703292879</v>
      </c>
      <c r="CL77" s="21">
        <f>EXP(-LN(2)/25)*CL76+(1-EXP(-LN(2)/25))/(LN(2)/25)*Calculateur!CG77*Calculateur!CI77*VLOOKUP('Données projet'!$B$12,Paramètres!$A$1:$I$89,3,0)*0.475*44/12</f>
        <v>7.5013385103298837</v>
      </c>
      <c r="CM77" s="21">
        <f>EXP(-LN(2)/2)*CM76+(1-EXP(-LN(2)/2))/(LN(2)/2)*CG77*CJ77*VLOOKUP('Données projet'!$B$12,Paramètres!$A$1:$I$89,3,0)*0.475*44/12</f>
        <v>6.8829623653304874E-6</v>
      </c>
      <c r="CN77" s="22">
        <f t="shared" si="66"/>
        <v>9.139516763621538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7.8425925925925934</v>
      </c>
      <c r="CT77" s="12">
        <f>IF('Données projet'!$A$140&gt;35,CT76+CS77-DB76,IF(A77&lt;'Données projet'!$A$140,$CQ$205^A77,IF(A77='Données projet'!$A$140,'Données projet'!$B$140,CT76+CS77-DB76)))</f>
        <v>226.95726495726493</v>
      </c>
      <c r="CU77" s="17">
        <f>CT77*VLOOKUP('Données projet'!$B$13,Paramètres!$A$1:$I$89,3,0)*VLOOKUP('Données projet'!$B$13,Paramètres!$A$1:$I$89,5,0)</f>
        <v>205.35093333333327</v>
      </c>
      <c r="CV77" s="13">
        <f t="shared" si="95"/>
        <v>50.91832775961656</v>
      </c>
      <c r="CW77" s="20">
        <f t="shared" si="67"/>
        <v>446.33562973688754</v>
      </c>
      <c r="CX77" s="59">
        <f t="shared" si="68"/>
        <v>739.6689630702208</v>
      </c>
      <c r="CY77" s="59">
        <f ca="1">AVERAGE(OFFSET($CX$3,0,0,'Données projet'!$E$13+1,1))-AVERAGE(OFFSET($H$3,0,0,'Données projet'!$E$13+1,1))</f>
        <v>221.7429870520005</v>
      </c>
      <c r="CZ77" s="59">
        <f t="shared" si="96"/>
        <v>182.2029938397186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-1.0345502232667058E-13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199.01551760562705</v>
      </c>
      <c r="T78" s="59">
        <f t="shared" si="88"/>
        <v>269.50915104901367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1.0316330410206112</v>
      </c>
      <c r="AA78" s="21">
        <f>EXP(-LN(2)/25)*AA77+(1-EXP(-LN(2)/25))/(LN(2)/25)*Calculateur!V78*Calculateur!X78*VLOOKUP('Données projet'!$B$9,Paramètres!$A$1:$I$89,3,0)*0.475*44/12</f>
        <v>3.7306588330772379</v>
      </c>
      <c r="AB78" s="21">
        <f>EXP(-LN(2)/2)*AB77+(1-EXP(-LN(2)/2))/(LN(2)/2)*V78*Y78*VLOOKUP('Données projet'!$B$9,Paramètres!$A$1:$I$89,3,0)*0.475*44/12</f>
        <v>2.322696071724669E-7</v>
      </c>
      <c r="AC78" s="22">
        <f t="shared" si="57"/>
        <v>4.7622921063674566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14.5</v>
      </c>
      <c r="AI78" s="13">
        <f>IF('Données projet'!$A$62&gt;35,AI77+AH78-AQ77,IF(A78&lt;'Données projet'!$A$62,$AF$205^A78,IF(A78='Données projet'!$A$62,'Données projet'!$B$62,AI77+AH78-AQ77)))</f>
        <v>533.49999999999955</v>
      </c>
      <c r="AJ78" s="13">
        <f>AI78*VLOOKUP('Données projet'!$B$10,Paramètres!$A$1:$I$89,3,0)*VLOOKUP('Données projet'!$B$10,Paramètres!$A$1:$I$89,5,0)</f>
        <v>319.03299999999973</v>
      </c>
      <c r="AK78" s="13">
        <f t="shared" si="89"/>
        <v>75.152115080720222</v>
      </c>
      <c r="AL78" s="20">
        <f t="shared" si="58"/>
        <v>686.53907543225387</v>
      </c>
      <c r="AM78" s="59">
        <f t="shared" si="59"/>
        <v>979.87240876558712</v>
      </c>
      <c r="AN78" s="59">
        <f ca="1">AVERAGE(OFFSET($AM$3,0,0,'Données projet'!$E$10+1,1))-AVERAGE(OFFSET($H$3,0,0,'Données projet'!$E$10+1,1))</f>
        <v>316.58509520829671</v>
      </c>
      <c r="AO78" s="59">
        <f t="shared" si="90"/>
        <v>240.71332110643596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1.0395893866592387</v>
      </c>
      <c r="AV78" s="21">
        <f>EXP(-LN(2)/25)*AV77+(1-EXP(-LN(2)/25))/(LN(2)/25)*Calculateur!AQ78*Calculateur!AS78*VLOOKUP('Données projet'!$B$10,Paramètres!$A$1:$I$89,3,0)*0.475*44/12</f>
        <v>4.3845605770408431</v>
      </c>
      <c r="AW78" s="21">
        <f>EXP(-LN(2)/2)*AW77+(1-EXP(-LN(2)/2))/(LN(2)/2)*AQ78*AT78*VLOOKUP('Données projet'!$B$10,Paramètres!$A$1:$I$89,3,0)*0.475*44/12</f>
        <v>3.6986966752230388E-6</v>
      </c>
      <c r="AX78" s="21">
        <f t="shared" si="60"/>
        <v>5.4241536623967566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372.99999999999989</v>
      </c>
      <c r="BE78" s="13">
        <f>BD78*VLOOKUP('Données projet'!$B$11,Paramètres!$A$1:$I$89,3,0)*VLOOKUP('Données projet'!$B$11,Paramètres!$A$1:$I$89,5,0)</f>
        <v>296.75879999999989</v>
      </c>
      <c r="BF78" s="13">
        <f t="shared" si="91"/>
        <v>70.496554480015604</v>
      </c>
      <c r="BG78" s="20">
        <f t="shared" si="61"/>
        <v>639.63640905269369</v>
      </c>
      <c r="BH78" s="59">
        <f t="shared" si="62"/>
        <v>932.96974238602706</v>
      </c>
      <c r="BI78" s="59">
        <f ca="1">AVERAGE(OFFSET($BH$3,0,0,'Données projet'!$E$11+1,1))-AVERAGE(OFFSET($H$3,0,0,'Données projet'!$E$11+1,1))</f>
        <v>314.94704727988847</v>
      </c>
      <c r="BJ78" s="59">
        <f t="shared" si="92"/>
        <v>366.49199094166454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1.6060478289430051</v>
      </c>
      <c r="BQ78" s="21">
        <f>EXP(-LN(2)/25)*BQ77+(1-EXP(-LN(2)/25))/(LN(2)/25)*Calculateur!BL78*Calculateur!BN78*VLOOKUP('Données projet'!$B$11,Paramètres!$A$1:$I$89,3,0)*0.475*44/12</f>
        <v>7.2962140142866652</v>
      </c>
      <c r="BR78" s="21">
        <f>EXP(-LN(2)/2)*BR77+(1-EXP(-LN(2)/2))/(LN(2)/2)*BL78*BO78*VLOOKUP('Données projet'!$B$11,Paramètres!$A$1:$I$89,3,0)*0.475*44/12</f>
        <v>4.8669893631769865E-6</v>
      </c>
      <c r="BS78" s="22">
        <f t="shared" si="63"/>
        <v>8.9022667102190329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372.99999999999989</v>
      </c>
      <c r="BZ78" s="13">
        <f>BY78*VLOOKUP('Données projet'!$B$12,Paramètres!$A$1:$I$89,3,0)*VLOOKUP('Données projet'!$B$12,Paramètres!$A$1:$I$89,5,0)</f>
        <v>296.75879999999989</v>
      </c>
      <c r="CA78" s="13">
        <f t="shared" si="93"/>
        <v>70.496554480015604</v>
      </c>
      <c r="CB78" s="20">
        <f t="shared" si="64"/>
        <v>639.63640905269369</v>
      </c>
      <c r="CC78" s="59">
        <f t="shared" si="65"/>
        <v>932.96974238602706</v>
      </c>
      <c r="CD78" s="59">
        <f ca="1">AVERAGE(OFFSET($CC$3,0,0,'Données projet'!$E$12+1,1))-AVERAGE(OFFSET($H$3,0,0,'Données projet'!$E$12+1,1))</f>
        <v>314.94704727988847</v>
      </c>
      <c r="CE78" s="59">
        <f t="shared" si="94"/>
        <v>366.49199094166454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1.6060478289430051</v>
      </c>
      <c r="CL78" s="21">
        <f>EXP(-LN(2)/25)*CL77+(1-EXP(-LN(2)/25))/(LN(2)/25)*Calculateur!CG78*Calculateur!CI78*VLOOKUP('Données projet'!$B$12,Paramètres!$A$1:$I$89,3,0)*0.475*44/12</f>
        <v>7.2962140142866652</v>
      </c>
      <c r="CM78" s="21">
        <f>EXP(-LN(2)/2)*CM77+(1-EXP(-LN(2)/2))/(LN(2)/2)*CG78*CJ78*VLOOKUP('Données projet'!$B$12,Paramètres!$A$1:$I$89,3,0)*0.475*44/12</f>
        <v>4.8669893631769865E-6</v>
      </c>
      <c r="CN78" s="22">
        <f t="shared" si="66"/>
        <v>8.9022667102190329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7.8425925925925934</v>
      </c>
      <c r="CT78" s="12">
        <f>IF('Données projet'!$A$140&gt;35,CT77+CS78-DB77,IF(A78&lt;'Données projet'!$A$140,$CQ$205^A78,IF(A78='Données projet'!$A$140,'Données projet'!$B$140,CT77+CS78-DB77)))</f>
        <v>234.79985754985751</v>
      </c>
      <c r="CU78" s="17">
        <f>CT78*VLOOKUP('Données projet'!$B$13,Paramètres!$A$1:$I$89,3,0)*VLOOKUP('Données projet'!$B$13,Paramètres!$A$1:$I$89,5,0)</f>
        <v>212.44691111111109</v>
      </c>
      <c r="CV78" s="13">
        <f t="shared" si="95"/>
        <v>52.469936290697454</v>
      </c>
      <c r="CW78" s="20">
        <f t="shared" si="67"/>
        <v>461.3968425581499</v>
      </c>
      <c r="CX78" s="59">
        <f t="shared" si="68"/>
        <v>754.73017589148321</v>
      </c>
      <c r="CY78" s="59">
        <f ca="1">AVERAGE(OFFSET($CX$3,0,0,'Données projet'!$E$13+1,1))-AVERAGE(OFFSET($H$3,0,0,'Données projet'!$E$13+1,1))</f>
        <v>221.7429870520005</v>
      </c>
      <c r="CZ78" s="59">
        <f t="shared" si="96"/>
        <v>182.2029938397186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-1.0345502232667058E-13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199.01551760562705</v>
      </c>
      <c r="T79" s="59">
        <f t="shared" si="88"/>
        <v>269.50915104901367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1.0114033463202203</v>
      </c>
      <c r="AA79" s="21">
        <f>EXP(-LN(2)/25)*AA78+(1-EXP(-LN(2)/25))/(LN(2)/25)*Calculateur!V79*Calculateur!X79*VLOOKUP('Données projet'!$B$9,Paramètres!$A$1:$I$89,3,0)*0.475*44/12</f>
        <v>3.6286437710999193</v>
      </c>
      <c r="AB79" s="21">
        <f>EXP(-LN(2)/2)*AB78+(1-EXP(-LN(2)/2))/(LN(2)/2)*V79*Y79*VLOOKUP('Données projet'!$B$9,Paramètres!$A$1:$I$89,3,0)*0.475*44/12</f>
        <v>1.6423941429518692E-7</v>
      </c>
      <c r="AC79" s="22">
        <f t="shared" si="57"/>
        <v>4.6400472816595535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14.5</v>
      </c>
      <c r="AI79" s="13">
        <f>IF('Données projet'!$A$62&gt;35,AI78+AH79-AQ78,IF(A79&lt;'Données projet'!$A$62,$AF$205^A79,IF(A79='Données projet'!$A$62,'Données projet'!$B$62,AI78+AH79-AQ78)))</f>
        <v>547.99999999999955</v>
      </c>
      <c r="AJ79" s="13">
        <f>AI79*VLOOKUP('Données projet'!$B$10,Paramètres!$A$1:$I$89,3,0)*VLOOKUP('Données projet'!$B$10,Paramètres!$A$1:$I$89,5,0)</f>
        <v>327.70399999999978</v>
      </c>
      <c r="AK79" s="13">
        <f t="shared" si="89"/>
        <v>76.954094537214388</v>
      </c>
      <c r="AL79" s="20">
        <f t="shared" si="58"/>
        <v>704.77951465231456</v>
      </c>
      <c r="AM79" s="59">
        <f t="shared" si="59"/>
        <v>998.11284798564793</v>
      </c>
      <c r="AN79" s="59">
        <f ca="1">AVERAGE(OFFSET($AM$3,0,0,'Données projet'!$E$10+1,1))-AVERAGE(OFFSET($H$3,0,0,'Données projet'!$E$10+1,1))</f>
        <v>316.58509520829671</v>
      </c>
      <c r="AO79" s="59">
        <f t="shared" si="90"/>
        <v>240.71332110643596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1.0192036728737661</v>
      </c>
      <c r="AV79" s="21">
        <f>EXP(-LN(2)/25)*AV78+(1-EXP(-LN(2)/25))/(LN(2)/25)*Calculateur!AQ79*Calculateur!AS79*VLOOKUP('Données projet'!$B$10,Paramètres!$A$1:$I$89,3,0)*0.475*44/12</f>
        <v>4.2646645374876417</v>
      </c>
      <c r="AW79" s="21">
        <f>EXP(-LN(2)/2)*AW78+(1-EXP(-LN(2)/2))/(LN(2)/2)*AQ79*AT79*VLOOKUP('Données projet'!$B$10,Paramètres!$A$1:$I$89,3,0)*0.475*44/12</f>
        <v>2.6153735006023484E-6</v>
      </c>
      <c r="AX79" s="21">
        <f t="shared" si="60"/>
        <v>5.2838708257349092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4.4000000000000004</v>
      </c>
      <c r="BD79" s="12">
        <f>IF('Données projet'!$A$88&gt;35,BD78+BC79-BL78,IF(A79&lt;'Données projet'!$A$88,$BA$205^A79,IF(A79='Données projet'!$A$88,'Données projet'!$B$88,BD78+BC79-BL78)))</f>
        <v>377.39999999999986</v>
      </c>
      <c r="BE79" s="13">
        <f>BD79*VLOOKUP('Données projet'!$B$11,Paramètres!$A$1:$I$89,3,0)*VLOOKUP('Données projet'!$B$11,Paramètres!$A$1:$I$89,5,0)</f>
        <v>300.25943999999993</v>
      </c>
      <c r="BF79" s="13">
        <f t="shared" si="91"/>
        <v>71.230849328317547</v>
      </c>
      <c r="BG79" s="20">
        <f t="shared" si="61"/>
        <v>647.01225391348623</v>
      </c>
      <c r="BH79" s="59">
        <f t="shared" si="62"/>
        <v>940.3455872468196</v>
      </c>
      <c r="BI79" s="59">
        <f ca="1">AVERAGE(OFFSET($BH$3,0,0,'Données projet'!$E$11+1,1))-AVERAGE(OFFSET($H$3,0,0,'Données projet'!$E$11+1,1))</f>
        <v>314.94704727988847</v>
      </c>
      <c r="BJ79" s="59">
        <f t="shared" si="92"/>
        <v>366.49199094166454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1.5745542106098818</v>
      </c>
      <c r="BQ79" s="21">
        <f>EXP(-LN(2)/25)*BQ78+(1-EXP(-LN(2)/25))/(LN(2)/25)*Calculateur!BL79*Calculateur!BN79*VLOOKUP('Données projet'!$B$11,Paramètres!$A$1:$I$89,3,0)*0.475*44/12</f>
        <v>7.0966986583747769</v>
      </c>
      <c r="BR79" s="21">
        <f>EXP(-LN(2)/2)*BR78+(1-EXP(-LN(2)/2))/(LN(2)/2)*BL79*BO79*VLOOKUP('Données projet'!$B$11,Paramètres!$A$1:$I$89,3,0)*0.475*44/12</f>
        <v>3.4414811826652437E-6</v>
      </c>
      <c r="BS79" s="22">
        <f t="shared" si="63"/>
        <v>8.6712563104658411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377.39999999999986</v>
      </c>
      <c r="BZ79" s="13">
        <f>BY79*VLOOKUP('Données projet'!$B$12,Paramètres!$A$1:$I$89,3,0)*VLOOKUP('Données projet'!$B$12,Paramètres!$A$1:$I$89,5,0)</f>
        <v>300.25943999999993</v>
      </c>
      <c r="CA79" s="13">
        <f t="shared" si="93"/>
        <v>71.230849328317547</v>
      </c>
      <c r="CB79" s="20">
        <f t="shared" si="64"/>
        <v>647.01225391348623</v>
      </c>
      <c r="CC79" s="59">
        <f t="shared" si="65"/>
        <v>940.3455872468196</v>
      </c>
      <c r="CD79" s="59">
        <f ca="1">AVERAGE(OFFSET($CC$3,0,0,'Données projet'!$E$12+1,1))-AVERAGE(OFFSET($H$3,0,0,'Données projet'!$E$12+1,1))</f>
        <v>314.94704727988847</v>
      </c>
      <c r="CE79" s="59">
        <f t="shared" si="94"/>
        <v>366.49199094166454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1.5745542106098818</v>
      </c>
      <c r="CL79" s="21">
        <f>EXP(-LN(2)/25)*CL78+(1-EXP(-LN(2)/25))/(LN(2)/25)*Calculateur!CG79*Calculateur!CI79*VLOOKUP('Données projet'!$B$12,Paramètres!$A$1:$I$89,3,0)*0.475*44/12</f>
        <v>7.0966986583747769</v>
      </c>
      <c r="CM79" s="21">
        <f>EXP(-LN(2)/2)*CM78+(1-EXP(-LN(2)/2))/(LN(2)/2)*CG79*CJ79*VLOOKUP('Données projet'!$B$12,Paramètres!$A$1:$I$89,3,0)*0.475*44/12</f>
        <v>3.4414811826652437E-6</v>
      </c>
      <c r="CN79" s="22">
        <f t="shared" si="66"/>
        <v>8.6712563104658411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7.8425925925925934</v>
      </c>
      <c r="CT79" s="12">
        <f>IF('Données projet'!$A$140&gt;35,CT78+CS79-DB78,IF(A79&lt;'Données projet'!$A$140,$CQ$205^A79,IF(A79='Données projet'!$A$140,'Données projet'!$B$140,CT78+CS79-DB78)))</f>
        <v>242.64245014245009</v>
      </c>
      <c r="CU79" s="17">
        <f>CT79*VLOOKUP('Données projet'!$B$13,Paramètres!$A$1:$I$89,3,0)*VLOOKUP('Données projet'!$B$13,Paramètres!$A$1:$I$89,5,0)</f>
        <v>219.54288888888885</v>
      </c>
      <c r="CV79" s="13">
        <f t="shared" si="95"/>
        <v>54.015522855627438</v>
      </c>
      <c r="CW79" s="20">
        <f t="shared" si="67"/>
        <v>476.44756712169919</v>
      </c>
      <c r="CX79" s="59">
        <f t="shared" si="68"/>
        <v>769.78090045503245</v>
      </c>
      <c r="CY79" s="59">
        <f ca="1">AVERAGE(OFFSET($CX$3,0,0,'Données projet'!$E$13+1,1))-AVERAGE(OFFSET($H$3,0,0,'Données projet'!$E$13+1,1))</f>
        <v>221.7429870520005</v>
      </c>
      <c r="CZ79" s="59">
        <f t="shared" si="96"/>
        <v>182.2029938397186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-1.0345502232667058E-13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199.01551760562705</v>
      </c>
      <c r="T80" s="59">
        <f t="shared" si="88"/>
        <v>269.50915104901367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0.99157034359400875</v>
      </c>
      <c r="AA80" s="21">
        <f>EXP(-LN(2)/25)*AA79+(1-EXP(-LN(2)/25))/(LN(2)/25)*Calculateur!V80*Calculateur!X80*VLOOKUP('Données projet'!$B$9,Paramètres!$A$1:$I$89,3,0)*0.475*44/12</f>
        <v>3.5294183163571096</v>
      </c>
      <c r="AB80" s="21">
        <f>EXP(-LN(2)/2)*AB79+(1-EXP(-LN(2)/2))/(LN(2)/2)*V80*Y80*VLOOKUP('Données projet'!$B$9,Paramètres!$A$1:$I$89,3,0)*0.475*44/12</f>
        <v>1.1613480358623348E-7</v>
      </c>
      <c r="AC80" s="22">
        <f t="shared" si="57"/>
        <v>4.5209887760859226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14.5</v>
      </c>
      <c r="AI80" s="13">
        <f>IF('Données projet'!$A$62&gt;35,AI79+AH80-AQ79,IF(A80&lt;'Données projet'!$A$62,$AF$205^A80,IF(A80='Données projet'!$A$62,'Données projet'!$B$62,AI79+AH80-AQ79)))</f>
        <v>562.49999999999955</v>
      </c>
      <c r="AJ80" s="13">
        <f>AI80*VLOOKUP('Données projet'!$B$10,Paramètres!$A$1:$I$89,3,0)*VLOOKUP('Données projet'!$B$10,Paramètres!$A$1:$I$89,5,0)</f>
        <v>336.37499999999977</v>
      </c>
      <c r="AK80" s="13">
        <f t="shared" si="89"/>
        <v>78.750531883095675</v>
      </c>
      <c r="AL80" s="20">
        <f t="shared" si="58"/>
        <v>723.01030136305792</v>
      </c>
      <c r="AM80" s="59">
        <f t="shared" si="59"/>
        <v>1016.3436346963913</v>
      </c>
      <c r="AN80" s="59">
        <f ca="1">AVERAGE(OFFSET($AM$3,0,0,'Données projet'!$E$10+1,1))-AVERAGE(OFFSET($H$3,0,0,'Données projet'!$E$10+1,1))</f>
        <v>316.58509520829671</v>
      </c>
      <c r="AO80" s="59">
        <f t="shared" si="90"/>
        <v>240.71332110643596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0.99921771050156893</v>
      </c>
      <c r="AV80" s="21">
        <f>EXP(-LN(2)/25)*AV79+(1-EXP(-LN(2)/25))/(LN(2)/25)*Calculateur!AQ80*Calculateur!AS80*VLOOKUP('Données projet'!$B$10,Paramètres!$A$1:$I$89,3,0)*0.475*44/12</f>
        <v>4.1480470614410816</v>
      </c>
      <c r="AW80" s="21">
        <f>EXP(-LN(2)/2)*AW79+(1-EXP(-LN(2)/2))/(LN(2)/2)*AQ80*AT80*VLOOKUP('Données projet'!$B$10,Paramètres!$A$1:$I$89,3,0)*0.475*44/12</f>
        <v>1.8493483376115198E-6</v>
      </c>
      <c r="AX80" s="21">
        <f t="shared" si="60"/>
        <v>5.1472666212909877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4.4000000000000004</v>
      </c>
      <c r="BD80" s="12">
        <f>IF('Données projet'!$A$88&gt;35,BD79+BC80-BL79,IF(A80&lt;'Données projet'!$A$88,$BA$205^A80,IF(A80='Données projet'!$A$88,'Données projet'!$B$88,BD79+BC80-BL79)))</f>
        <v>381.79999999999984</v>
      </c>
      <c r="BE80" s="13">
        <f>BD80*VLOOKUP('Données projet'!$B$11,Paramètres!$A$1:$I$89,3,0)*VLOOKUP('Données projet'!$B$11,Paramètres!$A$1:$I$89,5,0)</f>
        <v>303.7600799999999</v>
      </c>
      <c r="BF80" s="13">
        <f t="shared" si="91"/>
        <v>71.964148335636722</v>
      </c>
      <c r="BG80" s="20">
        <f t="shared" si="61"/>
        <v>654.38636435123374</v>
      </c>
      <c r="BH80" s="59">
        <f t="shared" si="62"/>
        <v>947.71969768456711</v>
      </c>
      <c r="BI80" s="59">
        <f ca="1">AVERAGE(OFFSET($BH$3,0,0,'Données projet'!$E$11+1,1))-AVERAGE(OFFSET($H$3,0,0,'Données projet'!$E$11+1,1))</f>
        <v>314.94704727988847</v>
      </c>
      <c r="BJ80" s="59">
        <f t="shared" si="92"/>
        <v>366.49199094166454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1.5436781629230605</v>
      </c>
      <c r="BQ80" s="21">
        <f>EXP(-LN(2)/25)*BQ79+(1-EXP(-LN(2)/25))/(LN(2)/25)*Calculateur!BL80*Calculateur!BN80*VLOOKUP('Données projet'!$B$11,Paramètres!$A$1:$I$89,3,0)*0.475*44/12</f>
        <v>6.9026390603623557</v>
      </c>
      <c r="BR80" s="21">
        <f>EXP(-LN(2)/2)*BR79+(1-EXP(-LN(2)/2))/(LN(2)/2)*BL80*BO80*VLOOKUP('Données projet'!$B$11,Paramètres!$A$1:$I$89,3,0)*0.475*44/12</f>
        <v>2.4334946815884932E-6</v>
      </c>
      <c r="BS80" s="22">
        <f t="shared" si="63"/>
        <v>8.4463196567800978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381.79999999999984</v>
      </c>
      <c r="BZ80" s="13">
        <f>BY80*VLOOKUP('Données projet'!$B$12,Paramètres!$A$1:$I$89,3,0)*VLOOKUP('Données projet'!$B$12,Paramètres!$A$1:$I$89,5,0)</f>
        <v>303.7600799999999</v>
      </c>
      <c r="CA80" s="13">
        <f t="shared" si="93"/>
        <v>71.964148335636722</v>
      </c>
      <c r="CB80" s="20">
        <f t="shared" si="64"/>
        <v>654.38636435123374</v>
      </c>
      <c r="CC80" s="59">
        <f t="shared" si="65"/>
        <v>947.71969768456711</v>
      </c>
      <c r="CD80" s="59">
        <f ca="1">AVERAGE(OFFSET($CC$3,0,0,'Données projet'!$E$12+1,1))-AVERAGE(OFFSET($H$3,0,0,'Données projet'!$E$12+1,1))</f>
        <v>314.94704727988847</v>
      </c>
      <c r="CE80" s="59">
        <f t="shared" si="94"/>
        <v>366.49199094166454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1.5436781629230605</v>
      </c>
      <c r="CL80" s="21">
        <f>EXP(-LN(2)/25)*CL79+(1-EXP(-LN(2)/25))/(LN(2)/25)*Calculateur!CG80*Calculateur!CI80*VLOOKUP('Données projet'!$B$12,Paramètres!$A$1:$I$89,3,0)*0.475*44/12</f>
        <v>6.9026390603623557</v>
      </c>
      <c r="CM80" s="21">
        <f>EXP(-LN(2)/2)*CM79+(1-EXP(-LN(2)/2))/(LN(2)/2)*CG80*CJ80*VLOOKUP('Données projet'!$B$12,Paramètres!$A$1:$I$89,3,0)*0.475*44/12</f>
        <v>2.4334946815884932E-6</v>
      </c>
      <c r="CN80" s="22">
        <f t="shared" si="66"/>
        <v>8.4463196567800978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7.8425925925925934</v>
      </c>
      <c r="CT80" s="12">
        <f>IF('Données projet'!$A$140&gt;35,CT79+CS80-DB79,IF(A80&lt;'Données projet'!$A$140,$CQ$205^A80,IF(A80='Données projet'!$A$140,'Données projet'!$B$140,CT79+CS80-DB79)))</f>
        <v>250.48504273504267</v>
      </c>
      <c r="CU80" s="17">
        <f>CT80*VLOOKUP('Données projet'!$B$13,Paramètres!$A$1:$I$89,3,0)*VLOOKUP('Données projet'!$B$13,Paramètres!$A$1:$I$89,5,0)</f>
        <v>226.63886666666662</v>
      </c>
      <c r="CV80" s="13">
        <f t="shared" si="95"/>
        <v>55.555304418491211</v>
      </c>
      <c r="CW80" s="20">
        <f t="shared" si="67"/>
        <v>491.48818130664989</v>
      </c>
      <c r="CX80" s="59">
        <f t="shared" si="68"/>
        <v>784.82151463998321</v>
      </c>
      <c r="CY80" s="59">
        <f ca="1">AVERAGE(OFFSET($CX$3,0,0,'Données projet'!$E$13+1,1))-AVERAGE(OFFSET($H$3,0,0,'Données projet'!$E$13+1,1))</f>
        <v>221.7429870520005</v>
      </c>
      <c r="CZ80" s="59">
        <f t="shared" si="96"/>
        <v>182.2029938397186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-1.0345502232667058E-13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199.01551760562705</v>
      </c>
      <c r="T81" s="59">
        <f t="shared" si="88"/>
        <v>269.50915104901367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0.97212625395432095</v>
      </c>
      <c r="AA81" s="21">
        <f>EXP(-LN(2)/25)*AA80+(1-EXP(-LN(2)/25))/(LN(2)/25)*Calculateur!V81*Calculateur!X81*VLOOKUP('Données projet'!$B$9,Paramètres!$A$1:$I$89,3,0)*0.475*44/12</f>
        <v>3.4329061868922817</v>
      </c>
      <c r="AB81" s="21">
        <f>EXP(-LN(2)/2)*AB80+(1-EXP(-LN(2)/2))/(LN(2)/2)*V81*Y81*VLOOKUP('Données projet'!$B$9,Paramètres!$A$1:$I$89,3,0)*0.475*44/12</f>
        <v>8.2119707147593472E-8</v>
      </c>
      <c r="AC81" s="22">
        <f t="shared" si="57"/>
        <v>4.4050325229663096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14.5</v>
      </c>
      <c r="AI81" s="13">
        <f>IF('Données projet'!$A$62&gt;35,AI80+AH81-AQ80,IF(A81&lt;'Données projet'!$A$62,$AF$205^A81,IF(A81='Données projet'!$A$62,'Données projet'!$B$62,AI80+AH81-AQ80)))</f>
        <v>576.99999999999955</v>
      </c>
      <c r="AJ81" s="13">
        <f>AI81*VLOOKUP('Données projet'!$B$10,Paramètres!$A$1:$I$89,3,0)*VLOOKUP('Données projet'!$B$10,Paramètres!$A$1:$I$89,5,0)</f>
        <v>345.04599999999976</v>
      </c>
      <c r="AK81" s="13">
        <f t="shared" si="89"/>
        <v>80.541586407606928</v>
      </c>
      <c r="AL81" s="20">
        <f t="shared" si="58"/>
        <v>741.23171299324815</v>
      </c>
      <c r="AM81" s="59">
        <f t="shared" si="59"/>
        <v>1034.5650463265815</v>
      </c>
      <c r="AN81" s="59">
        <f ca="1">AVERAGE(OFFSET($AM$3,0,0,'Données projet'!$E$10+1,1))-AVERAGE(OFFSET($H$3,0,0,'Données projet'!$E$10+1,1))</f>
        <v>316.58509520829671</v>
      </c>
      <c r="AO81" s="59">
        <f t="shared" si="90"/>
        <v>240.71332110643596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0.97962366066125717</v>
      </c>
      <c r="AV81" s="21">
        <f>EXP(-LN(2)/25)*AV80+(1-EXP(-LN(2)/25))/(LN(2)/25)*Calculateur!AQ81*Calculateur!AS81*VLOOKUP('Données projet'!$B$10,Paramètres!$A$1:$I$89,3,0)*0.475*44/12</f>
        <v>4.034618496409661</v>
      </c>
      <c r="AW81" s="21">
        <f>EXP(-LN(2)/2)*AW80+(1-EXP(-LN(2)/2))/(LN(2)/2)*AQ81*AT81*VLOOKUP('Données projet'!$B$10,Paramètres!$A$1:$I$89,3,0)*0.475*44/12</f>
        <v>1.3076867503011744E-6</v>
      </c>
      <c r="AX81" s="21">
        <f t="shared" si="60"/>
        <v>5.0142434647576684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4.4000000000000004</v>
      </c>
      <c r="BD81" s="12">
        <f>IF('Données projet'!$A$88&gt;35,BD80+BC81-BL80,IF(A81&lt;'Données projet'!$A$88,$BA$205^A81,IF(A81='Données projet'!$A$88,'Données projet'!$B$88,BD80+BC81-BL80)))</f>
        <v>386.19999999999982</v>
      </c>
      <c r="BE81" s="13">
        <f>BD81*VLOOKUP('Données projet'!$B$11,Paramètres!$A$1:$I$89,3,0)*VLOOKUP('Données projet'!$B$11,Paramètres!$A$1:$I$89,5,0)</f>
        <v>307.26071999999988</v>
      </c>
      <c r="BF81" s="13">
        <f t="shared" si="91"/>
        <v>72.696464306238028</v>
      </c>
      <c r="BG81" s="20">
        <f t="shared" si="61"/>
        <v>661.75876266669763</v>
      </c>
      <c r="BH81" s="59">
        <f t="shared" si="62"/>
        <v>955.09209600003101</v>
      </c>
      <c r="BI81" s="59">
        <f ca="1">AVERAGE(OFFSET($BH$3,0,0,'Données projet'!$E$11+1,1))-AVERAGE(OFFSET($H$3,0,0,'Données projet'!$E$11+1,1))</f>
        <v>314.94704727988847</v>
      </c>
      <c r="BJ81" s="59">
        <f t="shared" si="92"/>
        <v>366.49199094166454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1.5134075756988483</v>
      </c>
      <c r="BQ81" s="21">
        <f>EXP(-LN(2)/25)*BQ80+(1-EXP(-LN(2)/25))/(LN(2)/25)*Calculateur!BL81*Calculateur!BN81*VLOOKUP('Données projet'!$B$11,Paramètres!$A$1:$I$89,3,0)*0.475*44/12</f>
        <v>6.7138860322627352</v>
      </c>
      <c r="BR81" s="21">
        <f>EXP(-LN(2)/2)*BR80+(1-EXP(-LN(2)/2))/(LN(2)/2)*BL81*BO81*VLOOKUP('Données projet'!$B$11,Paramètres!$A$1:$I$89,3,0)*0.475*44/12</f>
        <v>1.7207405913326219E-6</v>
      </c>
      <c r="BS81" s="22">
        <f t="shared" si="63"/>
        <v>8.2272953287021746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386.19999999999982</v>
      </c>
      <c r="BZ81" s="13">
        <f>BY81*VLOOKUP('Données projet'!$B$12,Paramètres!$A$1:$I$89,3,0)*VLOOKUP('Données projet'!$B$12,Paramètres!$A$1:$I$89,5,0)</f>
        <v>307.26071999999988</v>
      </c>
      <c r="CA81" s="13">
        <f t="shared" si="93"/>
        <v>72.696464306238028</v>
      </c>
      <c r="CB81" s="20">
        <f t="shared" si="64"/>
        <v>661.75876266669763</v>
      </c>
      <c r="CC81" s="59">
        <f t="shared" si="65"/>
        <v>955.09209600003101</v>
      </c>
      <c r="CD81" s="59">
        <f ca="1">AVERAGE(OFFSET($CC$3,0,0,'Données projet'!$E$12+1,1))-AVERAGE(OFFSET($H$3,0,0,'Données projet'!$E$12+1,1))</f>
        <v>314.94704727988847</v>
      </c>
      <c r="CE81" s="59">
        <f t="shared" si="94"/>
        <v>366.49199094166454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1.5134075756988483</v>
      </c>
      <c r="CL81" s="21">
        <f>EXP(-LN(2)/25)*CL80+(1-EXP(-LN(2)/25))/(LN(2)/25)*Calculateur!CG81*Calculateur!CI81*VLOOKUP('Données projet'!$B$12,Paramètres!$A$1:$I$89,3,0)*0.475*44/12</f>
        <v>6.7138860322627352</v>
      </c>
      <c r="CM81" s="21">
        <f>EXP(-LN(2)/2)*CM80+(1-EXP(-LN(2)/2))/(LN(2)/2)*CG81*CJ81*VLOOKUP('Données projet'!$B$12,Paramètres!$A$1:$I$89,3,0)*0.475*44/12</f>
        <v>1.7207405913326219E-6</v>
      </c>
      <c r="CN81" s="22">
        <f t="shared" si="66"/>
        <v>8.2272953287021746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7.8425925925925934</v>
      </c>
      <c r="CT81" s="12">
        <f>IF('Données projet'!$A$140&gt;35,CT80+CS81-DB80,IF(A81&lt;'Données projet'!$A$140,$CQ$205^A81,IF(A81='Données projet'!$A$140,'Données projet'!$B$140,CT80+CS81-DB80)))</f>
        <v>258.32763532763528</v>
      </c>
      <c r="CU81" s="17">
        <f>CT81*VLOOKUP('Données projet'!$B$13,Paramètres!$A$1:$I$89,3,0)*VLOOKUP('Données projet'!$B$13,Paramètres!$A$1:$I$89,5,0)</f>
        <v>233.73484444444438</v>
      </c>
      <c r="CV81" s="13">
        <f t="shared" si="95"/>
        <v>57.089483585580737</v>
      </c>
      <c r="CW81" s="20">
        <f t="shared" si="67"/>
        <v>506.51903798562699</v>
      </c>
      <c r="CX81" s="59">
        <f t="shared" si="68"/>
        <v>799.85237131896031</v>
      </c>
      <c r="CY81" s="59">
        <f ca="1">AVERAGE(OFFSET($CX$3,0,0,'Données projet'!$E$13+1,1))-AVERAGE(OFFSET($H$3,0,0,'Données projet'!$E$13+1,1))</f>
        <v>221.7429870520005</v>
      </c>
      <c r="CZ81" s="59">
        <f t="shared" si="96"/>
        <v>182.2029938397186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-1.0345502232667058E-13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199.01551760562705</v>
      </c>
      <c r="T82" s="59">
        <f t="shared" si="88"/>
        <v>269.50915104901367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0.95306345105274382</v>
      </c>
      <c r="AA82" s="21">
        <f>EXP(-LN(2)/25)*AA81+(1-EXP(-LN(2)/25))/(LN(2)/25)*Calculateur!V82*Calculateur!X82*VLOOKUP('Données projet'!$B$9,Paramètres!$A$1:$I$89,3,0)*0.475*44/12</f>
        <v>3.3390331866830221</v>
      </c>
      <c r="AB82" s="21">
        <f>EXP(-LN(2)/2)*AB81+(1-EXP(-LN(2)/2))/(LN(2)/2)*V82*Y82*VLOOKUP('Données projet'!$B$9,Paramètres!$A$1:$I$89,3,0)*0.475*44/12</f>
        <v>5.8067401793116744E-8</v>
      </c>
      <c r="AC82" s="22">
        <f t="shared" si="57"/>
        <v>4.292096695803167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14.5</v>
      </c>
      <c r="AI82" s="13">
        <f>IF('Données projet'!$A$62&gt;35,AI81+AH82-AQ81,IF(A82&lt;'Données projet'!$A$62,$AF$205^A82,IF(A82='Données projet'!$A$62,'Données projet'!$B$62,AI81+AH82-AQ81)))</f>
        <v>591.49999999999955</v>
      </c>
      <c r="AJ82" s="13">
        <f>AI82*VLOOKUP('Données projet'!$B$10,Paramètres!$A$1:$I$89,3,0)*VLOOKUP('Données projet'!$B$10,Paramètres!$A$1:$I$89,5,0)</f>
        <v>353.71699999999976</v>
      </c>
      <c r="AK82" s="13">
        <f t="shared" si="89"/>
        <v>82.327408937870302</v>
      </c>
      <c r="AL82" s="20">
        <f t="shared" si="58"/>
        <v>759.4440122334571</v>
      </c>
      <c r="AM82" s="59">
        <f t="shared" si="59"/>
        <v>1052.7773455667905</v>
      </c>
      <c r="AN82" s="59">
        <f ca="1">AVERAGE(OFFSET($AM$3,0,0,'Données projet'!$E$10+1,1))-AVERAGE(OFFSET($H$3,0,0,'Données projet'!$E$10+1,1))</f>
        <v>316.58509520829671</v>
      </c>
      <c r="AO82" s="59">
        <f t="shared" si="90"/>
        <v>240.71332110643596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0.96041383818712356</v>
      </c>
      <c r="AV82" s="21">
        <f>EXP(-LN(2)/25)*AV81+(1-EXP(-LN(2)/25))/(LN(2)/25)*Calculateur!AQ82*Calculateur!AS82*VLOOKUP('Données projet'!$B$10,Paramètres!$A$1:$I$89,3,0)*0.475*44/12</f>
        <v>3.9242916414539732</v>
      </c>
      <c r="AW82" s="21">
        <f>EXP(-LN(2)/2)*AW81+(1-EXP(-LN(2)/2))/(LN(2)/2)*AQ82*AT82*VLOOKUP('Données projet'!$B$10,Paramètres!$A$1:$I$89,3,0)*0.475*44/12</f>
        <v>9.2467416880576001E-7</v>
      </c>
      <c r="AX82" s="21">
        <f t="shared" si="60"/>
        <v>4.8847064043152661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4.4000000000000004</v>
      </c>
      <c r="BD82" s="12">
        <f>IF('Données projet'!$A$88&gt;35,BD81+BC82-BL81,IF(A82&lt;'Données projet'!$A$88,$BA$205^A82,IF(A82='Données projet'!$A$88,'Données projet'!$B$88,BD81+BC82-BL81)))</f>
        <v>390.5999999999998</v>
      </c>
      <c r="BE82" s="13">
        <f>BD82*VLOOKUP('Données projet'!$B$11,Paramètres!$A$1:$I$89,3,0)*VLOOKUP('Données projet'!$B$11,Paramètres!$A$1:$I$89,5,0)</f>
        <v>310.76135999999985</v>
      </c>
      <c r="BF82" s="13">
        <f t="shared" si="91"/>
        <v>73.427809735831019</v>
      </c>
      <c r="BG82" s="20">
        <f t="shared" si="61"/>
        <v>669.12947062323872</v>
      </c>
      <c r="BH82" s="59">
        <f t="shared" si="62"/>
        <v>962.46280395657209</v>
      </c>
      <c r="BI82" s="59">
        <f ca="1">AVERAGE(OFFSET($BH$3,0,0,'Données projet'!$E$11+1,1))-AVERAGE(OFFSET($H$3,0,0,'Données projet'!$E$11+1,1))</f>
        <v>314.94704727988847</v>
      </c>
      <c r="BJ82" s="59">
        <f t="shared" si="92"/>
        <v>366.49199094166454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1.4837305762268678</v>
      </c>
      <c r="BQ82" s="21">
        <f>EXP(-LN(2)/25)*BQ81+(1-EXP(-LN(2)/25))/(LN(2)/25)*Calculateur!BL82*Calculateur!BN82*VLOOKUP('Données projet'!$B$11,Paramètres!$A$1:$I$89,3,0)*0.475*44/12</f>
        <v>6.530294465642589</v>
      </c>
      <c r="BR82" s="21">
        <f>EXP(-LN(2)/2)*BR81+(1-EXP(-LN(2)/2))/(LN(2)/2)*BL82*BO82*VLOOKUP('Données projet'!$B$11,Paramètres!$A$1:$I$89,3,0)*0.475*44/12</f>
        <v>1.2167473407942466E-6</v>
      </c>
      <c r="BS82" s="22">
        <f t="shared" si="63"/>
        <v>8.0140262586167985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390.5999999999998</v>
      </c>
      <c r="BZ82" s="13">
        <f>BY82*VLOOKUP('Données projet'!$B$12,Paramètres!$A$1:$I$89,3,0)*VLOOKUP('Données projet'!$B$12,Paramètres!$A$1:$I$89,5,0)</f>
        <v>310.76135999999985</v>
      </c>
      <c r="CA82" s="13">
        <f t="shared" si="93"/>
        <v>73.427809735831019</v>
      </c>
      <c r="CB82" s="20">
        <f t="shared" si="64"/>
        <v>669.12947062323872</v>
      </c>
      <c r="CC82" s="59">
        <f t="shared" si="65"/>
        <v>962.46280395657209</v>
      </c>
      <c r="CD82" s="59">
        <f ca="1">AVERAGE(OFFSET($CC$3,0,0,'Données projet'!$E$12+1,1))-AVERAGE(OFFSET($H$3,0,0,'Données projet'!$E$12+1,1))</f>
        <v>314.94704727988847</v>
      </c>
      <c r="CE82" s="59">
        <f t="shared" si="94"/>
        <v>366.49199094166454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1.4837305762268678</v>
      </c>
      <c r="CL82" s="21">
        <f>EXP(-LN(2)/25)*CL81+(1-EXP(-LN(2)/25))/(LN(2)/25)*Calculateur!CG82*Calculateur!CI82*VLOOKUP('Données projet'!$B$12,Paramètres!$A$1:$I$89,3,0)*0.475*44/12</f>
        <v>6.530294465642589</v>
      </c>
      <c r="CM82" s="21">
        <f>EXP(-LN(2)/2)*CM81+(1-EXP(-LN(2)/2))/(LN(2)/2)*CG82*CJ82*VLOOKUP('Données projet'!$B$12,Paramètres!$A$1:$I$89,3,0)*0.475*44/12</f>
        <v>1.2167473407942466E-6</v>
      </c>
      <c r="CN82" s="22">
        <f t="shared" si="66"/>
        <v>8.0140262586167985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7.8425925925925934</v>
      </c>
      <c r="CT82" s="12">
        <f>IF('Données projet'!$A$140&gt;35,CT81+CS82-DB81,IF(A82&lt;'Données projet'!$A$140,$CQ$205^A82,IF(A82='Données projet'!$A$140,'Données projet'!$B$140,CT81+CS82-DB81)))</f>
        <v>266.17022792022789</v>
      </c>
      <c r="CU82" s="17">
        <f>CT82*VLOOKUP('Données projet'!$B$13,Paramètres!$A$1:$I$89,3,0)*VLOOKUP('Données projet'!$B$13,Paramètres!$A$1:$I$89,5,0)</f>
        <v>240.83082222222217</v>
      </c>
      <c r="CV82" s="13">
        <f t="shared" si="95"/>
        <v>58.618249962252214</v>
      </c>
      <c r="CW82" s="20">
        <f t="shared" si="67"/>
        <v>521.54046738795955</v>
      </c>
      <c r="CX82" s="59">
        <f t="shared" si="68"/>
        <v>814.87380072129281</v>
      </c>
      <c r="CY82" s="59">
        <f ca="1">AVERAGE(OFFSET($CX$3,0,0,'Données projet'!$E$13+1,1))-AVERAGE(OFFSET($H$3,0,0,'Données projet'!$E$13+1,1))</f>
        <v>221.7429870520005</v>
      </c>
      <c r="CZ82" s="59">
        <f t="shared" si="96"/>
        <v>182.2029938397186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-1.0345502232667058E-13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199.01551760562705</v>
      </c>
      <c r="T83" s="59">
        <f t="shared" si="88"/>
        <v>269.50915104901367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0.93437445808890496</v>
      </c>
      <c r="AA83" s="21">
        <f>EXP(-LN(2)/25)*AA82+(1-EXP(-LN(2)/25))/(LN(2)/25)*Calculateur!V83*Calculateur!X83*VLOOKUP('Données projet'!$B$9,Paramètres!$A$1:$I$89,3,0)*0.475*44/12</f>
        <v>3.2477271486010508</v>
      </c>
      <c r="AB83" s="21">
        <f>EXP(-LN(2)/2)*AB82+(1-EXP(-LN(2)/2))/(LN(2)/2)*V83*Y83*VLOOKUP('Données projet'!$B$9,Paramètres!$A$1:$I$89,3,0)*0.475*44/12</f>
        <v>4.1059853573796743E-8</v>
      </c>
      <c r="AC83" s="22">
        <f t="shared" si="57"/>
        <v>4.1821016477498087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606</v>
      </c>
      <c r="AG83" s="12">
        <f>VLOOKUP(A83,'Données projet'!$A$61:$I$81,9,0)</f>
        <v>14.5</v>
      </c>
      <c r="AH83" s="12">
        <f t="array" ref="AH83">INDEX(AG:AG,MIN(IF(ISNUMBER(AG83:AG279),ROW(AG83:AG279),"")))</f>
        <v>14.5</v>
      </c>
      <c r="AI83" s="13">
        <f>IF('Données projet'!$A$62&gt;35,AI82+AH83-AQ82,IF(A83&lt;'Données projet'!$A$62,$AF$205^A83,IF(A83='Données projet'!$A$62,'Données projet'!$B$62,AI82+AH83-AQ82)))</f>
        <v>605.99999999999955</v>
      </c>
      <c r="AJ83" s="13">
        <f>AI83*VLOOKUP('Données projet'!$B$10,Paramètres!$A$1:$I$89,3,0)*VLOOKUP('Données projet'!$B$10,Paramètres!$A$1:$I$89,5,0)</f>
        <v>362.38799999999981</v>
      </c>
      <c r="AK83" s="13">
        <f t="shared" si="89"/>
        <v>84.108142484692749</v>
      </c>
      <c r="AL83" s="20">
        <f t="shared" si="58"/>
        <v>777.64744816083942</v>
      </c>
      <c r="AM83" s="59">
        <f t="shared" si="59"/>
        <v>1070.9807814941728</v>
      </c>
      <c r="AN83" s="59">
        <f ca="1">AVERAGE(OFFSET($AM$3,0,0,'Données projet'!$E$10+1,1))-AVERAGE(OFFSET($H$3,0,0,'Données projet'!$E$10+1,1))</f>
        <v>316.58509520829671</v>
      </c>
      <c r="AO83" s="59">
        <f t="shared" si="90"/>
        <v>240.71332110643596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94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0.94158070861487297</v>
      </c>
      <c r="AV83" s="21">
        <f>EXP(-LN(2)/25)*AV82+(1-EXP(-LN(2)/25))/(LN(2)/25)*Calculateur!AQ83*Calculateur!AS83*VLOOKUP('Données projet'!$B$10,Paramètres!$A$1:$I$89,3,0)*0.475*44/12</f>
        <v>3.8169816801488858</v>
      </c>
      <c r="AW83" s="21">
        <f>EXP(-LN(2)/2)*AW82+(1-EXP(-LN(2)/2))/(LN(2)/2)*AQ83*AT83*VLOOKUP('Données projet'!$B$10,Paramètres!$A$1:$I$89,3,0)*0.475*44/12</f>
        <v>6.5384337515058731E-7</v>
      </c>
      <c r="AX83" s="21">
        <f t="shared" si="60"/>
        <v>4.7585630426071335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</v>
      </c>
      <c r="BB83" s="12">
        <f>VLOOKUP(A83,'Données projet'!$A$87:$I$107,9,0)</f>
        <v>4.4000000000000004</v>
      </c>
      <c r="BC83" s="12">
        <f t="array" ref="BC83">INDEX(BB:BB,MIN(IF(ISNUMBER(BB83:BB279),ROW(BB83:BB279),"")))</f>
        <v>4.4000000000000004</v>
      </c>
      <c r="BD83" s="12">
        <f>IF('Données projet'!$A$88&gt;35,BD82+BC83-BL82,IF(A83&lt;'Données projet'!$A$88,$BA$205^A83,IF(A83='Données projet'!$A$88,'Données projet'!$B$88,BD82+BC83-BL82)))</f>
        <v>394.99999999999977</v>
      </c>
      <c r="BE83" s="13">
        <f>BD83*VLOOKUP('Données projet'!$B$11,Paramètres!$A$1:$I$89,3,0)*VLOOKUP('Données projet'!$B$11,Paramètres!$A$1:$I$89,5,0)</f>
        <v>314.26199999999983</v>
      </c>
      <c r="BF83" s="13">
        <f t="shared" si="91"/>
        <v>74.158196822395908</v>
      </c>
      <c r="BG83" s="20">
        <f t="shared" si="61"/>
        <v>676.49850946567256</v>
      </c>
      <c r="BH83" s="59">
        <f t="shared" si="62"/>
        <v>969.83184279900593</v>
      </c>
      <c r="BI83" s="59">
        <f ca="1">AVERAGE(OFFSET($BH$3,0,0,'Données projet'!$E$11+1,1))-AVERAGE(OFFSET($H$3,0,0,'Données projet'!$E$11+1,1))</f>
        <v>314.94704727988847</v>
      </c>
      <c r="BJ83" s="59">
        <f t="shared" si="92"/>
        <v>366.49199094166454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395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1.4546355246133504</v>
      </c>
      <c r="BQ83" s="21">
        <f>EXP(-LN(2)/25)*BQ82+(1-EXP(-LN(2)/25))/(LN(2)/25)*Calculateur!BL83*Calculateur!BN83*VLOOKUP('Données projet'!$B$11,Paramètres!$A$1:$I$89,3,0)*0.475*44/12</f>
        <v>6.3517232200663321</v>
      </c>
      <c r="BR83" s="21">
        <f>EXP(-LN(2)/2)*BR82+(1-EXP(-LN(2)/2))/(LN(2)/2)*BL83*BO83*VLOOKUP('Données projet'!$B$11,Paramètres!$A$1:$I$89,3,0)*0.475*44/12</f>
        <v>8.6037029566631093E-7</v>
      </c>
      <c r="BS83" s="22">
        <f t="shared" si="63"/>
        <v>7.8063596050499786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394.99999999999977</v>
      </c>
      <c r="BZ83" s="13">
        <f>BY83*VLOOKUP('Données projet'!$B$12,Paramètres!$A$1:$I$89,3,0)*VLOOKUP('Données projet'!$B$12,Paramètres!$A$1:$I$89,5,0)</f>
        <v>314.26199999999983</v>
      </c>
      <c r="CA83" s="13">
        <f t="shared" si="93"/>
        <v>74.158196822395908</v>
      </c>
      <c r="CB83" s="20">
        <f t="shared" si="64"/>
        <v>676.49850946567256</v>
      </c>
      <c r="CC83" s="59">
        <f t="shared" si="65"/>
        <v>969.83184279900593</v>
      </c>
      <c r="CD83" s="59">
        <f ca="1">AVERAGE(OFFSET($CC$3,0,0,'Données projet'!$E$12+1,1))-AVERAGE(OFFSET($H$3,0,0,'Données projet'!$E$12+1,1))</f>
        <v>314.94704727988847</v>
      </c>
      <c r="CE83" s="59">
        <f t="shared" si="94"/>
        <v>366.49199094166454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395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1.4546355246133504</v>
      </c>
      <c r="CL83" s="21">
        <f>EXP(-LN(2)/25)*CL82+(1-EXP(-LN(2)/25))/(LN(2)/25)*Calculateur!CG83*Calculateur!CI83*VLOOKUP('Données projet'!$B$12,Paramètres!$A$1:$I$89,3,0)*0.475*44/12</f>
        <v>6.3517232200663321</v>
      </c>
      <c r="CM83" s="21">
        <f>EXP(-LN(2)/2)*CM82+(1-EXP(-LN(2)/2))/(LN(2)/2)*CG83*CJ83*VLOOKUP('Données projet'!$B$12,Paramètres!$A$1:$I$89,3,0)*0.475*44/12</f>
        <v>8.6037029566631093E-7</v>
      </c>
      <c r="CN83" s="22">
        <f t="shared" si="66"/>
        <v>7.8063596050499786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274.0128205128205</v>
      </c>
      <c r="CR83" s="12">
        <f>VLOOKUP(A83,'Données projet'!$A$139:$I$159,9,0)</f>
        <v>7.8425925925925934</v>
      </c>
      <c r="CS83" s="12">
        <f t="array" ref="CS83">INDEX(CR:CR,MIN(IF(ISNUMBER(CR83:CR279),ROW(CR83:CR279),"")))</f>
        <v>7.8425925925925934</v>
      </c>
      <c r="CT83" s="12">
        <f>IF('Données projet'!$A$140&gt;35,CT82+CS83-DB82,IF(A83&lt;'Données projet'!$A$140,$CQ$205^A83,IF(A83='Données projet'!$A$140,'Données projet'!$B$140,CT82+CS83-DB82)))</f>
        <v>274.0128205128205</v>
      </c>
      <c r="CU83" s="17">
        <f>CT83*VLOOKUP('Données projet'!$B$13,Paramètres!$A$1:$I$89,3,0)*VLOOKUP('Données projet'!$B$13,Paramètres!$A$1:$I$89,5,0)</f>
        <v>247.92679999999999</v>
      </c>
      <c r="CV83" s="13">
        <f t="shared" si="95"/>
        <v>60.141781345371967</v>
      </c>
      <c r="CW83" s="20">
        <f t="shared" si="67"/>
        <v>536.55277917652279</v>
      </c>
      <c r="CX83" s="59">
        <f t="shared" si="68"/>
        <v>829.88611250985605</v>
      </c>
      <c r="CY83" s="59">
        <f ca="1">AVERAGE(OFFSET($CX$3,0,0,'Données projet'!$E$13+1,1))-AVERAGE(OFFSET($H$3,0,0,'Données projet'!$E$13+1,1))</f>
        <v>221.7429870520005</v>
      </c>
      <c r="CZ83" s="59">
        <f t="shared" si="96"/>
        <v>182.2029938397186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45.608974358974358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-1.0345502232667058E-13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199.01551760562705</v>
      </c>
      <c r="T84" s="59">
        <f t="shared" si="88"/>
        <v>269.50915104901367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0.91605194487792685</v>
      </c>
      <c r="AA84" s="21">
        <f>EXP(-LN(2)/25)*AA83+(1-EXP(-LN(2)/25))/(LN(2)/25)*Calculateur!V84*Calculateur!X84*VLOOKUP('Données projet'!$B$9,Paramètres!$A$1:$I$89,3,0)*0.475*44/12</f>
        <v>3.1589178789320069</v>
      </c>
      <c r="AB84" s="21">
        <f>EXP(-LN(2)/2)*AB83+(1-EXP(-LN(2)/2))/(LN(2)/2)*V84*Y84*VLOOKUP('Données projet'!$B$9,Paramètres!$A$1:$I$89,3,0)*0.475*44/12</f>
        <v>2.9033700896558375E-8</v>
      </c>
      <c r="AC84" s="22">
        <f t="shared" si="57"/>
        <v>4.0749698528436342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12.5</v>
      </c>
      <c r="AI84" s="13">
        <f>IF('Données projet'!$A$62&gt;35,AI83+AH84-AQ83,IF(A84&lt;'Données projet'!$A$62,$AF$205^A84,IF(A84='Données projet'!$A$62,'Données projet'!$B$62,AI83+AH84-AQ83)))</f>
        <v>524.49999999999955</v>
      </c>
      <c r="AJ84" s="13">
        <f>AI84*VLOOKUP('Données projet'!$B$10,Paramètres!$A$1:$I$89,3,0)*VLOOKUP('Données projet'!$B$10,Paramètres!$A$1:$I$89,5,0)</f>
        <v>313.65099999999978</v>
      </c>
      <c r="AK84" s="13">
        <f t="shared" si="89"/>
        <v>74.030783927316818</v>
      </c>
      <c r="AL84" s="20">
        <f t="shared" si="58"/>
        <v>675.21244034007634</v>
      </c>
      <c r="AM84" s="59">
        <f t="shared" si="59"/>
        <v>968.54577367340971</v>
      </c>
      <c r="AN84" s="59">
        <f ca="1">AVERAGE(OFFSET($AM$3,0,0,'Données projet'!$E$10+1,1))-AVERAGE(OFFSET($H$3,0,0,'Données projet'!$E$10+1,1))</f>
        <v>316.58509520829671</v>
      </c>
      <c r="AO84" s="59">
        <f t="shared" si="90"/>
        <v>240.71332110643596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0.9231168852264594</v>
      </c>
      <c r="AV84" s="21">
        <f>EXP(-LN(2)/25)*AV83+(1-EXP(-LN(2)/25))/(LN(2)/25)*Calculateur!AQ84*Calculateur!AS84*VLOOKUP('Données projet'!$B$10,Paramètres!$A$1:$I$89,3,0)*0.475*44/12</f>
        <v>3.7126061153788719</v>
      </c>
      <c r="AW84" s="21">
        <f>EXP(-LN(2)/2)*AW83+(1-EXP(-LN(2)/2))/(LN(2)/2)*AQ84*AT84*VLOOKUP('Données projet'!$B$10,Paramètres!$A$1:$I$89,3,0)*0.475*44/12</f>
        <v>4.6233708440288006E-7</v>
      </c>
      <c r="AX84" s="21">
        <f t="shared" si="60"/>
        <v>4.6357234629424156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-1.8089849618263545E-13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314.94704727988847</v>
      </c>
      <c r="BJ84" s="59">
        <f t="shared" si="92"/>
        <v>366.49199094166454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1.426111009215745</v>
      </c>
      <c r="BQ84" s="21">
        <f>EXP(-LN(2)/25)*BQ83+(1-EXP(-LN(2)/25))/(LN(2)/25)*Calculateur!BL84*Calculateur!BN84*VLOOKUP('Données projet'!$B$11,Paramètres!$A$1:$I$89,3,0)*0.475*44/12</f>
        <v>6.1780350145910115</v>
      </c>
      <c r="BR84" s="21">
        <f>EXP(-LN(2)/2)*BR83+(1-EXP(-LN(2)/2))/(LN(2)/2)*BL84*BO84*VLOOKUP('Données projet'!$B$11,Paramètres!$A$1:$I$89,3,0)*0.475*44/12</f>
        <v>6.0837367039712331E-7</v>
      </c>
      <c r="BS84" s="22">
        <f t="shared" si="63"/>
        <v>7.6041466321804272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-1.8089849618263545E-13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314.94704727988847</v>
      </c>
      <c r="CE84" s="59">
        <f t="shared" si="94"/>
        <v>366.49199094166454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1.426111009215745</v>
      </c>
      <c r="CL84" s="21">
        <f>EXP(-LN(2)/25)*CL83+(1-EXP(-LN(2)/25))/(LN(2)/25)*Calculateur!CG84*Calculateur!CI84*VLOOKUP('Données projet'!$B$12,Paramètres!$A$1:$I$89,3,0)*0.475*44/12</f>
        <v>6.1780350145910115</v>
      </c>
      <c r="CM84" s="21">
        <f>EXP(-LN(2)/2)*CM83+(1-EXP(-LN(2)/2))/(LN(2)/2)*CG84*CJ84*VLOOKUP('Données projet'!$B$12,Paramètres!$A$1:$I$89,3,0)*0.475*44/12</f>
        <v>6.0837367039712331E-7</v>
      </c>
      <c r="CN84" s="22">
        <f t="shared" si="66"/>
        <v>7.6041466321804272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7.4950142450142483</v>
      </c>
      <c r="CT84" s="12">
        <f>IF('Données projet'!$A$140&gt;35,CT83+CS84-DB83,IF(A84&lt;'Données projet'!$A$140,$CQ$205^A84,IF(A84='Données projet'!$A$140,'Données projet'!$B$140,CT83+CS84-DB83)))</f>
        <v>235.89886039886039</v>
      </c>
      <c r="CU84" s="17">
        <f>CT84*VLOOKUP('Données projet'!$B$13,Paramètres!$A$1:$I$89,3,0)*VLOOKUP('Données projet'!$B$13,Paramètres!$A$1:$I$89,5,0)</f>
        <v>213.44128888888889</v>
      </c>
      <c r="CV84" s="13">
        <f t="shared" si="95"/>
        <v>52.686881026481927</v>
      </c>
      <c r="CW84" s="20">
        <f t="shared" si="67"/>
        <v>463.50656260260411</v>
      </c>
      <c r="CX84" s="59">
        <f t="shared" si="68"/>
        <v>756.83989593593742</v>
      </c>
      <c r="CY84" s="59">
        <f ca="1">AVERAGE(OFFSET($CX$3,0,0,'Données projet'!$E$13+1,1))-AVERAGE(OFFSET($H$3,0,0,'Données projet'!$E$13+1,1))</f>
        <v>221.7429870520005</v>
      </c>
      <c r="CZ84" s="59">
        <f t="shared" si="96"/>
        <v>182.2029938397186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-1.0345502232667058E-13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199.01551760562705</v>
      </c>
      <c r="T85" s="59">
        <f t="shared" si="88"/>
        <v>269.50915104901367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0.89808872497538639</v>
      </c>
      <c r="AA85" s="21">
        <f>EXP(-LN(2)/25)*AA84+(1-EXP(-LN(2)/25))/(LN(2)/25)*Calculateur!V85*Calculateur!X85*VLOOKUP('Données projet'!$B$9,Paramètres!$A$1:$I$89,3,0)*0.475*44/12</f>
        <v>3.0725371034123397</v>
      </c>
      <c r="AB85" s="21">
        <f>EXP(-LN(2)/2)*AB84+(1-EXP(-LN(2)/2))/(LN(2)/2)*V85*Y85*VLOOKUP('Données projet'!$B$9,Paramètres!$A$1:$I$89,3,0)*0.475*44/12</f>
        <v>2.0529926786898375E-8</v>
      </c>
      <c r="AC85" s="22">
        <f t="shared" si="57"/>
        <v>3.9706258489176527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12.5</v>
      </c>
      <c r="AI85" s="13">
        <f>IF('Données projet'!$A$62&gt;35,AI84+AH85-AQ84,IF(A85&lt;'Données projet'!$A$62,$AF$205^A85,IF(A85='Données projet'!$A$62,'Données projet'!$B$62,AI84+AH85-AQ84)))</f>
        <v>536.99999999999955</v>
      </c>
      <c r="AJ85" s="13">
        <f>AI85*VLOOKUP('Données projet'!$B$10,Paramètres!$A$1:$I$89,3,0)*VLOOKUP('Données projet'!$B$10,Paramètres!$A$1:$I$89,5,0)</f>
        <v>321.12599999999975</v>
      </c>
      <c r="AK85" s="13">
        <f t="shared" si="89"/>
        <v>75.587591944000252</v>
      </c>
      <c r="AL85" s="20">
        <f t="shared" si="58"/>
        <v>690.94283930246672</v>
      </c>
      <c r="AM85" s="59">
        <f t="shared" si="59"/>
        <v>984.27617263580009</v>
      </c>
      <c r="AN85" s="59">
        <f ca="1">AVERAGE(OFFSET($AM$3,0,0,'Données projet'!$E$10+1,1))-AVERAGE(OFFSET($H$3,0,0,'Données projet'!$E$10+1,1))</f>
        <v>316.58509520829671</v>
      </c>
      <c r="AO85" s="59">
        <f t="shared" si="90"/>
        <v>240.71332110643596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0.90501512615287238</v>
      </c>
      <c r="AV85" s="21">
        <f>EXP(-LN(2)/25)*AV84+(1-EXP(-LN(2)/25))/(LN(2)/25)*Calculateur!AQ85*Calculateur!AS85*VLOOKUP('Données projet'!$B$10,Paramètres!$A$1:$I$89,3,0)*0.475*44/12</f>
        <v>3.6110847059163662</v>
      </c>
      <c r="AW85" s="21">
        <f>EXP(-LN(2)/2)*AW84+(1-EXP(-LN(2)/2))/(LN(2)/2)*AQ85*AT85*VLOOKUP('Données projet'!$B$10,Paramètres!$A$1:$I$89,3,0)*0.475*44/12</f>
        <v>3.2692168757529371E-7</v>
      </c>
      <c r="AX85" s="21">
        <f t="shared" si="60"/>
        <v>4.5161001589909269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-1.8089849618263545E-13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314.94704727988847</v>
      </c>
      <c r="BJ85" s="59">
        <f t="shared" si="92"/>
        <v>366.49199094166454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1.39814584216685</v>
      </c>
      <c r="BQ85" s="21">
        <f>EXP(-LN(2)/25)*BQ84+(1-EXP(-LN(2)/25))/(LN(2)/25)*Calculateur!BL85*Calculateur!BN85*VLOOKUP('Données projet'!$B$11,Paramètres!$A$1:$I$89,3,0)*0.475*44/12</f>
        <v>6.0090963222282792</v>
      </c>
      <c r="BR85" s="21">
        <f>EXP(-LN(2)/2)*BR84+(1-EXP(-LN(2)/2))/(LN(2)/2)*BL85*BO85*VLOOKUP('Données projet'!$B$11,Paramètres!$A$1:$I$89,3,0)*0.475*44/12</f>
        <v>4.3018514783315546E-7</v>
      </c>
      <c r="BS85" s="22">
        <f t="shared" si="63"/>
        <v>7.4072425945802767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-1.8089849618263545E-13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314.94704727988847</v>
      </c>
      <c r="CE85" s="59">
        <f t="shared" si="94"/>
        <v>366.49199094166454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1.39814584216685</v>
      </c>
      <c r="CL85" s="21">
        <f>EXP(-LN(2)/25)*CL84+(1-EXP(-LN(2)/25))/(LN(2)/25)*Calculateur!CG85*Calculateur!CI85*VLOOKUP('Données projet'!$B$12,Paramètres!$A$1:$I$89,3,0)*0.475*44/12</f>
        <v>6.0090963222282792</v>
      </c>
      <c r="CM85" s="21">
        <f>EXP(-LN(2)/2)*CM84+(1-EXP(-LN(2)/2))/(LN(2)/2)*CG85*CJ85*VLOOKUP('Données projet'!$B$12,Paramètres!$A$1:$I$89,3,0)*0.475*44/12</f>
        <v>4.3018514783315546E-7</v>
      </c>
      <c r="CN85" s="22">
        <f t="shared" si="66"/>
        <v>7.4072425945802767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7.4950142450142483</v>
      </c>
      <c r="CT85" s="12">
        <f>IF('Données projet'!$A$140&gt;35,CT84+CS85-DB84,IF(A85&lt;'Données projet'!$A$140,$CQ$205^A85,IF(A85='Données projet'!$A$140,'Données projet'!$B$140,CT84+CS85-DB84)))</f>
        <v>243.39387464387465</v>
      </c>
      <c r="CU85" s="17">
        <f>CT85*VLOOKUP('Données projet'!$B$13,Paramètres!$A$1:$I$89,3,0)*VLOOKUP('Données projet'!$B$13,Paramètres!$A$1:$I$89,5,0)</f>
        <v>220.22277777777776</v>
      </c>
      <c r="CV85" s="13">
        <f t="shared" si="95"/>
        <v>54.163302517364315</v>
      </c>
      <c r="CW85" s="20">
        <f t="shared" si="67"/>
        <v>477.88908984737236</v>
      </c>
      <c r="CX85" s="59">
        <f t="shared" si="68"/>
        <v>771.22242318070562</v>
      </c>
      <c r="CY85" s="59">
        <f ca="1">AVERAGE(OFFSET($CX$3,0,0,'Données projet'!$E$13+1,1))-AVERAGE(OFFSET($H$3,0,0,'Données projet'!$E$13+1,1))</f>
        <v>221.7429870520005</v>
      </c>
      <c r="CZ85" s="59">
        <f t="shared" si="96"/>
        <v>182.2029938397186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-1.0345502232667058E-13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199.01551760562705</v>
      </c>
      <c r="T86" s="59">
        <f t="shared" si="88"/>
        <v>269.50915104901367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0.88047775285865248</v>
      </c>
      <c r="AA86" s="21">
        <f>EXP(-LN(2)/25)*AA85+(1-EXP(-LN(2)/25))/(LN(2)/25)*Calculateur!V86*Calculateur!X86*VLOOKUP('Données projet'!$B$9,Paramètres!$A$1:$I$89,3,0)*0.475*44/12</f>
        <v>2.9885184147418253</v>
      </c>
      <c r="AB86" s="21">
        <f>EXP(-LN(2)/2)*AB85+(1-EXP(-LN(2)/2))/(LN(2)/2)*V86*Y86*VLOOKUP('Données projet'!$B$9,Paramètres!$A$1:$I$89,3,0)*0.475*44/12</f>
        <v>1.4516850448279191E-8</v>
      </c>
      <c r="AC86" s="22">
        <f t="shared" si="57"/>
        <v>3.868996182117328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12.5</v>
      </c>
      <c r="AI86" s="13">
        <f>IF('Données projet'!$A$62&gt;35,AI85+AH86-AQ85,IF(A86&lt;'Données projet'!$A$62,$AF$205^A86,IF(A86='Données projet'!$A$62,'Données projet'!$B$62,AI85+AH86-AQ85)))</f>
        <v>549.49999999999955</v>
      </c>
      <c r="AJ86" s="13">
        <f>AI86*VLOOKUP('Données projet'!$B$10,Paramètres!$A$1:$I$89,3,0)*VLOOKUP('Données projet'!$B$10,Paramètres!$A$1:$I$89,5,0)</f>
        <v>328.60099999999977</v>
      </c>
      <c r="AK86" s="13">
        <f t="shared" si="89"/>
        <v>77.140187101009843</v>
      </c>
      <c r="AL86" s="20">
        <f t="shared" si="58"/>
        <v>706.66590086759163</v>
      </c>
      <c r="AM86" s="59">
        <f t="shared" si="59"/>
        <v>999.999234200925</v>
      </c>
      <c r="AN86" s="59">
        <f ca="1">AVERAGE(OFFSET($AM$3,0,0,'Données projet'!$E$10+1,1))-AVERAGE(OFFSET($H$3,0,0,'Données projet'!$E$10+1,1))</f>
        <v>316.58509520829671</v>
      </c>
      <c r="AO86" s="59">
        <f t="shared" si="90"/>
        <v>240.71332110643596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0.88726833153373552</v>
      </c>
      <c r="AV86" s="21">
        <f>EXP(-LN(2)/25)*AV85+(1-EXP(-LN(2)/25))/(LN(2)/25)*Calculateur!AQ86*Calculateur!AS86*VLOOKUP('Données projet'!$B$10,Paramètres!$A$1:$I$89,3,0)*0.475*44/12</f>
        <v>3.5123394047343917</v>
      </c>
      <c r="AW86" s="21">
        <f>EXP(-LN(2)/2)*AW85+(1-EXP(-LN(2)/2))/(LN(2)/2)*AQ86*AT86*VLOOKUP('Données projet'!$B$10,Paramètres!$A$1:$I$89,3,0)*0.475*44/12</f>
        <v>2.3116854220144008E-7</v>
      </c>
      <c r="AX86" s="21">
        <f t="shared" si="60"/>
        <v>4.399607967436669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-1.8089849618263545E-13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314.94704727988847</v>
      </c>
      <c r="BJ86" s="59">
        <f t="shared" si="92"/>
        <v>366.49199094166454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1.3707290549867164</v>
      </c>
      <c r="BQ86" s="21">
        <f>EXP(-LN(2)/25)*BQ85+(1-EXP(-LN(2)/25))/(LN(2)/25)*Calculateur!BL86*Calculateur!BN86*VLOOKUP('Données projet'!$B$11,Paramètres!$A$1:$I$89,3,0)*0.475*44/12</f>
        <v>5.8447772672923053</v>
      </c>
      <c r="BR86" s="21">
        <f>EXP(-LN(2)/2)*BR85+(1-EXP(-LN(2)/2))/(LN(2)/2)*BL86*BO86*VLOOKUP('Données projet'!$B$11,Paramètres!$A$1:$I$89,3,0)*0.475*44/12</f>
        <v>3.0418683519856166E-7</v>
      </c>
      <c r="BS86" s="22">
        <f t="shared" si="63"/>
        <v>7.2155066264658565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-1.8089849618263545E-13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314.94704727988847</v>
      </c>
      <c r="CE86" s="59">
        <f t="shared" si="94"/>
        <v>366.49199094166454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1.3707290549867164</v>
      </c>
      <c r="CL86" s="21">
        <f>EXP(-LN(2)/25)*CL85+(1-EXP(-LN(2)/25))/(LN(2)/25)*Calculateur!CG86*Calculateur!CI86*VLOOKUP('Données projet'!$B$12,Paramètres!$A$1:$I$89,3,0)*0.475*44/12</f>
        <v>5.8447772672923053</v>
      </c>
      <c r="CM86" s="21">
        <f>EXP(-LN(2)/2)*CM85+(1-EXP(-LN(2)/2))/(LN(2)/2)*CG86*CJ86*VLOOKUP('Données projet'!$B$12,Paramètres!$A$1:$I$89,3,0)*0.475*44/12</f>
        <v>3.0418683519856166E-7</v>
      </c>
      <c r="CN86" s="22">
        <f t="shared" si="66"/>
        <v>7.2155066264658565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7.4950142450142483</v>
      </c>
      <c r="CT86" s="12">
        <f>IF('Données projet'!$A$140&gt;35,CT85+CS86-DB85,IF(A86&lt;'Données projet'!$A$140,$CQ$205^A86,IF(A86='Données projet'!$A$140,'Données projet'!$B$140,CT85+CS86-DB85)))</f>
        <v>250.88888888888891</v>
      </c>
      <c r="CU86" s="17">
        <f>CT86*VLOOKUP('Données projet'!$B$13,Paramètres!$A$1:$I$89,3,0)*VLOOKUP('Données projet'!$B$13,Paramètres!$A$1:$I$89,5,0)</f>
        <v>227.00426666666667</v>
      </c>
      <c r="CV86" s="13">
        <f t="shared" si="95"/>
        <v>55.634440522110069</v>
      </c>
      <c r="CW86" s="20">
        <f t="shared" si="67"/>
        <v>492.26241502045281</v>
      </c>
      <c r="CX86" s="59">
        <f t="shared" si="68"/>
        <v>785.59574835378612</v>
      </c>
      <c r="CY86" s="59">
        <f ca="1">AVERAGE(OFFSET($CX$3,0,0,'Données projet'!$E$13+1,1))-AVERAGE(OFFSET($H$3,0,0,'Données projet'!$E$13+1,1))</f>
        <v>221.7429870520005</v>
      </c>
      <c r="CZ86" s="59">
        <f t="shared" si="96"/>
        <v>182.2029938397186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-1.0345502232667058E-13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199.01551760562705</v>
      </c>
      <c r="T87" s="59">
        <f t="shared" si="88"/>
        <v>269.50915104901367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0.86321212116349544</v>
      </c>
      <c r="AA87" s="21">
        <f>EXP(-LN(2)/25)*AA86+(1-EXP(-LN(2)/25))/(LN(2)/25)*Calculateur!V87*Calculateur!X87*VLOOKUP('Données projet'!$B$9,Paramètres!$A$1:$I$89,3,0)*0.475*44/12</f>
        <v>2.9067972215313569</v>
      </c>
      <c r="AB87" s="21">
        <f>EXP(-LN(2)/2)*AB86+(1-EXP(-LN(2)/2))/(LN(2)/2)*V87*Y87*VLOOKUP('Données projet'!$B$9,Paramètres!$A$1:$I$89,3,0)*0.475*44/12</f>
        <v>1.0264963393449189E-8</v>
      </c>
      <c r="AC87" s="22">
        <f t="shared" si="57"/>
        <v>3.770009352959816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12.5</v>
      </c>
      <c r="AI87" s="13">
        <f>IF('Données projet'!$A$62&gt;35,AI86+AH87-AQ86,IF(A87&lt;'Données projet'!$A$62,$AF$205^A87,IF(A87='Données projet'!$A$62,'Données projet'!$B$62,AI86+AH87-AQ86)))</f>
        <v>561.99999999999955</v>
      </c>
      <c r="AJ87" s="13">
        <f>AI87*VLOOKUP('Données projet'!$B$10,Paramètres!$A$1:$I$89,3,0)*VLOOKUP('Données projet'!$B$10,Paramètres!$A$1:$I$89,5,0)</f>
        <v>336.07599999999979</v>
      </c>
      <c r="AK87" s="13">
        <f t="shared" si="89"/>
        <v>78.688676264452241</v>
      </c>
      <c r="AL87" s="20">
        <f t="shared" si="58"/>
        <v>722.38181116058729</v>
      </c>
      <c r="AM87" s="59">
        <f t="shared" si="59"/>
        <v>1015.7151444939207</v>
      </c>
      <c r="AN87" s="59">
        <f ca="1">AVERAGE(OFFSET($AM$3,0,0,'Données projet'!$E$10+1,1))-AVERAGE(OFFSET($H$3,0,0,'Données projet'!$E$10+1,1))</f>
        <v>316.58509520829671</v>
      </c>
      <c r="AO87" s="59">
        <f t="shared" si="90"/>
        <v>240.71332110643596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0.86986954073260414</v>
      </c>
      <c r="AV87" s="21">
        <f>EXP(-LN(2)/25)*AV86+(1-EXP(-LN(2)/25))/(LN(2)/25)*Calculateur!AQ87*Calculateur!AS87*VLOOKUP('Données projet'!$B$10,Paramètres!$A$1:$I$89,3,0)*0.475*44/12</f>
        <v>3.4162942990060281</v>
      </c>
      <c r="AW87" s="21">
        <f>EXP(-LN(2)/2)*AW86+(1-EXP(-LN(2)/2))/(LN(2)/2)*AQ87*AT87*VLOOKUP('Données projet'!$B$10,Paramètres!$A$1:$I$89,3,0)*0.475*44/12</f>
        <v>1.6346084378764688E-7</v>
      </c>
      <c r="AX87" s="21">
        <f t="shared" si="60"/>
        <v>4.2861640031994765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-1.8089849618263545E-13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314.94704727988847</v>
      </c>
      <c r="BJ87" s="59">
        <f t="shared" si="92"/>
        <v>366.49199094166454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1.3438498942805961</v>
      </c>
      <c r="BQ87" s="21">
        <f>EXP(-LN(2)/25)*BQ86+(1-EXP(-LN(2)/25))/(LN(2)/25)*Calculateur!BL87*Calculateur!BN87*VLOOKUP('Données projet'!$B$11,Paramètres!$A$1:$I$89,3,0)*0.475*44/12</f>
        <v>5.6849515255547187</v>
      </c>
      <c r="BR87" s="21">
        <f>EXP(-LN(2)/2)*BR86+(1-EXP(-LN(2)/2))/(LN(2)/2)*BL87*BO87*VLOOKUP('Données projet'!$B$11,Paramètres!$A$1:$I$89,3,0)*0.475*44/12</f>
        <v>2.1509257391657773E-7</v>
      </c>
      <c r="BS87" s="22">
        <f t="shared" si="63"/>
        <v>7.0288016349278886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-1.8089849618263545E-13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314.94704727988847</v>
      </c>
      <c r="CE87" s="59">
        <f t="shared" si="94"/>
        <v>366.49199094166454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1.3438498942805961</v>
      </c>
      <c r="CL87" s="21">
        <f>EXP(-LN(2)/25)*CL86+(1-EXP(-LN(2)/25))/(LN(2)/25)*Calculateur!CG87*Calculateur!CI87*VLOOKUP('Données projet'!$B$12,Paramètres!$A$1:$I$89,3,0)*0.475*44/12</f>
        <v>5.6849515255547187</v>
      </c>
      <c r="CM87" s="21">
        <f>EXP(-LN(2)/2)*CM86+(1-EXP(-LN(2)/2))/(LN(2)/2)*CG87*CJ87*VLOOKUP('Données projet'!$B$12,Paramètres!$A$1:$I$89,3,0)*0.475*44/12</f>
        <v>2.1509257391657773E-7</v>
      </c>
      <c r="CN87" s="22">
        <f t="shared" si="66"/>
        <v>7.0288016349278886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7.4950142450142483</v>
      </c>
      <c r="CT87" s="12">
        <f>IF('Données projet'!$A$140&gt;35,CT86+CS87-DB86,IF(A87&lt;'Données projet'!$A$140,$CQ$205^A87,IF(A87='Données projet'!$A$140,'Données projet'!$B$140,CT86+CS87-DB86)))</f>
        <v>258.38390313390317</v>
      </c>
      <c r="CU87" s="17">
        <f>CT87*VLOOKUP('Données projet'!$B$13,Paramètres!$A$1:$I$89,3,0)*VLOOKUP('Données projet'!$B$13,Paramètres!$A$1:$I$89,5,0)</f>
        <v>233.7857555555556</v>
      </c>
      <c r="CV87" s="13">
        <f t="shared" si="95"/>
        <v>57.10047099813341</v>
      </c>
      <c r="CW87" s="20">
        <f t="shared" si="67"/>
        <v>506.62684458100836</v>
      </c>
      <c r="CX87" s="59">
        <f t="shared" si="68"/>
        <v>799.96017791434167</v>
      </c>
      <c r="CY87" s="59">
        <f ca="1">AVERAGE(OFFSET($CX$3,0,0,'Données projet'!$E$13+1,1))-AVERAGE(OFFSET($H$3,0,0,'Données projet'!$E$13+1,1))</f>
        <v>221.7429870520005</v>
      </c>
      <c r="CZ87" s="59">
        <f t="shared" si="96"/>
        <v>182.2029938397186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-1.0345502232667058E-13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199.01551760562705</v>
      </c>
      <c r="T88" s="59">
        <f t="shared" si="88"/>
        <v>269.50915104901367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0.84628505797488496</v>
      </c>
      <c r="AA88" s="21">
        <f>EXP(-LN(2)/25)*AA87+(1-EXP(-LN(2)/25))/(LN(2)/25)*Calculateur!V88*Calculateur!X88*VLOOKUP('Données projet'!$B$9,Paramètres!$A$1:$I$89,3,0)*0.475*44/12</f>
        <v>2.8273106986467598</v>
      </c>
      <c r="AB88" s="21">
        <f>EXP(-LN(2)/2)*AB87+(1-EXP(-LN(2)/2))/(LN(2)/2)*V88*Y88*VLOOKUP('Données projet'!$B$9,Paramètres!$A$1:$I$89,3,0)*0.475*44/12</f>
        <v>7.2584252241395964E-9</v>
      </c>
      <c r="AC88" s="22">
        <f t="shared" si="57"/>
        <v>3.67359576388007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12.5</v>
      </c>
      <c r="AI88" s="13">
        <f>IF('Données projet'!$A$62&gt;35,AI87+AH88-AQ87,IF(A88&lt;'Données projet'!$A$62,$AF$205^A88,IF(A88='Données projet'!$A$62,'Données projet'!$B$62,AI87+AH88-AQ87)))</f>
        <v>574.49999999999955</v>
      </c>
      <c r="AJ88" s="13">
        <f>AI88*VLOOKUP('Données projet'!$B$10,Paramètres!$A$1:$I$89,3,0)*VLOOKUP('Données projet'!$B$10,Paramètres!$A$1:$I$89,5,0)</f>
        <v>343.55099999999976</v>
      </c>
      <c r="AK88" s="13">
        <f t="shared" si="89"/>
        <v>80.233161275191421</v>
      </c>
      <c r="AL88" s="20">
        <f t="shared" si="58"/>
        <v>738.09074755429128</v>
      </c>
      <c r="AM88" s="59">
        <f t="shared" si="59"/>
        <v>1031.4240808876245</v>
      </c>
      <c r="AN88" s="59">
        <f ca="1">AVERAGE(OFFSET($AM$3,0,0,'Données projet'!$E$10+1,1))-AVERAGE(OFFSET($H$3,0,0,'Données projet'!$E$10+1,1))</f>
        <v>316.58509520829671</v>
      </c>
      <c r="AO88" s="59">
        <f t="shared" si="90"/>
        <v>240.71332110643596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0.85281192960686836</v>
      </c>
      <c r="AV88" s="21">
        <f>EXP(-LN(2)/25)*AV87+(1-EXP(-LN(2)/25))/(LN(2)/25)*Calculateur!AQ88*Calculateur!AS88*VLOOKUP('Données projet'!$B$10,Paramètres!$A$1:$I$89,3,0)*0.475*44/12</f>
        <v>3.3228755517445991</v>
      </c>
      <c r="AW88" s="21">
        <f>EXP(-LN(2)/2)*AW87+(1-EXP(-LN(2)/2))/(LN(2)/2)*AQ88*AT88*VLOOKUP('Données projet'!$B$10,Paramètres!$A$1:$I$89,3,0)*0.475*44/12</f>
        <v>1.1558427110072005E-7</v>
      </c>
      <c r="AX88" s="21">
        <f t="shared" si="60"/>
        <v>4.1756875969357381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-1.8089849618263545E-13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314.94704727988847</v>
      </c>
      <c r="BJ88" s="59">
        <f t="shared" si="92"/>
        <v>366.49199094166454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1.3174978175212537</v>
      </c>
      <c r="BQ88" s="21">
        <f>EXP(-LN(2)/25)*BQ87+(1-EXP(-LN(2)/25))/(LN(2)/25)*Calculateur!BL88*Calculateur!BN88*VLOOKUP('Données projet'!$B$11,Paramètres!$A$1:$I$89,3,0)*0.475*44/12</f>
        <v>5.5294962271298171</v>
      </c>
      <c r="BR88" s="21">
        <f>EXP(-LN(2)/2)*BR87+(1-EXP(-LN(2)/2))/(LN(2)/2)*BL88*BO88*VLOOKUP('Données projet'!$B$11,Paramètres!$A$1:$I$89,3,0)*0.475*44/12</f>
        <v>1.5209341759928083E-7</v>
      </c>
      <c r="BS88" s="22">
        <f t="shared" si="63"/>
        <v>6.8469941967444887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-1.8089849618263545E-13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314.94704727988847</v>
      </c>
      <c r="CE88" s="59">
        <f t="shared" si="94"/>
        <v>366.49199094166454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1.3174978175212537</v>
      </c>
      <c r="CL88" s="21">
        <f>EXP(-LN(2)/25)*CL87+(1-EXP(-LN(2)/25))/(LN(2)/25)*Calculateur!CG88*Calculateur!CI88*VLOOKUP('Données projet'!$B$12,Paramètres!$A$1:$I$89,3,0)*0.475*44/12</f>
        <v>5.5294962271298171</v>
      </c>
      <c r="CM88" s="21">
        <f>EXP(-LN(2)/2)*CM87+(1-EXP(-LN(2)/2))/(LN(2)/2)*CG88*CJ88*VLOOKUP('Données projet'!$B$12,Paramètres!$A$1:$I$89,3,0)*0.475*44/12</f>
        <v>1.5209341759928083E-7</v>
      </c>
      <c r="CN88" s="22">
        <f t="shared" si="66"/>
        <v>6.8469941967444887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7.4950142450142483</v>
      </c>
      <c r="CT88" s="12">
        <f>IF('Données projet'!$A$140&gt;35,CT87+CS88-DB87,IF(A88&lt;'Données projet'!$A$140,$CQ$205^A88,IF(A88='Données projet'!$A$140,'Données projet'!$B$140,CT87+CS88-DB87)))</f>
        <v>265.87891737891744</v>
      </c>
      <c r="CU88" s="17">
        <f>CT88*VLOOKUP('Données projet'!$B$13,Paramètres!$A$1:$I$89,3,0)*VLOOKUP('Données projet'!$B$13,Paramètres!$A$1:$I$89,5,0)</f>
        <v>240.5672444444445</v>
      </c>
      <c r="CV88" s="13">
        <f t="shared" si="95"/>
        <v>58.5615591142816</v>
      </c>
      <c r="CW88" s="20">
        <f t="shared" si="67"/>
        <v>520.98266619811454</v>
      </c>
      <c r="CX88" s="59">
        <f t="shared" si="68"/>
        <v>814.31599953144791</v>
      </c>
      <c r="CY88" s="59">
        <f ca="1">AVERAGE(OFFSET($CX$3,0,0,'Données projet'!$E$13+1,1))-AVERAGE(OFFSET($H$3,0,0,'Données projet'!$E$13+1,1))</f>
        <v>221.7429870520005</v>
      </c>
      <c r="CZ88" s="59">
        <f t="shared" si="96"/>
        <v>182.2029938397186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-1.0345502232667058E-13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199.01551760562705</v>
      </c>
      <c r="T89" s="59">
        <f t="shared" si="88"/>
        <v>269.50915104901367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0.82968992417091403</v>
      </c>
      <c r="AA89" s="21">
        <f>EXP(-LN(2)/25)*AA88+(1-EXP(-LN(2)/25))/(LN(2)/25)*Calculateur!V89*Calculateur!X89*VLOOKUP('Données projet'!$B$9,Paramètres!$A$1:$I$89,3,0)*0.475*44/12</f>
        <v>2.7499977389104564</v>
      </c>
      <c r="AB89" s="21">
        <f>EXP(-LN(2)/2)*AB88+(1-EXP(-LN(2)/2))/(LN(2)/2)*V89*Y89*VLOOKUP('Données projet'!$B$9,Paramètres!$A$1:$I$89,3,0)*0.475*44/12</f>
        <v>5.1324816967245953E-9</v>
      </c>
      <c r="AC89" s="22">
        <f t="shared" si="57"/>
        <v>3.5796876682138521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12.5</v>
      </c>
      <c r="AI89" s="13">
        <f>IF('Données projet'!$A$62&gt;35,AI88+AH89-AQ88,IF(A89&lt;'Données projet'!$A$62,$AF$205^A89,IF(A89='Données projet'!$A$62,'Données projet'!$B$62,AI88+AH89-AQ88)))</f>
        <v>586.99999999999955</v>
      </c>
      <c r="AJ89" s="13">
        <f>AI89*VLOOKUP('Données projet'!$B$10,Paramètres!$A$1:$I$89,3,0)*VLOOKUP('Données projet'!$B$10,Paramètres!$A$1:$I$89,5,0)</f>
        <v>351.02599999999978</v>
      </c>
      <c r="AK89" s="13">
        <f t="shared" si="89"/>
        <v>81.773739289271361</v>
      </c>
      <c r="AL89" s="20">
        <f t="shared" si="58"/>
        <v>753.79287926214727</v>
      </c>
      <c r="AM89" s="59">
        <f t="shared" si="59"/>
        <v>1047.1262125954806</v>
      </c>
      <c r="AN89" s="59">
        <f ca="1">AVERAGE(OFFSET($AM$3,0,0,'Données projet'!$E$10+1,1))-AVERAGE(OFFSET($H$3,0,0,'Données projet'!$E$10+1,1))</f>
        <v>316.58509520829671</v>
      </c>
      <c r="AO89" s="59">
        <f t="shared" si="90"/>
        <v>240.71332110643596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0.83608880783119277</v>
      </c>
      <c r="AV89" s="21">
        <f>EXP(-LN(2)/25)*AV88+(1-EXP(-LN(2)/25))/(LN(2)/25)*Calculateur!AQ89*Calculateur!AS89*VLOOKUP('Données projet'!$B$10,Paramètres!$A$1:$I$89,3,0)*0.475*44/12</f>
        <v>3.2320113450397123</v>
      </c>
      <c r="AW89" s="21">
        <f>EXP(-LN(2)/2)*AW88+(1-EXP(-LN(2)/2))/(LN(2)/2)*AQ89*AT89*VLOOKUP('Données projet'!$B$10,Paramètres!$A$1:$I$89,3,0)*0.475*44/12</f>
        <v>8.1730421893823454E-8</v>
      </c>
      <c r="AX89" s="21">
        <f t="shared" si="60"/>
        <v>4.0681002346013262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-1.8089849618263545E-13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314.94704727988847</v>
      </c>
      <c r="BJ89" s="59">
        <f t="shared" si="92"/>
        <v>366.49199094166454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1.2916624889139823</v>
      </c>
      <c r="BQ89" s="21">
        <f>EXP(-LN(2)/25)*BQ88+(1-EXP(-LN(2)/25))/(LN(2)/25)*Calculateur!BL89*Calculateur!BN89*VLOOKUP('Données projet'!$B$11,Paramètres!$A$1:$I$89,3,0)*0.475*44/12</f>
        <v>5.3782918620153835</v>
      </c>
      <c r="BR89" s="21">
        <f>EXP(-LN(2)/2)*BR88+(1-EXP(-LN(2)/2))/(LN(2)/2)*BL89*BO89*VLOOKUP('Données projet'!$B$11,Paramètres!$A$1:$I$89,3,0)*0.475*44/12</f>
        <v>1.0754628695828887E-7</v>
      </c>
      <c r="BS89" s="22">
        <f t="shared" si="63"/>
        <v>6.6699544584756527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-1.8089849618263545E-13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314.94704727988847</v>
      </c>
      <c r="CE89" s="59">
        <f t="shared" si="94"/>
        <v>366.49199094166454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1.2916624889139823</v>
      </c>
      <c r="CL89" s="21">
        <f>EXP(-LN(2)/25)*CL88+(1-EXP(-LN(2)/25))/(LN(2)/25)*Calculateur!CG89*Calculateur!CI89*VLOOKUP('Données projet'!$B$12,Paramètres!$A$1:$I$89,3,0)*0.475*44/12</f>
        <v>5.3782918620153835</v>
      </c>
      <c r="CM89" s="21">
        <f>EXP(-LN(2)/2)*CM88+(1-EXP(-LN(2)/2))/(LN(2)/2)*CG89*CJ89*VLOOKUP('Données projet'!$B$12,Paramètres!$A$1:$I$89,3,0)*0.475*44/12</f>
        <v>1.0754628695828887E-7</v>
      </c>
      <c r="CN89" s="22">
        <f t="shared" si="66"/>
        <v>6.6699544584756527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7.4950142450142483</v>
      </c>
      <c r="CT89" s="12">
        <f>IF('Données projet'!$A$140&gt;35,CT88+CS89-DB88,IF(A89&lt;'Données projet'!$A$140,$CQ$205^A89,IF(A89='Données projet'!$A$140,'Données projet'!$B$140,CT88+CS89-DB88)))</f>
        <v>273.3739316239317</v>
      </c>
      <c r="CU89" s="17">
        <f>CT89*VLOOKUP('Données projet'!$B$13,Paramètres!$A$1:$I$89,3,0)*VLOOKUP('Données projet'!$B$13,Paramètres!$A$1:$I$89,5,0)</f>
        <v>247.3487333333334</v>
      </c>
      <c r="CV89" s="13">
        <f t="shared" si="95"/>
        <v>60.017860197565874</v>
      </c>
      <c r="CW89" s="20">
        <f t="shared" si="67"/>
        <v>535.33015039964948</v>
      </c>
      <c r="CX89" s="59">
        <f t="shared" si="68"/>
        <v>828.66348373298274</v>
      </c>
      <c r="CY89" s="59">
        <f ca="1">AVERAGE(OFFSET($CX$3,0,0,'Données projet'!$E$13+1,1))-AVERAGE(OFFSET($H$3,0,0,'Données projet'!$E$13+1,1))</f>
        <v>221.7429870520005</v>
      </c>
      <c r="CZ89" s="59">
        <f t="shared" si="96"/>
        <v>182.2029938397186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-1.0345502232667058E-13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199.01551760562705</v>
      </c>
      <c r="T90" s="59">
        <f t="shared" si="88"/>
        <v>269.50915104901367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0.81342021081880678</v>
      </c>
      <c r="AA90" s="21">
        <f>EXP(-LN(2)/25)*AA89+(1-EXP(-LN(2)/25))/(LN(2)/25)*Calculateur!V90*Calculateur!X90*VLOOKUP('Données projet'!$B$9,Paramètres!$A$1:$I$89,3,0)*0.475*44/12</f>
        <v>2.6747989061238542</v>
      </c>
      <c r="AB90" s="21">
        <f>EXP(-LN(2)/2)*AB89+(1-EXP(-LN(2)/2))/(LN(2)/2)*V90*Y90*VLOOKUP('Données projet'!$B$9,Paramètres!$A$1:$I$89,3,0)*0.475*44/12</f>
        <v>3.629212612069799E-9</v>
      </c>
      <c r="AC90" s="22">
        <f t="shared" si="57"/>
        <v>3.4882191205718733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12.5</v>
      </c>
      <c r="AI90" s="13">
        <f>IF('Données projet'!$A$62&gt;35,AI89+AH90-AQ89,IF(A90&lt;'Données projet'!$A$62,$AF$205^A90,IF(A90='Données projet'!$A$62,'Données projet'!$B$62,AI89+AH90-AQ89)))</f>
        <v>599.49999999999955</v>
      </c>
      <c r="AJ90" s="13">
        <f>AI90*VLOOKUP('Données projet'!$B$10,Paramètres!$A$1:$I$89,3,0)*VLOOKUP('Données projet'!$B$10,Paramètres!$A$1:$I$89,5,0)</f>
        <v>358.50099999999975</v>
      </c>
      <c r="AK90" s="13">
        <f t="shared" si="89"/>
        <v>83.310503088522523</v>
      </c>
      <c r="AL90" s="20">
        <f t="shared" si="58"/>
        <v>769.48836787917628</v>
      </c>
      <c r="AM90" s="59">
        <f t="shared" si="59"/>
        <v>1062.8217012125097</v>
      </c>
      <c r="AN90" s="59">
        <f ca="1">AVERAGE(OFFSET($AM$3,0,0,'Données projet'!$E$10+1,1))-AVERAGE(OFFSET($H$3,0,0,'Données projet'!$E$10+1,1))</f>
        <v>316.58509520829671</v>
      </c>
      <c r="AO90" s="59">
        <f t="shared" si="90"/>
        <v>240.71332110643596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0.81969361627344106</v>
      </c>
      <c r="AV90" s="21">
        <f>EXP(-LN(2)/25)*AV89+(1-EXP(-LN(2)/25))/(LN(2)/25)*Calculateur!AQ90*Calculateur!AS90*VLOOKUP('Données projet'!$B$10,Paramètres!$A$1:$I$89,3,0)*0.475*44/12</f>
        <v>3.1436318248455115</v>
      </c>
      <c r="AW90" s="21">
        <f>EXP(-LN(2)/2)*AW89+(1-EXP(-LN(2)/2))/(LN(2)/2)*AQ90*AT90*VLOOKUP('Données projet'!$B$10,Paramètres!$A$1:$I$89,3,0)*0.475*44/12</f>
        <v>5.779213555036004E-8</v>
      </c>
      <c r="AX90" s="21">
        <f t="shared" si="60"/>
        <v>3.9633254989110882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-1.8089849618263545E-13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314.94704727988847</v>
      </c>
      <c r="BJ90" s="59">
        <f t="shared" si="92"/>
        <v>366.49199094166454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1.2663337753427049</v>
      </c>
      <c r="BQ90" s="21">
        <f>EXP(-LN(2)/25)*BQ89+(1-EXP(-LN(2)/25))/(LN(2)/25)*Calculateur!BL90*Calculateur!BN90*VLOOKUP('Données projet'!$B$11,Paramètres!$A$1:$I$89,3,0)*0.475*44/12</f>
        <v>5.2312221882164964</v>
      </c>
      <c r="BR90" s="21">
        <f>EXP(-LN(2)/2)*BR89+(1-EXP(-LN(2)/2))/(LN(2)/2)*BL90*BO90*VLOOKUP('Données projet'!$B$11,Paramètres!$A$1:$I$89,3,0)*0.475*44/12</f>
        <v>7.6046708799640414E-8</v>
      </c>
      <c r="BS90" s="22">
        <f t="shared" si="63"/>
        <v>6.49755603960591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-1.8089849618263545E-13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314.94704727988847</v>
      </c>
      <c r="CE90" s="59">
        <f t="shared" si="94"/>
        <v>366.49199094166454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1.2663337753427049</v>
      </c>
      <c r="CL90" s="21">
        <f>EXP(-LN(2)/25)*CL89+(1-EXP(-LN(2)/25))/(LN(2)/25)*Calculateur!CG90*Calculateur!CI90*VLOOKUP('Données projet'!$B$12,Paramètres!$A$1:$I$89,3,0)*0.475*44/12</f>
        <v>5.2312221882164964</v>
      </c>
      <c r="CM90" s="21">
        <f>EXP(-LN(2)/2)*CM89+(1-EXP(-LN(2)/2))/(LN(2)/2)*CG90*CJ90*VLOOKUP('Données projet'!$B$12,Paramètres!$A$1:$I$89,3,0)*0.475*44/12</f>
        <v>7.6046708799640414E-8</v>
      </c>
      <c r="CN90" s="22">
        <f t="shared" si="66"/>
        <v>6.49755603960591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7.4950142450142483</v>
      </c>
      <c r="CT90" s="12">
        <f>IF('Données projet'!$A$140&gt;35,CT89+CS90-DB89,IF(A90&lt;'Données projet'!$A$140,$CQ$205^A90,IF(A90='Données projet'!$A$140,'Données projet'!$B$140,CT89+CS90-DB89)))</f>
        <v>280.86894586894596</v>
      </c>
      <c r="CU90" s="17">
        <f>CT90*VLOOKUP('Données projet'!$B$13,Paramètres!$A$1:$I$89,3,0)*VLOOKUP('Données projet'!$B$13,Paramètres!$A$1:$I$89,5,0)</f>
        <v>254.13022222222227</v>
      </c>
      <c r="CV90" s="13">
        <f t="shared" si="95"/>
        <v>61.469520573147541</v>
      </c>
      <c r="CW90" s="20">
        <f t="shared" si="67"/>
        <v>549.66955203526913</v>
      </c>
      <c r="CX90" s="59">
        <f t="shared" si="68"/>
        <v>843.00288536860239</v>
      </c>
      <c r="CY90" s="59">
        <f ca="1">AVERAGE(OFFSET($CX$3,0,0,'Données projet'!$E$13+1,1))-AVERAGE(OFFSET($H$3,0,0,'Données projet'!$E$13+1,1))</f>
        <v>221.7429870520005</v>
      </c>
      <c r="CZ90" s="59">
        <f t="shared" si="96"/>
        <v>182.2029938397186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-1.0345502232667058E-13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199.01551760562705</v>
      </c>
      <c r="T91" s="59">
        <f t="shared" si="88"/>
        <v>269.50915104901367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0.79746953662198905</v>
      </c>
      <c r="AA91" s="21">
        <f>EXP(-LN(2)/25)*AA90+(1-EXP(-LN(2)/25))/(LN(2)/25)*Calculateur!V91*Calculateur!X91*VLOOKUP('Données projet'!$B$9,Paramètres!$A$1:$I$89,3,0)*0.475*44/12</f>
        <v>2.6016563893743361</v>
      </c>
      <c r="AB91" s="21">
        <f>EXP(-LN(2)/2)*AB90+(1-EXP(-LN(2)/2))/(LN(2)/2)*V91*Y91*VLOOKUP('Données projet'!$B$9,Paramètres!$A$1:$I$89,3,0)*0.475*44/12</f>
        <v>2.5662408483622981E-9</v>
      </c>
      <c r="AC91" s="22">
        <f t="shared" si="57"/>
        <v>3.3991259285625661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12.5</v>
      </c>
      <c r="AI91" s="13">
        <f>IF('Données projet'!$A$62&gt;35,AI90+AH91-AQ90,IF(A91&lt;'Données projet'!$A$62,$AF$205^A91,IF(A91='Données projet'!$A$62,'Données projet'!$B$62,AI90+AH91-AQ90)))</f>
        <v>611.99999999999955</v>
      </c>
      <c r="AJ91" s="13">
        <f>AI91*VLOOKUP('Données projet'!$B$10,Paramètres!$A$1:$I$89,3,0)*VLOOKUP('Données projet'!$B$10,Paramètres!$A$1:$I$89,5,0)</f>
        <v>365.97599999999977</v>
      </c>
      <c r="AK91" s="13">
        <f t="shared" si="89"/>
        <v>84.843541364532513</v>
      </c>
      <c r="AL91" s="20">
        <f t="shared" si="58"/>
        <v>785.17736787656031</v>
      </c>
      <c r="AM91" s="59">
        <f t="shared" si="59"/>
        <v>1078.5107012098936</v>
      </c>
      <c r="AN91" s="59">
        <f ca="1">AVERAGE(OFFSET($AM$3,0,0,'Données projet'!$E$10+1,1))-AVERAGE(OFFSET($H$3,0,0,'Données projet'!$E$10+1,1))</f>
        <v>316.58509520829671</v>
      </c>
      <c r="AO91" s="59">
        <f t="shared" si="90"/>
        <v>240.71332110643596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0.80361992442205754</v>
      </c>
      <c r="AV91" s="21">
        <f>EXP(-LN(2)/25)*AV90+(1-EXP(-LN(2)/25))/(LN(2)/25)*Calculateur!AQ91*Calculateur!AS91*VLOOKUP('Données projet'!$B$10,Paramètres!$A$1:$I$89,3,0)*0.475*44/12</f>
        <v>3.057669047278698</v>
      </c>
      <c r="AW91" s="21">
        <f>EXP(-LN(2)/2)*AW90+(1-EXP(-LN(2)/2))/(LN(2)/2)*AQ91*AT91*VLOOKUP('Données projet'!$B$10,Paramètres!$A$1:$I$89,3,0)*0.475*44/12</f>
        <v>4.0865210946911734E-8</v>
      </c>
      <c r="AX91" s="21">
        <f t="shared" si="60"/>
        <v>3.8612890125659662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-1.8089849618263545E-13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314.94704727988847</v>
      </c>
      <c r="BJ91" s="59">
        <f t="shared" si="92"/>
        <v>366.49199094166454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1.2415017423955705</v>
      </c>
      <c r="BQ91" s="21">
        <f>EXP(-LN(2)/25)*BQ90+(1-EXP(-LN(2)/25))/(LN(2)/25)*Calculateur!BL91*Calculateur!BN91*VLOOKUP('Données projet'!$B$11,Paramètres!$A$1:$I$89,3,0)*0.475*44/12</f>
        <v>5.088174142381698</v>
      </c>
      <c r="BR91" s="21">
        <f>EXP(-LN(2)/2)*BR90+(1-EXP(-LN(2)/2))/(LN(2)/2)*BL91*BO91*VLOOKUP('Données projet'!$B$11,Paramètres!$A$1:$I$89,3,0)*0.475*44/12</f>
        <v>5.3773143479144433E-8</v>
      </c>
      <c r="BS91" s="22">
        <f t="shared" si="63"/>
        <v>6.3296759385504116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-1.8089849618263545E-13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314.94704727988847</v>
      </c>
      <c r="CE91" s="59">
        <f t="shared" si="94"/>
        <v>366.49199094166454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1.2415017423955705</v>
      </c>
      <c r="CL91" s="21">
        <f>EXP(-LN(2)/25)*CL90+(1-EXP(-LN(2)/25))/(LN(2)/25)*Calculateur!CG91*Calculateur!CI91*VLOOKUP('Données projet'!$B$12,Paramètres!$A$1:$I$89,3,0)*0.475*44/12</f>
        <v>5.088174142381698</v>
      </c>
      <c r="CM91" s="21">
        <f>EXP(-LN(2)/2)*CM90+(1-EXP(-LN(2)/2))/(LN(2)/2)*CG91*CJ91*VLOOKUP('Données projet'!$B$12,Paramètres!$A$1:$I$89,3,0)*0.475*44/12</f>
        <v>5.3773143479144433E-8</v>
      </c>
      <c r="CN91" s="22">
        <f t="shared" si="66"/>
        <v>6.3296759385504116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7.4950142450142483</v>
      </c>
      <c r="CT91" s="12">
        <f>IF('Données projet'!$A$140&gt;35,CT90+CS91-DB90,IF(A91&lt;'Données projet'!$A$140,$CQ$205^A91,IF(A91='Données projet'!$A$140,'Données projet'!$B$140,CT90+CS91-DB90)))</f>
        <v>288.36396011396022</v>
      </c>
      <c r="CU91" s="17">
        <f>CT91*VLOOKUP('Données projet'!$B$13,Paramètres!$A$1:$I$89,3,0)*VLOOKUP('Données projet'!$B$13,Paramètres!$A$1:$I$89,5,0)</f>
        <v>260.91171111111117</v>
      </c>
      <c r="CV91" s="13">
        <f t="shared" si="95"/>
        <v>62.916678312142118</v>
      </c>
      <c r="CW91" s="20">
        <f t="shared" si="67"/>
        <v>564.00111157883271</v>
      </c>
      <c r="CX91" s="59">
        <f t="shared" si="68"/>
        <v>857.33444491216596</v>
      </c>
      <c r="CY91" s="59">
        <f ca="1">AVERAGE(OFFSET($CX$3,0,0,'Données projet'!$E$13+1,1))-AVERAGE(OFFSET($H$3,0,0,'Données projet'!$E$13+1,1))</f>
        <v>221.7429870520005</v>
      </c>
      <c r="CZ91" s="59">
        <f t="shared" si="96"/>
        <v>182.2029938397186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-1.0345502232667058E-13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199.01551760562705</v>
      </c>
      <c r="T92" s="59">
        <f t="shared" si="88"/>
        <v>269.50915104901367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0.78183164541722039</v>
      </c>
      <c r="AA92" s="21">
        <f>EXP(-LN(2)/25)*AA91+(1-EXP(-LN(2)/25))/(LN(2)/25)*Calculateur!V92*Calculateur!X92*VLOOKUP('Données projet'!$B$9,Paramètres!$A$1:$I$89,3,0)*0.475*44/12</f>
        <v>2.5305139585917313</v>
      </c>
      <c r="AB92" s="21">
        <f>EXP(-LN(2)/2)*AB91+(1-EXP(-LN(2)/2))/(LN(2)/2)*V92*Y92*VLOOKUP('Données projet'!$B$9,Paramètres!$A$1:$I$89,3,0)*0.475*44/12</f>
        <v>1.8146063060348997E-9</v>
      </c>
      <c r="AC92" s="22">
        <f t="shared" si="57"/>
        <v>3.3123456058235581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12.5</v>
      </c>
      <c r="AI92" s="13">
        <f>IF('Données projet'!$A$62&gt;35,AI91+AH92-AQ91,IF(A92&lt;'Données projet'!$A$62,$AF$205^A92,IF(A92='Données projet'!$A$62,'Données projet'!$B$62,AI91+AH92-AQ91)))</f>
        <v>624.49999999999955</v>
      </c>
      <c r="AJ92" s="13">
        <f>AI92*VLOOKUP('Données projet'!$B$10,Paramètres!$A$1:$I$89,3,0)*VLOOKUP('Données projet'!$B$10,Paramètres!$A$1:$I$89,5,0)</f>
        <v>373.45099999999979</v>
      </c>
      <c r="AK92" s="13">
        <f t="shared" si="89"/>
        <v>86.372938978761937</v>
      </c>
      <c r="AL92" s="20">
        <f t="shared" si="58"/>
        <v>800.86002705467661</v>
      </c>
      <c r="AM92" s="59">
        <f t="shared" si="59"/>
        <v>1094.19336038801</v>
      </c>
      <c r="AN92" s="59">
        <f ca="1">AVERAGE(OFFSET($AM$3,0,0,'Données projet'!$E$10+1,1))-AVERAGE(OFFSET($H$3,0,0,'Données projet'!$E$10+1,1))</f>
        <v>316.58509520829671</v>
      </c>
      <c r="AO92" s="59">
        <f t="shared" si="90"/>
        <v>240.71332110643596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0.78786142786389568</v>
      </c>
      <c r="AV92" s="21">
        <f>EXP(-LN(2)/25)*AV91+(1-EXP(-LN(2)/25))/(LN(2)/25)*Calculateur!AQ92*Calculateur!AS92*VLOOKUP('Données projet'!$B$10,Paramètres!$A$1:$I$89,3,0)*0.475*44/12</f>
        <v>2.9740569263850354</v>
      </c>
      <c r="AW92" s="21">
        <f>EXP(-LN(2)/2)*AW91+(1-EXP(-LN(2)/2))/(LN(2)/2)*AQ92*AT92*VLOOKUP('Données projet'!$B$10,Paramètres!$A$1:$I$89,3,0)*0.475*44/12</f>
        <v>2.8896067775180023E-8</v>
      </c>
      <c r="AX92" s="21">
        <f t="shared" si="60"/>
        <v>3.7619183831449989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-1.8089849618263545E-13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314.94704727988847</v>
      </c>
      <c r="BJ92" s="59">
        <f t="shared" si="92"/>
        <v>366.49199094166454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1.217156650468485</v>
      </c>
      <c r="BQ92" s="21">
        <f>EXP(-LN(2)/25)*BQ91+(1-EXP(-LN(2)/25))/(LN(2)/25)*Calculateur!BL92*Calculateur!BN92*VLOOKUP('Données projet'!$B$11,Paramètres!$A$1:$I$89,3,0)*0.475*44/12</f>
        <v>4.9490377528828216</v>
      </c>
      <c r="BR92" s="21">
        <f>EXP(-LN(2)/2)*BR91+(1-EXP(-LN(2)/2))/(LN(2)/2)*BL92*BO92*VLOOKUP('Données projet'!$B$11,Paramètres!$A$1:$I$89,3,0)*0.475*44/12</f>
        <v>3.8023354399820207E-8</v>
      </c>
      <c r="BS92" s="22">
        <f t="shared" si="63"/>
        <v>6.1661944413746612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-1.8089849618263545E-13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314.94704727988847</v>
      </c>
      <c r="CE92" s="59">
        <f t="shared" si="94"/>
        <v>366.49199094166454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1.217156650468485</v>
      </c>
      <c r="CL92" s="21">
        <f>EXP(-LN(2)/25)*CL91+(1-EXP(-LN(2)/25))/(LN(2)/25)*Calculateur!CG92*Calculateur!CI92*VLOOKUP('Données projet'!$B$12,Paramètres!$A$1:$I$89,3,0)*0.475*44/12</f>
        <v>4.9490377528828216</v>
      </c>
      <c r="CM92" s="21">
        <f>EXP(-LN(2)/2)*CM91+(1-EXP(-LN(2)/2))/(LN(2)/2)*CG92*CJ92*VLOOKUP('Données projet'!$B$12,Paramètres!$A$1:$I$89,3,0)*0.475*44/12</f>
        <v>3.8023354399820207E-8</v>
      </c>
      <c r="CN92" s="22">
        <f t="shared" si="66"/>
        <v>6.1661944413746612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295.85897435897436</v>
      </c>
      <c r="CR92" s="12">
        <f>VLOOKUP(A92,'Données projet'!$A$139:$I$159,9,0)</f>
        <v>7.4950142450142483</v>
      </c>
      <c r="CS92" s="12">
        <f t="array" ref="CS92">INDEX(CR:CR,MIN(IF(ISNUMBER(CR92:CR288),ROW(CR92:CR288),"")))</f>
        <v>7.4950142450142483</v>
      </c>
      <c r="CT92" s="12">
        <f>IF('Données projet'!$A$140&gt;35,CT91+CS92-DB91,IF(A92&lt;'Données projet'!$A$140,$CQ$205^A92,IF(A92='Données projet'!$A$140,'Données projet'!$B$140,CT91+CS92-DB91)))</f>
        <v>295.85897435897448</v>
      </c>
      <c r="CU92" s="17">
        <f>CT92*VLOOKUP('Données projet'!$B$13,Paramètres!$A$1:$I$89,3,0)*VLOOKUP('Données projet'!$B$13,Paramètres!$A$1:$I$89,5,0)</f>
        <v>267.6932000000001</v>
      </c>
      <c r="CV92" s="13">
        <f t="shared" si="95"/>
        <v>64.359463899490166</v>
      </c>
      <c r="CW92" s="20">
        <f t="shared" si="67"/>
        <v>578.32505629161221</v>
      </c>
      <c r="CX92" s="59">
        <f t="shared" si="68"/>
        <v>871.65838962494558</v>
      </c>
      <c r="CY92" s="59">
        <f ca="1">AVERAGE(OFFSET($CX$3,0,0,'Données projet'!$E$13+1,1))-AVERAGE(OFFSET($H$3,0,0,'Données projet'!$E$13+1,1))</f>
        <v>221.7429870520005</v>
      </c>
      <c r="CZ92" s="59">
        <f t="shared" si="96"/>
        <v>182.2029938397186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49.391025641025635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-1.0345502232667058E-13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199.01551760562705</v>
      </c>
      <c r="T93" s="59">
        <f t="shared" si="88"/>
        <v>269.50915104901367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0.76650040372080541</v>
      </c>
      <c r="AA93" s="21">
        <f>EXP(-LN(2)/25)*AA92+(1-EXP(-LN(2)/25))/(LN(2)/25)*Calculateur!V93*Calculateur!X93*VLOOKUP('Données projet'!$B$9,Paramètres!$A$1:$I$89,3,0)*0.475*44/12</f>
        <v>2.4613169213200949</v>
      </c>
      <c r="AB93" s="21">
        <f>EXP(-LN(2)/2)*AB92+(1-EXP(-LN(2)/2))/(LN(2)/2)*V93*Y93*VLOOKUP('Données projet'!$B$9,Paramètres!$A$1:$I$89,3,0)*0.475*44/12</f>
        <v>1.2831204241811492E-9</v>
      </c>
      <c r="AC93" s="22">
        <f t="shared" si="57"/>
        <v>3.2278173263240206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637</v>
      </c>
      <c r="AG93" s="12">
        <f>VLOOKUP(A93,'Données projet'!$A$61:$I$81,9,0)</f>
        <v>12.5</v>
      </c>
      <c r="AH93" s="12">
        <f t="array" ref="AH93">INDEX(AG:AG,MIN(IF(ISNUMBER(AG93:AG289),ROW(AG93:AG289),"")))</f>
        <v>12.5</v>
      </c>
      <c r="AI93" s="13">
        <f>IF('Données projet'!$A$62&gt;35,AI92+AH93-AQ92,IF(A93&lt;'Données projet'!$A$62,$AF$205^A93,IF(A93='Données projet'!$A$62,'Données projet'!$B$62,AI92+AH93-AQ92)))</f>
        <v>636.99999999999955</v>
      </c>
      <c r="AJ93" s="13">
        <f>AI93*VLOOKUP('Données projet'!$B$10,Paramètres!$A$1:$I$89,3,0)*VLOOKUP('Données projet'!$B$10,Paramètres!$A$1:$I$89,5,0)</f>
        <v>380.92599999999976</v>
      </c>
      <c r="AK93" s="13">
        <f t="shared" si="89"/>
        <v>87.898777201244229</v>
      </c>
      <c r="AL93" s="20">
        <f t="shared" si="58"/>
        <v>816.53648695883328</v>
      </c>
      <c r="AM93" s="59">
        <f t="shared" si="59"/>
        <v>1109.8698202921667</v>
      </c>
      <c r="AN93" s="59">
        <f ca="1">AVERAGE(OFFSET($AM$3,0,0,'Données projet'!$E$10+1,1))-AVERAGE(OFFSET($H$3,0,0,'Données projet'!$E$10+1,1))</f>
        <v>316.58509520829671</v>
      </c>
      <c r="AO93" s="59">
        <f t="shared" si="90"/>
        <v>240.71332110643596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83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0.77241194581150552</v>
      </c>
      <c r="AV93" s="21">
        <f>EXP(-LN(2)/25)*AV92+(1-EXP(-LN(2)/25))/(LN(2)/25)*Calculateur!AQ93*Calculateur!AS93*VLOOKUP('Données projet'!$B$10,Paramètres!$A$1:$I$89,3,0)*0.475*44/12</f>
        <v>2.8927311833341802</v>
      </c>
      <c r="AW93" s="21">
        <f>EXP(-LN(2)/2)*AW92+(1-EXP(-LN(2)/2))/(LN(2)/2)*AQ93*AT93*VLOOKUP('Données projet'!$B$10,Paramètres!$A$1:$I$89,3,0)*0.475*44/12</f>
        <v>2.043260547345587E-8</v>
      </c>
      <c r="AX93" s="21">
        <f t="shared" si="60"/>
        <v>3.6651431495782911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-1.8089849618263545E-13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314.94704727988847</v>
      </c>
      <c r="BJ93" s="59">
        <f t="shared" si="92"/>
        <v>366.49199094166454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1.1932889509450497</v>
      </c>
      <c r="BQ93" s="21">
        <f>EXP(-LN(2)/25)*BQ92+(1-EXP(-LN(2)/25))/(LN(2)/25)*Calculateur!BL93*Calculateur!BN93*VLOOKUP('Données projet'!$B$11,Paramètres!$A$1:$I$89,3,0)*0.475*44/12</f>
        <v>4.8137060552716564</v>
      </c>
      <c r="BR93" s="21">
        <f>EXP(-LN(2)/2)*BR92+(1-EXP(-LN(2)/2))/(LN(2)/2)*BL93*BO93*VLOOKUP('Données projet'!$B$11,Paramètres!$A$1:$I$89,3,0)*0.475*44/12</f>
        <v>2.6886571739572217E-8</v>
      </c>
      <c r="BS93" s="22">
        <f t="shared" si="63"/>
        <v>6.0069950331032782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-1.8089849618263545E-13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314.94704727988847</v>
      </c>
      <c r="CE93" s="59">
        <f t="shared" si="94"/>
        <v>366.49199094166454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1.1932889509450497</v>
      </c>
      <c r="CL93" s="21">
        <f>EXP(-LN(2)/25)*CL92+(1-EXP(-LN(2)/25))/(LN(2)/25)*Calculateur!CG93*Calculateur!CI93*VLOOKUP('Données projet'!$B$12,Paramètres!$A$1:$I$89,3,0)*0.475*44/12</f>
        <v>4.8137060552716564</v>
      </c>
      <c r="CM93" s="21">
        <f>EXP(-LN(2)/2)*CM92+(1-EXP(-LN(2)/2))/(LN(2)/2)*CG93*CJ93*VLOOKUP('Données projet'!$B$12,Paramètres!$A$1:$I$89,3,0)*0.475*44/12</f>
        <v>2.6886571739572217E-8</v>
      </c>
      <c r="CN93" s="22">
        <f t="shared" si="66"/>
        <v>6.0069950331032782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7.1782051282051267</v>
      </c>
      <c r="CT93" s="12">
        <f>IF('Données projet'!$A$140&gt;35,CT92+CS93-DB92,IF(A93&lt;'Données projet'!$A$140,$CQ$205^A93,IF(A93='Données projet'!$A$140,'Données projet'!$B$140,CT92+CS93-DB92)))</f>
        <v>253.64615384615399</v>
      </c>
      <c r="CU93" s="17">
        <f>CT93*VLOOKUP('Données projet'!$B$13,Paramètres!$A$1:$I$89,3,0)*VLOOKUP('Données projet'!$B$13,Paramètres!$A$1:$I$89,5,0)</f>
        <v>229.49904000000012</v>
      </c>
      <c r="CV93" s="13">
        <f t="shared" si="95"/>
        <v>56.174348524497042</v>
      </c>
      <c r="CW93" s="20">
        <f t="shared" si="67"/>
        <v>497.54781834683246</v>
      </c>
      <c r="CX93" s="59">
        <f t="shared" si="68"/>
        <v>790.88115168016577</v>
      </c>
      <c r="CY93" s="59">
        <f ca="1">AVERAGE(OFFSET($CX$3,0,0,'Données projet'!$E$13+1,1))-AVERAGE(OFFSET($H$3,0,0,'Données projet'!$E$13+1,1))</f>
        <v>221.7429870520005</v>
      </c>
      <c r="CZ93" s="59">
        <f t="shared" si="96"/>
        <v>182.2029938397186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-1.0345502232667058E-13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199.01551760562705</v>
      </c>
      <c r="T94" s="59">
        <f t="shared" si="88"/>
        <v>269.50915104901367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0.75146979832292304</v>
      </c>
      <c r="AA94" s="21">
        <f>EXP(-LN(2)/25)*AA93+(1-EXP(-LN(2)/25))/(LN(2)/25)*Calculateur!V94*Calculateur!X94*VLOOKUP('Données projet'!$B$9,Paramètres!$A$1:$I$89,3,0)*0.475*44/12</f>
        <v>2.3940120806715655</v>
      </c>
      <c r="AB94" s="21">
        <f>EXP(-LN(2)/2)*AB93+(1-EXP(-LN(2)/2))/(LN(2)/2)*V94*Y94*VLOOKUP('Données projet'!$B$9,Paramètres!$A$1:$I$89,3,0)*0.475*44/12</f>
        <v>9.0730315301744996E-10</v>
      </c>
      <c r="AC94" s="22">
        <f t="shared" si="57"/>
        <v>3.1454818799017916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553.99999999999955</v>
      </c>
      <c r="AJ94" s="13">
        <f>AI94*VLOOKUP('Données projet'!$B$10,Paramètres!$A$1:$I$89,3,0)*VLOOKUP('Données projet'!$B$10,Paramètres!$A$1:$I$89,5,0)</f>
        <v>331.29199999999975</v>
      </c>
      <c r="AK94" s="13">
        <f t="shared" si="89"/>
        <v>77.698110787752</v>
      </c>
      <c r="AL94" s="20">
        <f t="shared" si="58"/>
        <v>712.32444295533423</v>
      </c>
      <c r="AM94" s="59">
        <f t="shared" si="59"/>
        <v>1005.6577762886675</v>
      </c>
      <c r="AN94" s="59">
        <f ca="1">AVERAGE(OFFSET($AM$3,0,0,'Données projet'!$E$10+1,1))-AVERAGE(OFFSET($H$3,0,0,'Données projet'!$E$10+1,1))</f>
        <v>316.58509520829671</v>
      </c>
      <c r="AO94" s="59">
        <f t="shared" si="90"/>
        <v>240.71332110643596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0.75726541867890917</v>
      </c>
      <c r="AV94" s="21">
        <f>EXP(-LN(2)/25)*AV93+(1-EXP(-LN(2)/25))/(LN(2)/25)*Calculateur!AQ94*Calculateur!AS94*VLOOKUP('Données projet'!$B$10,Paramètres!$A$1:$I$89,3,0)*0.475*44/12</f>
        <v>2.8136292970037857</v>
      </c>
      <c r="AW94" s="21">
        <f>EXP(-LN(2)/2)*AW93+(1-EXP(-LN(2)/2))/(LN(2)/2)*AQ94*AT94*VLOOKUP('Données projet'!$B$10,Paramètres!$A$1:$I$89,3,0)*0.475*44/12</f>
        <v>1.4448033887590015E-8</v>
      </c>
      <c r="AX94" s="21">
        <f t="shared" si="60"/>
        <v>3.5708947301307288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-1.8089849618263545E-13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314.94704727988847</v>
      </c>
      <c r="BJ94" s="59">
        <f t="shared" si="92"/>
        <v>366.49199094166454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1.1698892824514098</v>
      </c>
      <c r="BQ94" s="21">
        <f>EXP(-LN(2)/25)*BQ93+(1-EXP(-LN(2)/25))/(LN(2)/25)*Calculateur!BL94*Calculateur!BN94*VLOOKUP('Données projet'!$B$11,Paramètres!$A$1:$I$89,3,0)*0.475*44/12</f>
        <v>4.6820750100484529</v>
      </c>
      <c r="BR94" s="21">
        <f>EXP(-LN(2)/2)*BR93+(1-EXP(-LN(2)/2))/(LN(2)/2)*BL94*BO94*VLOOKUP('Données projet'!$B$11,Paramètres!$A$1:$I$89,3,0)*0.475*44/12</f>
        <v>1.9011677199910103E-8</v>
      </c>
      <c r="BS94" s="22">
        <f t="shared" si="63"/>
        <v>5.8519643115115407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-1.8089849618263545E-13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314.94704727988847</v>
      </c>
      <c r="CE94" s="59">
        <f t="shared" si="94"/>
        <v>366.49199094166454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1.1698892824514098</v>
      </c>
      <c r="CL94" s="21">
        <f>EXP(-LN(2)/25)*CL93+(1-EXP(-LN(2)/25))/(LN(2)/25)*Calculateur!CG94*Calculateur!CI94*VLOOKUP('Données projet'!$B$12,Paramètres!$A$1:$I$89,3,0)*0.475*44/12</f>
        <v>4.6820750100484529</v>
      </c>
      <c r="CM94" s="21">
        <f>EXP(-LN(2)/2)*CM93+(1-EXP(-LN(2)/2))/(LN(2)/2)*CG94*CJ94*VLOOKUP('Données projet'!$B$12,Paramètres!$A$1:$I$89,3,0)*0.475*44/12</f>
        <v>1.9011677199910103E-8</v>
      </c>
      <c r="CN94" s="22">
        <f t="shared" si="66"/>
        <v>5.8519643115115407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7.1782051282051267</v>
      </c>
      <c r="CT94" s="12">
        <f>IF('Données projet'!$A$140&gt;35,CT93+CS94-DB93,IF(A94&lt;'Données projet'!$A$140,$CQ$205^A94,IF(A94='Données projet'!$A$140,'Données projet'!$B$140,CT93+CS94-DB93)))</f>
        <v>260.82435897435914</v>
      </c>
      <c r="CU94" s="17">
        <f>CT94*VLOOKUP('Données projet'!$B$13,Paramètres!$A$1:$I$89,3,0)*VLOOKUP('Données projet'!$B$13,Paramètres!$A$1:$I$89,5,0)</f>
        <v>235.99388000000016</v>
      </c>
      <c r="CV94" s="13">
        <f t="shared" si="95"/>
        <v>57.57675164364376</v>
      </c>
      <c r="CW94" s="20">
        <f t="shared" si="67"/>
        <v>511.3021834460132</v>
      </c>
      <c r="CX94" s="59">
        <f t="shared" si="68"/>
        <v>804.63551677934652</v>
      </c>
      <c r="CY94" s="59">
        <f ca="1">AVERAGE(OFFSET($CX$3,0,0,'Données projet'!$E$13+1,1))-AVERAGE(OFFSET($H$3,0,0,'Données projet'!$E$13+1,1))</f>
        <v>221.7429870520005</v>
      </c>
      <c r="CZ94" s="59">
        <f t="shared" si="96"/>
        <v>182.2029938397186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-1.0345502232667058E-13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199.01551760562705</v>
      </c>
      <c r="T95" s="59">
        <f t="shared" si="88"/>
        <v>269.50915104901367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0.73673393392912911</v>
      </c>
      <c r="AA95" s="21">
        <f>EXP(-LN(2)/25)*AA94+(1-EXP(-LN(2)/25))/(LN(2)/25)*Calculateur!V95*Calculateur!X95*VLOOKUP('Données projet'!$B$9,Paramètres!$A$1:$I$89,3,0)*0.475*44/12</f>
        <v>2.3285476944299779</v>
      </c>
      <c r="AB95" s="21">
        <f>EXP(-LN(2)/2)*AB94+(1-EXP(-LN(2)/2))/(LN(2)/2)*V95*Y95*VLOOKUP('Données projet'!$B$9,Paramètres!$A$1:$I$89,3,0)*0.475*44/12</f>
        <v>6.4156021209057472E-10</v>
      </c>
      <c r="AC95" s="22">
        <f t="shared" si="57"/>
        <v>3.0652816290006673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553.99999999999955</v>
      </c>
      <c r="AJ95" s="13">
        <f>AI95*VLOOKUP('Données projet'!$B$10,Paramètres!$A$1:$I$89,3,0)*VLOOKUP('Données projet'!$B$10,Paramètres!$A$1:$I$89,5,0)</f>
        <v>331.29199999999975</v>
      </c>
      <c r="AK95" s="13">
        <f t="shared" si="89"/>
        <v>77.698110787752</v>
      </c>
      <c r="AL95" s="20">
        <f t="shared" si="58"/>
        <v>712.32444295533423</v>
      </c>
      <c r="AM95" s="59">
        <f t="shared" si="59"/>
        <v>1005.6577762886675</v>
      </c>
      <c r="AN95" s="59">
        <f ca="1">AVERAGE(OFFSET($AM$3,0,0,'Données projet'!$E$10+1,1))-AVERAGE(OFFSET($H$3,0,0,'Données projet'!$E$10+1,1))</f>
        <v>316.58509520829671</v>
      </c>
      <c r="AO95" s="59">
        <f t="shared" si="90"/>
        <v>240.71332110643596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0.74241590570491367</v>
      </c>
      <c r="AV95" s="21">
        <f>EXP(-LN(2)/25)*AV94+(1-EXP(-LN(2)/25))/(LN(2)/25)*Calculateur!AQ95*Calculateur!AS95*VLOOKUP('Données projet'!$B$10,Paramètres!$A$1:$I$89,3,0)*0.475*44/12</f>
        <v>2.736690455914883</v>
      </c>
      <c r="AW95" s="21">
        <f>EXP(-LN(2)/2)*AW94+(1-EXP(-LN(2)/2))/(LN(2)/2)*AQ95*AT95*VLOOKUP('Données projet'!$B$10,Paramètres!$A$1:$I$89,3,0)*0.475*44/12</f>
        <v>1.0216302736727937E-8</v>
      </c>
      <c r="AX95" s="21">
        <f t="shared" si="60"/>
        <v>3.4791063718360995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-1.8089849618263545E-13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314.94704727988847</v>
      </c>
      <c r="BJ95" s="59">
        <f t="shared" si="92"/>
        <v>366.49199094166454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1.1469484671845416</v>
      </c>
      <c r="BQ95" s="21">
        <f>EXP(-LN(2)/25)*BQ94+(1-EXP(-LN(2)/25))/(LN(2)/25)*Calculateur!BL95*Calculateur!BN95*VLOOKUP('Données projet'!$B$11,Paramètres!$A$1:$I$89,3,0)*0.475*44/12</f>
        <v>4.5540434226790545</v>
      </c>
      <c r="BR95" s="21">
        <f>EXP(-LN(2)/2)*BR94+(1-EXP(-LN(2)/2))/(LN(2)/2)*BL95*BO95*VLOOKUP('Données projet'!$B$11,Paramètres!$A$1:$I$89,3,0)*0.475*44/12</f>
        <v>1.3443285869786108E-8</v>
      </c>
      <c r="BS95" s="22">
        <f t="shared" si="63"/>
        <v>5.7009919033068819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-1.8089849618263545E-13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314.94704727988847</v>
      </c>
      <c r="CE95" s="59">
        <f t="shared" si="94"/>
        <v>366.49199094166454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1.1469484671845416</v>
      </c>
      <c r="CL95" s="21">
        <f>EXP(-LN(2)/25)*CL94+(1-EXP(-LN(2)/25))/(LN(2)/25)*Calculateur!CG95*Calculateur!CI95*VLOOKUP('Données projet'!$B$12,Paramètres!$A$1:$I$89,3,0)*0.475*44/12</f>
        <v>4.5540434226790545</v>
      </c>
      <c r="CM95" s="21">
        <f>EXP(-LN(2)/2)*CM94+(1-EXP(-LN(2)/2))/(LN(2)/2)*CG95*CJ95*VLOOKUP('Données projet'!$B$12,Paramètres!$A$1:$I$89,3,0)*0.475*44/12</f>
        <v>1.3443285869786108E-8</v>
      </c>
      <c r="CN95" s="22">
        <f t="shared" si="66"/>
        <v>5.7009919033068819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7.1782051282051267</v>
      </c>
      <c r="CT95" s="12">
        <f>IF('Données projet'!$A$140&gt;35,CT94+CS95-DB94,IF(A95&lt;'Données projet'!$A$140,$CQ$205^A95,IF(A95='Données projet'!$A$140,'Données projet'!$B$140,CT94+CS95-DB94)))</f>
        <v>268.00256410256429</v>
      </c>
      <c r="CU95" s="17">
        <f>CT95*VLOOKUP('Données projet'!$B$13,Paramètres!$A$1:$I$89,3,0)*VLOOKUP('Données projet'!$B$13,Paramètres!$A$1:$I$89,5,0)</f>
        <v>242.48872000000014</v>
      </c>
      <c r="CV95" s="13">
        <f t="shared" si="95"/>
        <v>58.974668795913999</v>
      </c>
      <c r="CW95" s="20">
        <f t="shared" si="67"/>
        <v>525.0487354862172</v>
      </c>
      <c r="CX95" s="59">
        <f t="shared" si="68"/>
        <v>818.38206881955057</v>
      </c>
      <c r="CY95" s="59">
        <f ca="1">AVERAGE(OFFSET($CX$3,0,0,'Données projet'!$E$13+1,1))-AVERAGE(OFFSET($H$3,0,0,'Données projet'!$E$13+1,1))</f>
        <v>221.7429870520005</v>
      </c>
      <c r="CZ95" s="59">
        <f t="shared" si="96"/>
        <v>182.2029938397186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-1.0345502232667058E-13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199.01551760562705</v>
      </c>
      <c r="T96" s="59">
        <f t="shared" si="88"/>
        <v>269.50915104901367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0.72228703084810764</v>
      </c>
      <c r="AA96" s="21">
        <f>EXP(-LN(2)/25)*AA95+(1-EXP(-LN(2)/25))/(LN(2)/25)*Calculateur!V96*Calculateur!X96*VLOOKUP('Données projet'!$B$9,Paramètres!$A$1:$I$89,3,0)*0.475*44/12</f>
        <v>2.2648734352727891</v>
      </c>
      <c r="AB96" s="21">
        <f>EXP(-LN(2)/2)*AB95+(1-EXP(-LN(2)/2))/(LN(2)/2)*V96*Y96*VLOOKUP('Données projet'!$B$9,Paramètres!$A$1:$I$89,3,0)*0.475*44/12</f>
        <v>4.5365157650872508E-10</v>
      </c>
      <c r="AC96" s="22">
        <f t="shared" si="57"/>
        <v>2.9871604665745486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553.99999999999955</v>
      </c>
      <c r="AJ96" s="13">
        <f>AI96*VLOOKUP('Données projet'!$B$10,Paramètres!$A$1:$I$89,3,0)*VLOOKUP('Données projet'!$B$10,Paramètres!$A$1:$I$89,5,0)</f>
        <v>331.29199999999975</v>
      </c>
      <c r="AK96" s="13">
        <f t="shared" si="89"/>
        <v>77.698110787752</v>
      </c>
      <c r="AL96" s="20">
        <f t="shared" si="58"/>
        <v>712.32444295533423</v>
      </c>
      <c r="AM96" s="59">
        <f t="shared" si="59"/>
        <v>1005.6577762886675</v>
      </c>
      <c r="AN96" s="59">
        <f ca="1">AVERAGE(OFFSET($AM$3,0,0,'Données projet'!$E$10+1,1))-AVERAGE(OFFSET($H$3,0,0,'Données projet'!$E$10+1,1))</f>
        <v>316.58509520829671</v>
      </c>
      <c r="AO96" s="59">
        <f t="shared" si="90"/>
        <v>240.71332110643596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0.72785758262302969</v>
      </c>
      <c r="AV96" s="21">
        <f>EXP(-LN(2)/25)*AV95+(1-EXP(-LN(2)/25))/(LN(2)/25)*Calculateur!AQ96*Calculateur!AS96*VLOOKUP('Données projet'!$B$10,Paramètres!$A$1:$I$89,3,0)*0.475*44/12</f>
        <v>2.661855511481594</v>
      </c>
      <c r="AW96" s="21">
        <f>EXP(-LN(2)/2)*AW95+(1-EXP(-LN(2)/2))/(LN(2)/2)*AQ96*AT96*VLOOKUP('Données projet'!$B$10,Paramètres!$A$1:$I$89,3,0)*0.475*44/12</f>
        <v>7.2240169437950083E-9</v>
      </c>
      <c r="AX96" s="21">
        <f t="shared" si="60"/>
        <v>3.3897131013286406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-1.8089849618263545E-13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314.94704727988847</v>
      </c>
      <c r="BJ96" s="59">
        <f t="shared" si="92"/>
        <v>366.49199094166454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1.1244575073125409</v>
      </c>
      <c r="BQ96" s="21">
        <f>EXP(-LN(2)/25)*BQ95+(1-EXP(-LN(2)/25))/(LN(2)/25)*Calculateur!BL96*Calculateur!BN96*VLOOKUP('Données projet'!$B$11,Paramètres!$A$1:$I$89,3,0)*0.475*44/12</f>
        <v>4.4295128657991603</v>
      </c>
      <c r="BR96" s="21">
        <f>EXP(-LN(2)/2)*BR95+(1-EXP(-LN(2)/2))/(LN(2)/2)*BL96*BO96*VLOOKUP('Données projet'!$B$11,Paramètres!$A$1:$I$89,3,0)*0.475*44/12</f>
        <v>9.5058385999550517E-9</v>
      </c>
      <c r="BS96" s="22">
        <f t="shared" si="63"/>
        <v>5.5539703826175399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-1.8089849618263545E-13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314.94704727988847</v>
      </c>
      <c r="CE96" s="59">
        <f t="shared" si="94"/>
        <v>366.49199094166454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1.1244575073125409</v>
      </c>
      <c r="CL96" s="21">
        <f>EXP(-LN(2)/25)*CL95+(1-EXP(-LN(2)/25))/(LN(2)/25)*Calculateur!CG96*Calculateur!CI96*VLOOKUP('Données projet'!$B$12,Paramètres!$A$1:$I$89,3,0)*0.475*44/12</f>
        <v>4.4295128657991603</v>
      </c>
      <c r="CM96" s="21">
        <f>EXP(-LN(2)/2)*CM95+(1-EXP(-LN(2)/2))/(LN(2)/2)*CG96*CJ96*VLOOKUP('Données projet'!$B$12,Paramètres!$A$1:$I$89,3,0)*0.475*44/12</f>
        <v>9.5058385999550517E-9</v>
      </c>
      <c r="CN96" s="22">
        <f t="shared" si="66"/>
        <v>5.5539703826175399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7.1782051282051267</v>
      </c>
      <c r="CT96" s="12">
        <f>IF('Données projet'!$A$140&gt;35,CT95+CS96-DB95,IF(A96&lt;'Données projet'!$A$140,$CQ$205^A96,IF(A96='Données projet'!$A$140,'Données projet'!$B$140,CT95+CS96-DB95)))</f>
        <v>275.18076923076944</v>
      </c>
      <c r="CU96" s="17">
        <f>CT96*VLOOKUP('Données projet'!$B$13,Paramètres!$A$1:$I$89,3,0)*VLOOKUP('Données projet'!$B$13,Paramètres!$A$1:$I$89,5,0)</f>
        <v>248.98356000000018</v>
      </c>
      <c r="CV96" s="13">
        <f t="shared" si="95"/>
        <v>60.368233943158558</v>
      </c>
      <c r="CW96" s="20">
        <f t="shared" si="67"/>
        <v>538.78770778433466</v>
      </c>
      <c r="CX96" s="59">
        <f t="shared" si="68"/>
        <v>832.12104111766803</v>
      </c>
      <c r="CY96" s="59">
        <f ca="1">AVERAGE(OFFSET($CX$3,0,0,'Données projet'!$E$13+1,1))-AVERAGE(OFFSET($H$3,0,0,'Données projet'!$E$13+1,1))</f>
        <v>221.7429870520005</v>
      </c>
      <c r="CZ96" s="59">
        <f t="shared" si="96"/>
        <v>182.2029938397186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-1.0345502232667058E-13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199.01551760562705</v>
      </c>
      <c r="T97" s="59">
        <f t="shared" si="88"/>
        <v>269.50915104901367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0.70812342272476425</v>
      </c>
      <c r="AA97" s="21">
        <f>EXP(-LN(2)/25)*AA96+(1-EXP(-LN(2)/25))/(LN(2)/25)*Calculateur!V97*Calculateur!X97*VLOOKUP('Données projet'!$B$9,Paramètres!$A$1:$I$89,3,0)*0.475*44/12</f>
        <v>2.2029403520807369</v>
      </c>
      <c r="AB97" s="21">
        <f>EXP(-LN(2)/2)*AB96+(1-EXP(-LN(2)/2))/(LN(2)/2)*V97*Y97*VLOOKUP('Données projet'!$B$9,Paramètres!$A$1:$I$89,3,0)*0.475*44/12</f>
        <v>3.2078010604528741E-10</v>
      </c>
      <c r="AC97" s="22">
        <f t="shared" si="57"/>
        <v>2.9110637751262813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553.99999999999955</v>
      </c>
      <c r="AJ97" s="13">
        <f>AI97*VLOOKUP('Données projet'!$B$10,Paramètres!$A$1:$I$89,3,0)*VLOOKUP('Données projet'!$B$10,Paramètres!$A$1:$I$89,5,0)</f>
        <v>331.29199999999975</v>
      </c>
      <c r="AK97" s="13">
        <f t="shared" si="89"/>
        <v>77.698110787752</v>
      </c>
      <c r="AL97" s="20">
        <f t="shared" si="58"/>
        <v>712.32444295533423</v>
      </c>
      <c r="AM97" s="59">
        <f t="shared" si="59"/>
        <v>1005.6577762886675</v>
      </c>
      <c r="AN97" s="59">
        <f ca="1">AVERAGE(OFFSET($AM$3,0,0,'Données projet'!$E$10+1,1))-AVERAGE(OFFSET($H$3,0,0,'Données projet'!$E$10+1,1))</f>
        <v>316.58509520829671</v>
      </c>
      <c r="AO97" s="59">
        <f t="shared" si="90"/>
        <v>240.71332110643596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0.71358473937708111</v>
      </c>
      <c r="AV97" s="21">
        <f>EXP(-LN(2)/25)*AV96+(1-EXP(-LN(2)/25))/(LN(2)/25)*Calculateur!AQ97*Calculateur!AS97*VLOOKUP('Données projet'!$B$10,Paramètres!$A$1:$I$89,3,0)*0.475*44/12</f>
        <v>2.5890669325392324</v>
      </c>
      <c r="AW97" s="21">
        <f>EXP(-LN(2)/2)*AW96+(1-EXP(-LN(2)/2))/(LN(2)/2)*AQ97*AT97*VLOOKUP('Données projet'!$B$10,Paramètres!$A$1:$I$89,3,0)*0.475*44/12</f>
        <v>5.1081513683639692E-9</v>
      </c>
      <c r="AX97" s="21">
        <f t="shared" si="60"/>
        <v>3.3026516770244649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-1.8089849618263545E-13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314.94704727988847</v>
      </c>
      <c r="BJ97" s="59">
        <f t="shared" si="92"/>
        <v>366.49199094166454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1.1024075814454992</v>
      </c>
      <c r="BQ97" s="21">
        <f>EXP(-LN(2)/25)*BQ96+(1-EXP(-LN(2)/25))/(LN(2)/25)*Calculateur!BL97*Calculateur!BN97*VLOOKUP('Données projet'!$B$11,Paramètres!$A$1:$I$89,3,0)*0.475*44/12</f>
        <v>4.3083876035459241</v>
      </c>
      <c r="BR97" s="21">
        <f>EXP(-LN(2)/2)*BR96+(1-EXP(-LN(2)/2))/(LN(2)/2)*BL97*BO97*VLOOKUP('Données projet'!$B$11,Paramètres!$A$1:$I$89,3,0)*0.475*44/12</f>
        <v>6.7216429348930541E-9</v>
      </c>
      <c r="BS97" s="22">
        <f t="shared" si="63"/>
        <v>5.4107951917130661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-1.8089849618263545E-13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314.94704727988847</v>
      </c>
      <c r="CE97" s="59">
        <f t="shared" si="94"/>
        <v>366.49199094166454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1.1024075814454992</v>
      </c>
      <c r="CL97" s="21">
        <f>EXP(-LN(2)/25)*CL96+(1-EXP(-LN(2)/25))/(LN(2)/25)*Calculateur!CG97*Calculateur!CI97*VLOOKUP('Données projet'!$B$12,Paramètres!$A$1:$I$89,3,0)*0.475*44/12</f>
        <v>4.3083876035459241</v>
      </c>
      <c r="CM97" s="21">
        <f>EXP(-LN(2)/2)*CM96+(1-EXP(-LN(2)/2))/(LN(2)/2)*CG97*CJ97*VLOOKUP('Données projet'!$B$12,Paramètres!$A$1:$I$89,3,0)*0.475*44/12</f>
        <v>6.7216429348930541E-9</v>
      </c>
      <c r="CN97" s="22">
        <f t="shared" si="66"/>
        <v>5.4107951917130661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7.1782051282051267</v>
      </c>
      <c r="CT97" s="12">
        <f>IF('Données projet'!$A$140&gt;35,CT96+CS97-DB96,IF(A97&lt;'Données projet'!$A$140,$CQ$205^A97,IF(A97='Données projet'!$A$140,'Données projet'!$B$140,CT96+CS97-DB96)))</f>
        <v>282.35897435897459</v>
      </c>
      <c r="CU97" s="17">
        <f>CT97*VLOOKUP('Données projet'!$B$13,Paramètres!$A$1:$I$89,3,0)*VLOOKUP('Données projet'!$B$13,Paramètres!$A$1:$I$89,5,0)</f>
        <v>255.47840000000019</v>
      </c>
      <c r="CV97" s="13">
        <f t="shared" si="95"/>
        <v>61.757573660260746</v>
      </c>
      <c r="CW97" s="20">
        <f t="shared" si="67"/>
        <v>552.51932079162111</v>
      </c>
      <c r="CX97" s="59">
        <f t="shared" si="68"/>
        <v>845.85265412495437</v>
      </c>
      <c r="CY97" s="59">
        <f ca="1">AVERAGE(OFFSET($CX$3,0,0,'Données projet'!$E$13+1,1))-AVERAGE(OFFSET($H$3,0,0,'Données projet'!$E$13+1,1))</f>
        <v>221.7429870520005</v>
      </c>
      <c r="CZ97" s="59">
        <f t="shared" si="96"/>
        <v>182.2029938397186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-1.0345502232667058E-13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199.01551760562705</v>
      </c>
      <c r="T98" s="59">
        <f t="shared" si="88"/>
        <v>269.50915104901367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0.69423755431777168</v>
      </c>
      <c r="AA98" s="21">
        <f>EXP(-LN(2)/25)*AA97+(1-EXP(-LN(2)/25))/(LN(2)/25)*Calculateur!V98*Calculateur!X98*VLOOKUP('Données projet'!$B$9,Paramètres!$A$1:$I$89,3,0)*0.475*44/12</f>
        <v>2.1427008323054908</v>
      </c>
      <c r="AB98" s="21">
        <f>EXP(-LN(2)/2)*AB97+(1-EXP(-LN(2)/2))/(LN(2)/2)*V98*Y98*VLOOKUP('Données projet'!$B$9,Paramètres!$A$1:$I$89,3,0)*0.475*44/12</f>
        <v>2.2682578825436257E-10</v>
      </c>
      <c r="AC98" s="22">
        <f t="shared" si="57"/>
        <v>2.8369383868500879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553.99999999999955</v>
      </c>
      <c r="AJ98" s="13">
        <f>AI98*VLOOKUP('Données projet'!$B$10,Paramètres!$A$1:$I$89,3,0)*VLOOKUP('Données projet'!$B$10,Paramètres!$A$1:$I$89,5,0)</f>
        <v>331.29199999999975</v>
      </c>
      <c r="AK98" s="13">
        <f t="shared" si="89"/>
        <v>77.698110787752</v>
      </c>
      <c r="AL98" s="20">
        <f t="shared" si="58"/>
        <v>712.32444295533423</v>
      </c>
      <c r="AM98" s="59">
        <f t="shared" si="59"/>
        <v>1005.6577762886675</v>
      </c>
      <c r="AN98" s="59">
        <f ca="1">AVERAGE(OFFSET($AM$3,0,0,'Données projet'!$E$10+1,1))-AVERAGE(OFFSET($H$3,0,0,'Données projet'!$E$10+1,1))</f>
        <v>316.58509520829671</v>
      </c>
      <c r="AO98" s="59">
        <f t="shared" si="90"/>
        <v>240.71332110643596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0.69959177788161087</v>
      </c>
      <c r="AV98" s="21">
        <f>EXP(-LN(2)/25)*AV97+(1-EXP(-LN(2)/25))/(LN(2)/25)*Calculateur!AQ98*Calculateur!AS98*VLOOKUP('Données projet'!$B$10,Paramètres!$A$1:$I$89,3,0)*0.475*44/12</f>
        <v>2.5182687611158343</v>
      </c>
      <c r="AW98" s="21">
        <f>EXP(-LN(2)/2)*AW97+(1-EXP(-LN(2)/2))/(LN(2)/2)*AQ98*AT98*VLOOKUP('Données projet'!$B$10,Paramètres!$A$1:$I$89,3,0)*0.475*44/12</f>
        <v>3.6120084718975046E-9</v>
      </c>
      <c r="AX98" s="21">
        <f t="shared" si="60"/>
        <v>3.2178605426094538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-1.8089849618263545E-13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314.94704727988847</v>
      </c>
      <c r="BJ98" s="59">
        <f t="shared" si="92"/>
        <v>366.49199094166454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1.0807900411755835</v>
      </c>
      <c r="BQ98" s="21">
        <f>EXP(-LN(2)/25)*BQ97+(1-EXP(-LN(2)/25))/(LN(2)/25)*Calculateur!BL98*Calculateur!BN98*VLOOKUP('Données projet'!$B$11,Paramètres!$A$1:$I$89,3,0)*0.475*44/12</f>
        <v>4.1905745179587033</v>
      </c>
      <c r="BR98" s="21">
        <f>EXP(-LN(2)/2)*BR97+(1-EXP(-LN(2)/2))/(LN(2)/2)*BL98*BO98*VLOOKUP('Données projet'!$B$11,Paramètres!$A$1:$I$89,3,0)*0.475*44/12</f>
        <v>4.7529192999775259E-9</v>
      </c>
      <c r="BS98" s="22">
        <f t="shared" si="63"/>
        <v>5.2713645638872055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-1.8089849618263545E-13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314.94704727988847</v>
      </c>
      <c r="CE98" s="59">
        <f t="shared" si="94"/>
        <v>366.49199094166454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1.0807900411755835</v>
      </c>
      <c r="CL98" s="21">
        <f>EXP(-LN(2)/25)*CL97+(1-EXP(-LN(2)/25))/(LN(2)/25)*Calculateur!CG98*Calculateur!CI98*VLOOKUP('Données projet'!$B$12,Paramètres!$A$1:$I$89,3,0)*0.475*44/12</f>
        <v>4.1905745179587033</v>
      </c>
      <c r="CM98" s="21">
        <f>EXP(-LN(2)/2)*CM97+(1-EXP(-LN(2)/2))/(LN(2)/2)*CG98*CJ98*VLOOKUP('Données projet'!$B$12,Paramètres!$A$1:$I$89,3,0)*0.475*44/12</f>
        <v>4.7529192999775259E-9</v>
      </c>
      <c r="CN98" s="22">
        <f t="shared" si="66"/>
        <v>5.2713645638872055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7.1782051282051267</v>
      </c>
      <c r="CT98" s="12">
        <f>IF('Données projet'!$A$140&gt;35,CT97+CS98-DB97,IF(A98&lt;'Données projet'!$A$140,$CQ$205^A98,IF(A98='Données projet'!$A$140,'Données projet'!$B$140,CT97+CS98-DB97)))</f>
        <v>289.53717948717974</v>
      </c>
      <c r="CU98" s="17">
        <f>CT98*VLOOKUP('Données projet'!$B$13,Paramètres!$A$1:$I$89,3,0)*VLOOKUP('Données projet'!$B$13,Paramètres!$A$1:$I$89,5,0)</f>
        <v>261.9732400000002</v>
      </c>
      <c r="CV98" s="13">
        <f t="shared" si="95"/>
        <v>63.142807719765102</v>
      </c>
      <c r="CW98" s="20">
        <f t="shared" si="67"/>
        <v>566.2437831119247</v>
      </c>
      <c r="CX98" s="59">
        <f t="shared" si="68"/>
        <v>859.57711644525807</v>
      </c>
      <c r="CY98" s="59">
        <f ca="1">AVERAGE(OFFSET($CX$3,0,0,'Données projet'!$E$13+1,1))-AVERAGE(OFFSET($H$3,0,0,'Données projet'!$E$13+1,1))</f>
        <v>221.7429870520005</v>
      </c>
      <c r="CZ98" s="59">
        <f t="shared" si="96"/>
        <v>182.2029938397186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-1.0345502232667058E-13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199.01551760562705</v>
      </c>
      <c r="T99" s="59">
        <f t="shared" si="88"/>
        <v>269.50915104901367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0.68062397932069674</v>
      </c>
      <c r="AA99" s="21">
        <f>EXP(-LN(2)/25)*AA98+(1-EXP(-LN(2)/25))/(LN(2)/25)*Calculateur!V99*Calculateur!X99*VLOOKUP('Données projet'!$B$9,Paramètres!$A$1:$I$89,3,0)*0.475*44/12</f>
        <v>2.0841085653663578</v>
      </c>
      <c r="AB99" s="21">
        <f>EXP(-LN(2)/2)*AB98+(1-EXP(-LN(2)/2))/(LN(2)/2)*V99*Y99*VLOOKUP('Données projet'!$B$9,Paramètres!$A$1:$I$89,3,0)*0.475*44/12</f>
        <v>1.6039005302264373E-10</v>
      </c>
      <c r="AC99" s="22">
        <f t="shared" si="57"/>
        <v>2.7647325448474445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553.99999999999955</v>
      </c>
      <c r="AJ99" s="13">
        <f>AI99*VLOOKUP('Données projet'!$B$10,Paramètres!$A$1:$I$89,3,0)*VLOOKUP('Données projet'!$B$10,Paramètres!$A$1:$I$89,5,0)</f>
        <v>331.29199999999975</v>
      </c>
      <c r="AK99" s="13">
        <f t="shared" si="89"/>
        <v>77.698110787752</v>
      </c>
      <c r="AL99" s="20">
        <f t="shared" si="58"/>
        <v>712.32444295533423</v>
      </c>
      <c r="AM99" s="59">
        <f t="shared" si="59"/>
        <v>1005.6577762886675</v>
      </c>
      <c r="AN99" s="59">
        <f ca="1">AVERAGE(OFFSET($AM$3,0,0,'Données projet'!$E$10+1,1))-AVERAGE(OFFSET($H$3,0,0,'Données projet'!$E$10+1,1))</f>
        <v>316.58509520829671</v>
      </c>
      <c r="AO99" s="59">
        <f t="shared" si="90"/>
        <v>240.71332110643596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0.68587320982620303</v>
      </c>
      <c r="AV99" s="21">
        <f>EXP(-LN(2)/25)*AV98+(1-EXP(-LN(2)/25))/(LN(2)/25)*Calculateur!AQ99*Calculateur!AS99*VLOOKUP('Données projet'!$B$10,Paramètres!$A$1:$I$89,3,0)*0.475*44/12</f>
        <v>2.4494065694131231</v>
      </c>
      <c r="AW99" s="21">
        <f>EXP(-LN(2)/2)*AW98+(1-EXP(-LN(2)/2))/(LN(2)/2)*AQ99*AT99*VLOOKUP('Données projet'!$B$10,Paramètres!$A$1:$I$89,3,0)*0.475*44/12</f>
        <v>2.554075684181985E-9</v>
      </c>
      <c r="AX99" s="21">
        <f t="shared" si="60"/>
        <v>3.1352797817934017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-1.8089849618263545E-13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314.94704727988847</v>
      </c>
      <c r="BJ99" s="59">
        <f t="shared" si="92"/>
        <v>366.49199094166454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1.0595964076849631</v>
      </c>
      <c r="BQ99" s="21">
        <f>EXP(-LN(2)/25)*BQ98+(1-EXP(-LN(2)/25))/(LN(2)/25)*Calculateur!BL99*Calculateur!BN99*VLOOKUP('Données projet'!$B$11,Paramètres!$A$1:$I$89,3,0)*0.475*44/12</f>
        <v>4.075983037392386</v>
      </c>
      <c r="BR99" s="21">
        <f>EXP(-LN(2)/2)*BR98+(1-EXP(-LN(2)/2))/(LN(2)/2)*BL99*BO99*VLOOKUP('Données projet'!$B$11,Paramètres!$A$1:$I$89,3,0)*0.475*44/12</f>
        <v>3.3608214674465271E-9</v>
      </c>
      <c r="BS99" s="22">
        <f t="shared" si="63"/>
        <v>5.1355794484381709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-1.8089849618263545E-13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314.94704727988847</v>
      </c>
      <c r="CE99" s="59">
        <f t="shared" si="94"/>
        <v>366.49199094166454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1.0595964076849631</v>
      </c>
      <c r="CL99" s="21">
        <f>EXP(-LN(2)/25)*CL98+(1-EXP(-LN(2)/25))/(LN(2)/25)*Calculateur!CG99*Calculateur!CI99*VLOOKUP('Données projet'!$B$12,Paramètres!$A$1:$I$89,3,0)*0.475*44/12</f>
        <v>4.075983037392386</v>
      </c>
      <c r="CM99" s="21">
        <f>EXP(-LN(2)/2)*CM98+(1-EXP(-LN(2)/2))/(LN(2)/2)*CG99*CJ99*VLOOKUP('Données projet'!$B$12,Paramètres!$A$1:$I$89,3,0)*0.475*44/12</f>
        <v>3.3608214674465271E-9</v>
      </c>
      <c r="CN99" s="22">
        <f t="shared" si="66"/>
        <v>5.1355794484381709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7.1782051282051267</v>
      </c>
      <c r="CT99" s="12">
        <f>IF('Données projet'!$A$140&gt;35,CT98+CS99-DB98,IF(A99&lt;'Données projet'!$A$140,$CQ$205^A99,IF(A99='Données projet'!$A$140,'Données projet'!$B$140,CT98+CS99-DB98)))</f>
        <v>296.71538461538489</v>
      </c>
      <c r="CU99" s="17">
        <f>CT99*VLOOKUP('Données projet'!$B$13,Paramètres!$A$1:$I$89,3,0)*VLOOKUP('Données projet'!$B$13,Paramètres!$A$1:$I$89,5,0)</f>
        <v>268.46808000000027</v>
      </c>
      <c r="CV99" s="13">
        <f t="shared" si="95"/>
        <v>64.524049616897358</v>
      </c>
      <c r="CW99" s="20">
        <f t="shared" si="67"/>
        <v>579.96129241609663</v>
      </c>
      <c r="CX99" s="59">
        <f t="shared" si="68"/>
        <v>873.29462574943</v>
      </c>
      <c r="CY99" s="59">
        <f ca="1">AVERAGE(OFFSET($CX$3,0,0,'Données projet'!$E$13+1,1))-AVERAGE(OFFSET($H$3,0,0,'Données projet'!$E$13+1,1))</f>
        <v>221.7429870520005</v>
      </c>
      <c r="CZ99" s="59">
        <f t="shared" si="96"/>
        <v>182.2029938397186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-1.0345502232667058E-13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199.01551760562705</v>
      </c>
      <c r="T100" s="59">
        <f t="shared" si="88"/>
        <v>269.50915104901367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0.66727735822585366</v>
      </c>
      <c r="AA100" s="21">
        <f>EXP(-LN(2)/25)*AA99+(1-EXP(-LN(2)/25))/(LN(2)/25)*Calculateur!V100*Calculateur!X100*VLOOKUP('Données projet'!$B$9,Paramètres!$A$1:$I$89,3,0)*0.475*44/12</f>
        <v>2.0271185070479087</v>
      </c>
      <c r="AB100" s="21">
        <f>EXP(-LN(2)/2)*AB99+(1-EXP(-LN(2)/2))/(LN(2)/2)*V100*Y100*VLOOKUP('Données projet'!$B$9,Paramètres!$A$1:$I$89,3,0)*0.475*44/12</f>
        <v>1.1341289412718131E-10</v>
      </c>
      <c r="AC100" s="22">
        <f t="shared" si="57"/>
        <v>2.6943958653871753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553.99999999999955</v>
      </c>
      <c r="AJ100" s="13">
        <f>AI100*VLOOKUP('Données projet'!$B$10,Paramètres!$A$1:$I$89,3,0)*VLOOKUP('Données projet'!$B$10,Paramètres!$A$1:$I$89,5,0)</f>
        <v>331.29199999999975</v>
      </c>
      <c r="AK100" s="13">
        <f t="shared" si="89"/>
        <v>77.698110787752</v>
      </c>
      <c r="AL100" s="20">
        <f t="shared" si="58"/>
        <v>712.32444295533423</v>
      </c>
      <c r="AM100" s="59">
        <f t="shared" si="59"/>
        <v>1005.6577762886675</v>
      </c>
      <c r="AN100" s="59">
        <f ca="1">AVERAGE(OFFSET($AM$3,0,0,'Données projet'!$E$10+1,1))-AVERAGE(OFFSET($H$3,0,0,'Données projet'!$E$10+1,1))</f>
        <v>316.58509520829671</v>
      </c>
      <c r="AO100" s="59">
        <f t="shared" si="90"/>
        <v>240.71332110643596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0.67242365452286146</v>
      </c>
      <c r="AV100" s="21">
        <f>EXP(-LN(2)/25)*AV99+(1-EXP(-LN(2)/25))/(LN(2)/25)*Calculateur!AQ100*Calculateur!AS100*VLOOKUP('Données projet'!$B$10,Paramètres!$A$1:$I$89,3,0)*0.475*44/12</f>
        <v>2.3824274179638278</v>
      </c>
      <c r="AW100" s="21">
        <f>EXP(-LN(2)/2)*AW99+(1-EXP(-LN(2)/2))/(LN(2)/2)*AQ100*AT100*VLOOKUP('Données projet'!$B$10,Paramètres!$A$1:$I$89,3,0)*0.475*44/12</f>
        <v>1.8060042359487527E-9</v>
      </c>
      <c r="AX100" s="21">
        <f t="shared" si="60"/>
        <v>3.0548510742926935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-1.8089849618263545E-13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314.94704727988847</v>
      </c>
      <c r="BJ100" s="59">
        <f t="shared" si="92"/>
        <v>366.49199094166454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1.0388183684202539</v>
      </c>
      <c r="BQ100" s="21">
        <f>EXP(-LN(2)/25)*BQ99+(1-EXP(-LN(2)/25))/(LN(2)/25)*Calculateur!BL100*Calculateur!BN100*VLOOKUP('Données projet'!$B$11,Paramètres!$A$1:$I$89,3,0)*0.475*44/12</f>
        <v>3.964525066888259</v>
      </c>
      <c r="BR100" s="21">
        <f>EXP(-LN(2)/2)*BR99+(1-EXP(-LN(2)/2))/(LN(2)/2)*BL100*BO100*VLOOKUP('Données projet'!$B$11,Paramètres!$A$1:$I$89,3,0)*0.475*44/12</f>
        <v>2.3764596499887629E-9</v>
      </c>
      <c r="BS100" s="22">
        <f t="shared" si="63"/>
        <v>5.0033434376849728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-1.8089849618263545E-13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314.94704727988847</v>
      </c>
      <c r="CE100" s="59">
        <f t="shared" si="94"/>
        <v>366.49199094166454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1.0388183684202539</v>
      </c>
      <c r="CL100" s="21">
        <f>EXP(-LN(2)/25)*CL99+(1-EXP(-LN(2)/25))/(LN(2)/25)*Calculateur!CG100*Calculateur!CI100*VLOOKUP('Données projet'!$B$12,Paramètres!$A$1:$I$89,3,0)*0.475*44/12</f>
        <v>3.964525066888259</v>
      </c>
      <c r="CM100" s="21">
        <f>EXP(-LN(2)/2)*CM99+(1-EXP(-LN(2)/2))/(LN(2)/2)*CG100*CJ100*VLOOKUP('Données projet'!$B$12,Paramètres!$A$1:$I$89,3,0)*0.475*44/12</f>
        <v>2.3764596499887629E-9</v>
      </c>
      <c r="CN100" s="22">
        <f t="shared" si="66"/>
        <v>5.0033434376849728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7.1782051282051267</v>
      </c>
      <c r="CT100" s="12">
        <f>IF('Données projet'!$A$140&gt;35,CT99+CS100-DB99,IF(A100&lt;'Données projet'!$A$140,$CQ$205^A100,IF(A100='Données projet'!$A$140,'Données projet'!$B$140,CT99+CS100-DB99)))</f>
        <v>303.89358974359004</v>
      </c>
      <c r="CU100" s="17">
        <f>CT100*VLOOKUP('Données projet'!$B$13,Paramètres!$A$1:$I$89,3,0)*VLOOKUP('Données projet'!$B$13,Paramètres!$A$1:$I$89,5,0)</f>
        <v>274.96292000000028</v>
      </c>
      <c r="CV100" s="13">
        <f t="shared" si="95"/>
        <v>65.901407042348566</v>
      </c>
      <c r="CW100" s="20">
        <f t="shared" si="67"/>
        <v>593.67203626542425</v>
      </c>
      <c r="CX100" s="59">
        <f t="shared" si="68"/>
        <v>887.00536959875762</v>
      </c>
      <c r="CY100" s="59">
        <f ca="1">AVERAGE(OFFSET($CX$3,0,0,'Données projet'!$E$13+1,1))-AVERAGE(OFFSET($H$3,0,0,'Données projet'!$E$13+1,1))</f>
        <v>221.7429870520005</v>
      </c>
      <c r="CZ100" s="59">
        <f t="shared" si="96"/>
        <v>182.2029938397186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-1.0345502232667058E-13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199.01551760562705</v>
      </c>
      <c r="T101" s="59">
        <f t="shared" si="88"/>
        <v>269.50915104901367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0.6541924562300454</v>
      </c>
      <c r="AA101" s="21">
        <f>EXP(-LN(2)/25)*AA100+(1-EXP(-LN(2)/25))/(LN(2)/25)*Calculateur!V101*Calculateur!X101*VLOOKUP('Données projet'!$B$9,Paramètres!$A$1:$I$89,3,0)*0.475*44/12</f>
        <v>1.9716868448711544</v>
      </c>
      <c r="AB101" s="21">
        <f>EXP(-LN(2)/2)*AB100+(1-EXP(-LN(2)/2))/(LN(2)/2)*V101*Y101*VLOOKUP('Données projet'!$B$9,Paramètres!$A$1:$I$89,3,0)*0.475*44/12</f>
        <v>8.0195026511321879E-11</v>
      </c>
      <c r="AC101" s="22">
        <f t="shared" si="57"/>
        <v>2.6258793011813948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553.99999999999955</v>
      </c>
      <c r="AJ101" s="13">
        <f>AI101*VLOOKUP('Données projet'!$B$10,Paramètres!$A$1:$I$89,3,0)*VLOOKUP('Données projet'!$B$10,Paramètres!$A$1:$I$89,5,0)</f>
        <v>331.29199999999975</v>
      </c>
      <c r="AK101" s="13">
        <f t="shared" si="89"/>
        <v>77.698110787752</v>
      </c>
      <c r="AL101" s="20">
        <f t="shared" si="58"/>
        <v>712.32444295533423</v>
      </c>
      <c r="AM101" s="59">
        <f t="shared" si="59"/>
        <v>1005.6577762886675</v>
      </c>
      <c r="AN101" s="59">
        <f ca="1">AVERAGE(OFFSET($AM$3,0,0,'Données projet'!$E$10+1,1))-AVERAGE(OFFSET($H$3,0,0,'Données projet'!$E$10+1,1))</f>
        <v>316.58509520829671</v>
      </c>
      <c r="AO101" s="59">
        <f t="shared" si="90"/>
        <v>240.71332110643596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0.65923783679559966</v>
      </c>
      <c r="AV101" s="21">
        <f>EXP(-LN(2)/25)*AV100+(1-EXP(-LN(2)/25))/(LN(2)/25)*Calculateur!AQ101*Calculateur!AS101*VLOOKUP('Données projet'!$B$10,Paramètres!$A$1:$I$89,3,0)*0.475*44/12</f>
        <v>2.3172798149331943</v>
      </c>
      <c r="AW101" s="21">
        <f>EXP(-LN(2)/2)*AW100+(1-EXP(-LN(2)/2))/(LN(2)/2)*AQ101*AT101*VLOOKUP('Données projet'!$B$10,Paramètres!$A$1:$I$89,3,0)*0.475*44/12</f>
        <v>1.2770378420909927E-9</v>
      </c>
      <c r="AX101" s="21">
        <f t="shared" si="60"/>
        <v>2.9765176530058319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-1.8089849618263545E-13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314.94704727988847</v>
      </c>
      <c r="BJ101" s="59">
        <f t="shared" si="92"/>
        <v>366.49199094166454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1.0184477738321729</v>
      </c>
      <c r="BQ101" s="21">
        <f>EXP(-LN(2)/25)*BQ100+(1-EXP(-LN(2)/25))/(LN(2)/25)*Calculateur!BL101*Calculateur!BN101*VLOOKUP('Données projet'!$B$11,Paramètres!$A$1:$I$89,3,0)*0.475*44/12</f>
        <v>3.8561149204488872</v>
      </c>
      <c r="BR101" s="21">
        <f>EXP(-LN(2)/2)*BR100+(1-EXP(-LN(2)/2))/(LN(2)/2)*BL101*BO101*VLOOKUP('Données projet'!$B$11,Paramètres!$A$1:$I$89,3,0)*0.475*44/12</f>
        <v>1.6804107337232635E-9</v>
      </c>
      <c r="BS101" s="22">
        <f t="shared" si="63"/>
        <v>4.8745626959614707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-1.8089849618263545E-13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314.94704727988847</v>
      </c>
      <c r="CE101" s="59">
        <f t="shared" si="94"/>
        <v>366.49199094166454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1.0184477738321729</v>
      </c>
      <c r="CL101" s="21">
        <f>EXP(-LN(2)/25)*CL100+(1-EXP(-LN(2)/25))/(LN(2)/25)*Calculateur!CG101*Calculateur!CI101*VLOOKUP('Données projet'!$B$12,Paramètres!$A$1:$I$89,3,0)*0.475*44/12</f>
        <v>3.8561149204488872</v>
      </c>
      <c r="CM101" s="21">
        <f>EXP(-LN(2)/2)*CM100+(1-EXP(-LN(2)/2))/(LN(2)/2)*CG101*CJ101*VLOOKUP('Données projet'!$B$12,Paramètres!$A$1:$I$89,3,0)*0.475*44/12</f>
        <v>1.6804107337232635E-9</v>
      </c>
      <c r="CN101" s="22">
        <f t="shared" si="66"/>
        <v>4.8745626959614707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7.1782051282051267</v>
      </c>
      <c r="CT101" s="12">
        <f>IF('Données projet'!$A$140&gt;35,CT100+CS101-DB100,IF(A101&lt;'Données projet'!$A$140,$CQ$205^A101,IF(A101='Données projet'!$A$140,'Données projet'!$B$140,CT100+CS101-DB100)))</f>
        <v>311.07179487179519</v>
      </c>
      <c r="CU101" s="17">
        <f>CT101*VLOOKUP('Données projet'!$B$13,Paramètres!$A$1:$I$89,3,0)*VLOOKUP('Données projet'!$B$13,Paramètres!$A$1:$I$89,5,0)</f>
        <v>281.45776000000029</v>
      </c>
      <c r="CV101" s="13">
        <f t="shared" si="95"/>
        <v>67.274982309129754</v>
      </c>
      <c r="CW101" s="20">
        <f t="shared" si="67"/>
        <v>607.37619285506821</v>
      </c>
      <c r="CX101" s="59">
        <f t="shared" si="68"/>
        <v>900.70952618840147</v>
      </c>
      <c r="CY101" s="59">
        <f ca="1">AVERAGE(OFFSET($CX$3,0,0,'Données projet'!$E$13+1,1))-AVERAGE(OFFSET($H$3,0,0,'Données projet'!$E$13+1,1))</f>
        <v>221.7429870520005</v>
      </c>
      <c r="CZ101" s="59">
        <f t="shared" si="96"/>
        <v>182.2029938397186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-1.0345502232667058E-13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199.01551760562705</v>
      </c>
      <c r="T102" s="59">
        <f t="shared" si="88"/>
        <v>269.50915104901367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0.64136414118137275</v>
      </c>
      <c r="AA102" s="21">
        <f>EXP(-LN(2)/25)*AA101+(1-EXP(-LN(2)/25))/(LN(2)/25)*Calculateur!V102*Calculateur!X102*VLOOKUP('Données projet'!$B$9,Paramètres!$A$1:$I$89,3,0)*0.475*44/12</f>
        <v>1.9177709644116478</v>
      </c>
      <c r="AB102" s="21">
        <f>EXP(-LN(2)/2)*AB101+(1-EXP(-LN(2)/2))/(LN(2)/2)*V102*Y102*VLOOKUP('Données projet'!$B$9,Paramètres!$A$1:$I$89,3,0)*0.475*44/12</f>
        <v>5.6706447063590661E-11</v>
      </c>
      <c r="AC102" s="22">
        <f t="shared" si="57"/>
        <v>2.5591351056497271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553.99999999999955</v>
      </c>
      <c r="AJ102" s="13">
        <f>AI102*VLOOKUP('Données projet'!$B$10,Paramètres!$A$1:$I$89,3,0)*VLOOKUP('Données projet'!$B$10,Paramètres!$A$1:$I$89,5,0)</f>
        <v>331.29199999999975</v>
      </c>
      <c r="AK102" s="13">
        <f t="shared" si="89"/>
        <v>77.698110787752</v>
      </c>
      <c r="AL102" s="20">
        <f t="shared" si="58"/>
        <v>712.32444295533423</v>
      </c>
      <c r="AM102" s="59">
        <f t="shared" si="59"/>
        <v>1005.6577762886675</v>
      </c>
      <c r="AN102" s="59">
        <f ca="1">AVERAGE(OFFSET($AM$3,0,0,'Données projet'!$E$10+1,1))-AVERAGE(OFFSET($H$3,0,0,'Données projet'!$E$10+1,1))</f>
        <v>316.58509520829671</v>
      </c>
      <c r="AO102" s="59">
        <f t="shared" si="90"/>
        <v>240.71332110643596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0.6463105849114148</v>
      </c>
      <c r="AV102" s="21">
        <f>EXP(-LN(2)/25)*AV101+(1-EXP(-LN(2)/25))/(LN(2)/25)*Calculateur!AQ102*Calculateur!AS102*VLOOKUP('Données projet'!$B$10,Paramètres!$A$1:$I$89,3,0)*0.475*44/12</f>
        <v>2.2539136765333967</v>
      </c>
      <c r="AW102" s="21">
        <f>EXP(-LN(2)/2)*AW101+(1-EXP(-LN(2)/2))/(LN(2)/2)*AQ102*AT102*VLOOKUP('Données projet'!$B$10,Paramètres!$A$1:$I$89,3,0)*0.475*44/12</f>
        <v>9.0300211797437646E-10</v>
      </c>
      <c r="AX102" s="21">
        <f t="shared" si="60"/>
        <v>2.9002242623478134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-1.8089849618263545E-13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314.94704727988847</v>
      </c>
      <c r="BJ102" s="59">
        <f t="shared" si="92"/>
        <v>366.49199094166454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0.99847663417912846</v>
      </c>
      <c r="BQ102" s="21">
        <f>EXP(-LN(2)/25)*BQ101+(1-EXP(-LN(2)/25))/(LN(2)/25)*Calculateur!BL102*Calculateur!BN102*VLOOKUP('Données projet'!$B$11,Paramètres!$A$1:$I$89,3,0)*0.475*44/12</f>
        <v>3.7506692551649419</v>
      </c>
      <c r="BR102" s="21">
        <f>EXP(-LN(2)/2)*BR101+(1-EXP(-LN(2)/2))/(LN(2)/2)*BL102*BO102*VLOOKUP('Données projet'!$B$11,Paramètres!$A$1:$I$89,3,0)*0.475*44/12</f>
        <v>1.1882298249943815E-9</v>
      </c>
      <c r="BS102" s="22">
        <f t="shared" si="63"/>
        <v>4.7491458905323007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-1.8089849618263545E-13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314.94704727988847</v>
      </c>
      <c r="CE102" s="59">
        <f t="shared" si="94"/>
        <v>366.49199094166454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0.99847663417912846</v>
      </c>
      <c r="CL102" s="21">
        <f>EXP(-LN(2)/25)*CL101+(1-EXP(-LN(2)/25))/(LN(2)/25)*Calculateur!CG102*Calculateur!CI102*VLOOKUP('Données projet'!$B$12,Paramètres!$A$1:$I$89,3,0)*0.475*44/12</f>
        <v>3.7506692551649419</v>
      </c>
      <c r="CM102" s="21">
        <f>EXP(-LN(2)/2)*CM101+(1-EXP(-LN(2)/2))/(LN(2)/2)*CG102*CJ102*VLOOKUP('Données projet'!$B$12,Paramètres!$A$1:$I$89,3,0)*0.475*44/12</f>
        <v>1.1882298249943815E-9</v>
      </c>
      <c r="CN102" s="22">
        <f t="shared" si="66"/>
        <v>4.7491458905323007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318.25</v>
      </c>
      <c r="CR102" s="12">
        <f>VLOOKUP(A102,'Données projet'!$A$139:$I$159,9,0)</f>
        <v>7.1782051282051267</v>
      </c>
      <c r="CS102" s="12">
        <f t="array" ref="CS102">INDEX(CR:CR,MIN(IF(ISNUMBER(CR102:CR298),ROW(CR102:CR298),"")))</f>
        <v>7.1782051282051267</v>
      </c>
      <c r="CT102" s="12">
        <f>IF('Données projet'!$A$140&gt;35,CT101+CS102-DB101,IF(A102&lt;'Données projet'!$A$140,$CQ$205^A102,IF(A102='Données projet'!$A$140,'Données projet'!$B$140,CT101+CS102-DB101)))</f>
        <v>318.25000000000034</v>
      </c>
      <c r="CU102" s="17">
        <f>CT102*VLOOKUP('Données projet'!$B$13,Paramètres!$A$1:$I$89,3,0)*VLOOKUP('Données projet'!$B$13,Paramètres!$A$1:$I$89,5,0)</f>
        <v>287.9526000000003</v>
      </c>
      <c r="CV102" s="13">
        <f t="shared" si="95"/>
        <v>68.644872738917243</v>
      </c>
      <c r="CW102" s="20">
        <f t="shared" si="67"/>
        <v>621.07393168694807</v>
      </c>
      <c r="CX102" s="59">
        <f t="shared" si="68"/>
        <v>914.40726502028133</v>
      </c>
      <c r="CY102" s="59">
        <f ca="1">AVERAGE(OFFSET($CX$3,0,0,'Données projet'!$E$13+1,1))-AVERAGE(OFFSET($H$3,0,0,'Données projet'!$E$13+1,1))</f>
        <v>221.7429870520005</v>
      </c>
      <c r="CZ102" s="59">
        <f t="shared" si="96"/>
        <v>182.2029938397186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48.019230769230766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-1.0345502232667058E-13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199.01551760562705</v>
      </c>
      <c r="T103" s="59">
        <f t="shared" si="88"/>
        <v>269.50915104901367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0.62878738156630498</v>
      </c>
      <c r="AA103" s="21">
        <f>EXP(-LN(2)/25)*AA102+(1-EXP(-LN(2)/25))/(LN(2)/25)*Calculateur!V103*Calculateur!X103*VLOOKUP('Données projet'!$B$9,Paramètres!$A$1:$I$89,3,0)*0.475*44/12</f>
        <v>1.8653294165386194</v>
      </c>
      <c r="AB103" s="21">
        <f>EXP(-LN(2)/2)*AB102+(1-EXP(-LN(2)/2))/(LN(2)/2)*V103*Y103*VLOOKUP('Données projet'!$B$9,Paramètres!$A$1:$I$89,3,0)*0.475*44/12</f>
        <v>4.0097513255660946E-11</v>
      </c>
      <c r="AC103" s="22">
        <f t="shared" si="57"/>
        <v>2.4941167981450221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553.99999999999955</v>
      </c>
      <c r="AJ103" s="13">
        <f>AI103*VLOOKUP('Données projet'!$B$10,Paramètres!$A$1:$I$89,3,0)*VLOOKUP('Données projet'!$B$10,Paramètres!$A$1:$I$89,5,0)</f>
        <v>331.29199999999975</v>
      </c>
      <c r="AK103" s="13">
        <f t="shared" si="89"/>
        <v>77.698110787752</v>
      </c>
      <c r="AL103" s="20">
        <f t="shared" si="58"/>
        <v>712.32444295533423</v>
      </c>
      <c r="AM103" s="59">
        <f t="shared" si="59"/>
        <v>1005.6577762886675</v>
      </c>
      <c r="AN103" s="59">
        <f ca="1">AVERAGE(OFFSET($AM$3,0,0,'Données projet'!$E$10+1,1))-AVERAGE(OFFSET($H$3,0,0,'Données projet'!$E$10+1,1))</f>
        <v>316.58509520829671</v>
      </c>
      <c r="AO103" s="59">
        <f t="shared" si="90"/>
        <v>240.71332110643596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0.63363682855183368</v>
      </c>
      <c r="AV103" s="21">
        <f>EXP(-LN(2)/25)*AV102+(1-EXP(-LN(2)/25))/(LN(2)/25)*Calculateur!AQ103*Calculateur!AS103*VLOOKUP('Données projet'!$B$10,Paramètres!$A$1:$I$89,3,0)*0.475*44/12</f>
        <v>2.192280288520422</v>
      </c>
      <c r="AW103" s="21">
        <f>EXP(-LN(2)/2)*AW102+(1-EXP(-LN(2)/2))/(LN(2)/2)*AQ103*AT103*VLOOKUP('Données projet'!$B$10,Paramètres!$A$1:$I$89,3,0)*0.475*44/12</f>
        <v>6.3851892104549646E-10</v>
      </c>
      <c r="AX103" s="21">
        <f t="shared" si="60"/>
        <v>2.8259171177107745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-1.8089849618263545E-13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314.94704727988847</v>
      </c>
      <c r="BJ103" s="59">
        <f t="shared" si="92"/>
        <v>366.49199094166454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0.97889711639348775</v>
      </c>
      <c r="BQ103" s="21">
        <f>EXP(-LN(2)/25)*BQ102+(1-EXP(-LN(2)/25))/(LN(2)/25)*Calculateur!BL103*Calculateur!BN103*VLOOKUP('Données projet'!$B$11,Paramètres!$A$1:$I$89,3,0)*0.475*44/12</f>
        <v>3.6481070071433326</v>
      </c>
      <c r="BR103" s="21">
        <f>EXP(-LN(2)/2)*BR102+(1-EXP(-LN(2)/2))/(LN(2)/2)*BL103*BO103*VLOOKUP('Données projet'!$B$11,Paramètres!$A$1:$I$89,3,0)*0.475*44/12</f>
        <v>8.4020536686163177E-10</v>
      </c>
      <c r="BS103" s="22">
        <f t="shared" si="63"/>
        <v>4.6270041243770255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-1.8089849618263545E-13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314.94704727988847</v>
      </c>
      <c r="CE103" s="59">
        <f t="shared" si="94"/>
        <v>366.49199094166454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0.97889711639348775</v>
      </c>
      <c r="CL103" s="21">
        <f>EXP(-LN(2)/25)*CL102+(1-EXP(-LN(2)/25))/(LN(2)/25)*Calculateur!CG103*Calculateur!CI103*VLOOKUP('Données projet'!$B$12,Paramètres!$A$1:$I$89,3,0)*0.475*44/12</f>
        <v>3.6481070071433326</v>
      </c>
      <c r="CM103" s="21">
        <f>EXP(-LN(2)/2)*CM102+(1-EXP(-LN(2)/2))/(LN(2)/2)*CG103*CJ103*VLOOKUP('Données projet'!$B$12,Paramètres!$A$1:$I$89,3,0)*0.475*44/12</f>
        <v>8.4020536686163177E-10</v>
      </c>
      <c r="CN103" s="22">
        <f t="shared" si="66"/>
        <v>4.6270041243770255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6.9935897435897401</v>
      </c>
      <c r="CT103" s="12">
        <f>IF('Données projet'!$A$140&gt;35,CT102+CS103-DB102,IF(A103&lt;'Données projet'!$A$140,$CQ$205^A103,IF(A103='Données projet'!$A$140,'Données projet'!$B$140,CT102+CS103-DB102)))</f>
        <v>277.22435897435929</v>
      </c>
      <c r="CU103" s="17">
        <f>CT103*VLOOKUP('Données projet'!$B$13,Paramètres!$A$1:$I$89,3,0)*VLOOKUP('Données projet'!$B$13,Paramètres!$A$1:$I$89,5,0)</f>
        <v>250.8326000000003</v>
      </c>
      <c r="CV103" s="13">
        <f t="shared" si="95"/>
        <v>60.764195096344402</v>
      </c>
      <c r="CW103" s="20">
        <f t="shared" si="67"/>
        <v>542.69775145946699</v>
      </c>
      <c r="CX103" s="59">
        <f t="shared" si="68"/>
        <v>836.03108479280036</v>
      </c>
      <c r="CY103" s="59">
        <f ca="1">AVERAGE(OFFSET($CX$3,0,0,'Données projet'!$E$13+1,1))-AVERAGE(OFFSET($H$3,0,0,'Données projet'!$E$13+1,1))</f>
        <v>221.7429870520005</v>
      </c>
      <c r="CZ103" s="59">
        <f t="shared" si="96"/>
        <v>182.2029938397186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-1.0345502232667058E-13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199.01551760562705</v>
      </c>
      <c r="T104" s="59">
        <f t="shared" si="88"/>
        <v>269.50915104901367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0.61645724453622275</v>
      </c>
      <c r="AA104" s="21">
        <f>EXP(-LN(2)/25)*AA103+(1-EXP(-LN(2)/25))/(LN(2)/25)*Calculateur!V104*Calculateur!X104*VLOOKUP('Données projet'!$B$9,Paramètres!$A$1:$I$89,3,0)*0.475*44/12</f>
        <v>1.8143218855499601</v>
      </c>
      <c r="AB104" s="21">
        <f>EXP(-LN(2)/2)*AB103+(1-EXP(-LN(2)/2))/(LN(2)/2)*V104*Y104*VLOOKUP('Données projet'!$B$9,Paramètres!$A$1:$I$89,3,0)*0.475*44/12</f>
        <v>2.8353223531795337E-11</v>
      </c>
      <c r="AC104" s="22">
        <f t="shared" si="57"/>
        <v>2.4307791301145363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553.99999999999955</v>
      </c>
      <c r="AJ104" s="13">
        <f>AI104*VLOOKUP('Données projet'!$B$10,Paramètres!$A$1:$I$89,3,0)*VLOOKUP('Données projet'!$B$10,Paramètres!$A$1:$I$89,5,0)</f>
        <v>331.29199999999975</v>
      </c>
      <c r="AK104" s="13">
        <f t="shared" si="89"/>
        <v>77.698110787752</v>
      </c>
      <c r="AL104" s="20">
        <f t="shared" si="58"/>
        <v>712.32444295533423</v>
      </c>
      <c r="AM104" s="59">
        <f t="shared" si="59"/>
        <v>1005.6577762886675</v>
      </c>
      <c r="AN104" s="59">
        <f ca="1">AVERAGE(OFFSET($AM$3,0,0,'Données projet'!$E$10+1,1))-AVERAGE(OFFSET($H$3,0,0,'Données projet'!$E$10+1,1))</f>
        <v>316.58509520829671</v>
      </c>
      <c r="AO104" s="59">
        <f t="shared" si="90"/>
        <v>240.71332110643596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0.62121159682423588</v>
      </c>
      <c r="AV104" s="21">
        <f>EXP(-LN(2)/25)*AV103+(1-EXP(-LN(2)/25))/(LN(2)/25)*Calculateur!AQ104*Calculateur!AS104*VLOOKUP('Données projet'!$B$10,Paramètres!$A$1:$I$89,3,0)*0.475*44/12</f>
        <v>2.1323322687438213</v>
      </c>
      <c r="AW104" s="21">
        <f>EXP(-LN(2)/2)*AW103+(1-EXP(-LN(2)/2))/(LN(2)/2)*AQ104*AT104*VLOOKUP('Données projet'!$B$10,Paramètres!$A$1:$I$89,3,0)*0.475*44/12</f>
        <v>4.5150105898718833E-10</v>
      </c>
      <c r="AX104" s="21">
        <f t="shared" si="60"/>
        <v>2.7535438660195584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-1.8089849618263545E-13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314.94704727988847</v>
      </c>
      <c r="BJ104" s="59">
        <f t="shared" si="92"/>
        <v>366.49199094166454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0.95970154100929683</v>
      </c>
      <c r="BQ104" s="21">
        <f>EXP(-LN(2)/25)*BQ103+(1-EXP(-LN(2)/25))/(LN(2)/25)*Calculateur!BL104*Calculateur!BN104*VLOOKUP('Données projet'!$B$11,Paramètres!$A$1:$I$89,3,0)*0.475*44/12</f>
        <v>3.5483493291873884</v>
      </c>
      <c r="BR104" s="21">
        <f>EXP(-LN(2)/2)*BR103+(1-EXP(-LN(2)/2))/(LN(2)/2)*BL104*BO104*VLOOKUP('Données projet'!$B$11,Paramètres!$A$1:$I$89,3,0)*0.475*44/12</f>
        <v>5.9411491249719073E-10</v>
      </c>
      <c r="BS104" s="22">
        <f t="shared" si="63"/>
        <v>4.5080508707908002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-1.8089849618263545E-13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314.94704727988847</v>
      </c>
      <c r="CE104" s="59">
        <f t="shared" si="94"/>
        <v>366.49199094166454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0.95970154100929683</v>
      </c>
      <c r="CL104" s="21">
        <f>EXP(-LN(2)/25)*CL103+(1-EXP(-LN(2)/25))/(LN(2)/25)*Calculateur!CG104*Calculateur!CI104*VLOOKUP('Données projet'!$B$12,Paramètres!$A$1:$I$89,3,0)*0.475*44/12</f>
        <v>3.5483493291873884</v>
      </c>
      <c r="CM104" s="21">
        <f>EXP(-LN(2)/2)*CM103+(1-EXP(-LN(2)/2))/(LN(2)/2)*CG104*CJ104*VLOOKUP('Données projet'!$B$12,Paramètres!$A$1:$I$89,3,0)*0.475*44/12</f>
        <v>5.9411491249719073E-10</v>
      </c>
      <c r="CN104" s="22">
        <f t="shared" si="66"/>
        <v>4.5080508707908002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6.9935897435897401</v>
      </c>
      <c r="CT104" s="12">
        <f>IF('Données projet'!$A$140&gt;35,CT103+CS104-DB103,IF(A104&lt;'Données projet'!$A$140,$CQ$205^A104,IF(A104='Données projet'!$A$140,'Données projet'!$B$140,CT103+CS104-DB103)))</f>
        <v>284.21794871794901</v>
      </c>
      <c r="CU104" s="17">
        <f>CT104*VLOOKUP('Données projet'!$B$13,Paramètres!$A$1:$I$89,3,0)*VLOOKUP('Données projet'!$B$13,Paramètres!$A$1:$I$89,5,0)</f>
        <v>257.16040000000027</v>
      </c>
      <c r="CV104" s="13">
        <f t="shared" si="95"/>
        <v>62.116703672873726</v>
      </c>
      <c r="CW104" s="20">
        <f t="shared" si="67"/>
        <v>556.07428889692221</v>
      </c>
      <c r="CX104" s="59">
        <f t="shared" si="68"/>
        <v>849.40762223025558</v>
      </c>
      <c r="CY104" s="59">
        <f ca="1">AVERAGE(OFFSET($CX$3,0,0,'Données projet'!$E$13+1,1))-AVERAGE(OFFSET($H$3,0,0,'Données projet'!$E$13+1,1))</f>
        <v>221.7429870520005</v>
      </c>
      <c r="CZ104" s="59">
        <f t="shared" si="96"/>
        <v>182.2029938397186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-1.0345502232667058E-13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199.01551760562705</v>
      </c>
      <c r="T105" s="59">
        <f t="shared" si="88"/>
        <v>269.50915104901367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0.60436889397265947</v>
      </c>
      <c r="AA105" s="21">
        <f>EXP(-LN(2)/25)*AA104+(1-EXP(-LN(2)/25))/(LN(2)/25)*Calculateur!V105*Calculateur!X105*VLOOKUP('Données projet'!$B$9,Paramètres!$A$1:$I$89,3,0)*0.475*44/12</f>
        <v>1.7647091581785552</v>
      </c>
      <c r="AB105" s="21">
        <f>EXP(-LN(2)/2)*AB104+(1-EXP(-LN(2)/2))/(LN(2)/2)*V105*Y105*VLOOKUP('Données projet'!$B$9,Paramètres!$A$1:$I$89,3,0)*0.475*44/12</f>
        <v>2.0048756627830476E-11</v>
      </c>
      <c r="AC105" s="22">
        <f t="shared" si="57"/>
        <v>2.3690780521712638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553.99999999999955</v>
      </c>
      <c r="AJ105" s="13">
        <f>AI105*VLOOKUP('Données projet'!$B$10,Paramètres!$A$1:$I$89,3,0)*VLOOKUP('Données projet'!$B$10,Paramètres!$A$1:$I$89,5,0)</f>
        <v>331.29199999999975</v>
      </c>
      <c r="AK105" s="13">
        <f t="shared" si="89"/>
        <v>77.698110787752</v>
      </c>
      <c r="AL105" s="20">
        <f t="shared" si="58"/>
        <v>712.32444295533423</v>
      </c>
      <c r="AM105" s="59">
        <f t="shared" si="59"/>
        <v>1005.6577762886675</v>
      </c>
      <c r="AN105" s="59">
        <f ca="1">AVERAGE(OFFSET($AM$3,0,0,'Données projet'!$E$10+1,1))-AVERAGE(OFFSET($H$3,0,0,'Données projet'!$E$10+1,1))</f>
        <v>316.58509520829671</v>
      </c>
      <c r="AO105" s="59">
        <f t="shared" si="90"/>
        <v>240.71332110643596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0.60903001631217324</v>
      </c>
      <c r="AV105" s="21">
        <f>EXP(-LN(2)/25)*AV104+(1-EXP(-LN(2)/25))/(LN(2)/25)*Calculateur!AQ105*Calculateur!AS105*VLOOKUP('Données projet'!$B$10,Paramètres!$A$1:$I$89,3,0)*0.475*44/12</f>
        <v>2.0740235307205408</v>
      </c>
      <c r="AW105" s="21">
        <f>EXP(-LN(2)/2)*AW104+(1-EXP(-LN(2)/2))/(LN(2)/2)*AQ105*AT105*VLOOKUP('Données projet'!$B$10,Paramètres!$A$1:$I$89,3,0)*0.475*44/12</f>
        <v>3.1925946052274828E-10</v>
      </c>
      <c r="AX105" s="21">
        <f t="shared" si="60"/>
        <v>2.6830535473519732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-1.8089849618263545E-13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314.94704727988847</v>
      </c>
      <c r="BJ105" s="59">
        <f t="shared" si="92"/>
        <v>366.49199094166454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0.94088237915024497</v>
      </c>
      <c r="BQ105" s="21">
        <f>EXP(-LN(2)/25)*BQ104+(1-EXP(-LN(2)/25))/(LN(2)/25)*Calculateur!BL105*Calculateur!BN105*VLOOKUP('Données projet'!$B$11,Paramètres!$A$1:$I$89,3,0)*0.475*44/12</f>
        <v>3.4513195301811779</v>
      </c>
      <c r="BR105" s="21">
        <f>EXP(-LN(2)/2)*BR104+(1-EXP(-LN(2)/2))/(LN(2)/2)*BL105*BO105*VLOOKUP('Données projet'!$B$11,Paramètres!$A$1:$I$89,3,0)*0.475*44/12</f>
        <v>4.2010268343081588E-10</v>
      </c>
      <c r="BS105" s="22">
        <f t="shared" si="63"/>
        <v>4.3922019097515257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-1.8089849618263545E-13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314.94704727988847</v>
      </c>
      <c r="CE105" s="59">
        <f t="shared" si="94"/>
        <v>366.49199094166454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0.94088237915024497</v>
      </c>
      <c r="CL105" s="21">
        <f>EXP(-LN(2)/25)*CL104+(1-EXP(-LN(2)/25))/(LN(2)/25)*Calculateur!CG105*Calculateur!CI105*VLOOKUP('Données projet'!$B$12,Paramètres!$A$1:$I$89,3,0)*0.475*44/12</f>
        <v>3.4513195301811779</v>
      </c>
      <c r="CM105" s="21">
        <f>EXP(-LN(2)/2)*CM104+(1-EXP(-LN(2)/2))/(LN(2)/2)*CG105*CJ105*VLOOKUP('Données projet'!$B$12,Paramètres!$A$1:$I$89,3,0)*0.475*44/12</f>
        <v>4.2010268343081588E-10</v>
      </c>
      <c r="CN105" s="22">
        <f t="shared" si="66"/>
        <v>4.3922019097515257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6.9935897435897401</v>
      </c>
      <c r="CT105" s="12">
        <f>IF('Données projet'!$A$140&gt;35,CT104+CS105-DB104,IF(A105&lt;'Données projet'!$A$140,$CQ$205^A105,IF(A105='Données projet'!$A$140,'Données projet'!$B$140,CT104+CS105-DB104)))</f>
        <v>291.21153846153874</v>
      </c>
      <c r="CU105" s="17">
        <f>CT105*VLOOKUP('Données projet'!$B$13,Paramètres!$A$1:$I$89,3,0)*VLOOKUP('Données projet'!$B$13,Paramètres!$A$1:$I$89,5,0)</f>
        <v>263.48820000000023</v>
      </c>
      <c r="CV105" s="13">
        <f t="shared" si="95"/>
        <v>63.465343539396862</v>
      </c>
      <c r="CW105" s="20">
        <f t="shared" si="67"/>
        <v>569.44408833111663</v>
      </c>
      <c r="CX105" s="59">
        <f t="shared" si="68"/>
        <v>862.77742166445</v>
      </c>
      <c r="CY105" s="59">
        <f ca="1">AVERAGE(OFFSET($CX$3,0,0,'Données projet'!$E$13+1,1))-AVERAGE(OFFSET($H$3,0,0,'Données projet'!$E$13+1,1))</f>
        <v>221.7429870520005</v>
      </c>
      <c r="CZ105" s="59">
        <f t="shared" si="96"/>
        <v>182.2029938397186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-1.0345502232667058E-13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199.01551760562705</v>
      </c>
      <c r="T106" s="59">
        <f t="shared" si="88"/>
        <v>269.50915104901367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0.59251758859048187</v>
      </c>
      <c r="AA106" s="21">
        <f>EXP(-LN(2)/25)*AA105+(1-EXP(-LN(2)/25))/(LN(2)/25)*Calculateur!V106*Calculateur!X106*VLOOKUP('Données projet'!$B$9,Paramètres!$A$1:$I$89,3,0)*0.475*44/12</f>
        <v>1.7164530934461413</v>
      </c>
      <c r="AB106" s="21">
        <f>EXP(-LN(2)/2)*AB105+(1-EXP(-LN(2)/2))/(LN(2)/2)*V106*Y106*VLOOKUP('Données projet'!$B$9,Paramètres!$A$1:$I$89,3,0)*0.475*44/12</f>
        <v>1.417661176589767E-11</v>
      </c>
      <c r="AC106" s="22">
        <f t="shared" si="57"/>
        <v>2.3089706820507998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553.99999999999955</v>
      </c>
      <c r="AJ106" s="13">
        <f>AI106*VLOOKUP('Données projet'!$B$10,Paramètres!$A$1:$I$89,3,0)*VLOOKUP('Données projet'!$B$10,Paramètres!$A$1:$I$89,5,0)</f>
        <v>331.29199999999975</v>
      </c>
      <c r="AK106" s="13">
        <f t="shared" si="89"/>
        <v>77.698110787752</v>
      </c>
      <c r="AL106" s="20">
        <f t="shared" si="58"/>
        <v>712.32444295533423</v>
      </c>
      <c r="AM106" s="59">
        <f t="shared" si="59"/>
        <v>1005.6577762886675</v>
      </c>
      <c r="AN106" s="59">
        <f ca="1">AVERAGE(OFFSET($AM$3,0,0,'Données projet'!$E$10+1,1))-AVERAGE(OFFSET($H$3,0,0,'Données projet'!$E$10+1,1))</f>
        <v>316.58509520829671</v>
      </c>
      <c r="AO106" s="59">
        <f t="shared" si="90"/>
        <v>240.71332110643596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0.59708730916392172</v>
      </c>
      <c r="AV106" s="21">
        <f>EXP(-LN(2)/25)*AV105+(1-EXP(-LN(2)/25))/(LN(2)/25)*Calculateur!AQ106*Calculateur!AS106*VLOOKUP('Données projet'!$B$10,Paramètres!$A$1:$I$89,3,0)*0.475*44/12</f>
        <v>2.0173092482048305</v>
      </c>
      <c r="AW106" s="21">
        <f>EXP(-LN(2)/2)*AW105+(1-EXP(-LN(2)/2))/(LN(2)/2)*AQ106*AT106*VLOOKUP('Données projet'!$B$10,Paramètres!$A$1:$I$89,3,0)*0.475*44/12</f>
        <v>2.2575052949359419E-10</v>
      </c>
      <c r="AX106" s="21">
        <f t="shared" si="60"/>
        <v>2.6143965575945027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-1.8089849618263545E-13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314.94704727988847</v>
      </c>
      <c r="BJ106" s="59">
        <f t="shared" si="92"/>
        <v>366.49199094166454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0.9224322495766939</v>
      </c>
      <c r="BQ106" s="21">
        <f>EXP(-LN(2)/25)*BQ105+(1-EXP(-LN(2)/25))/(LN(2)/25)*Calculateur!BL106*Calculateur!BN106*VLOOKUP('Données projet'!$B$11,Paramètres!$A$1:$I$89,3,0)*0.475*44/12</f>
        <v>3.3569430161313676</v>
      </c>
      <c r="BR106" s="21">
        <f>EXP(-LN(2)/2)*BR105+(1-EXP(-LN(2)/2))/(LN(2)/2)*BL106*BO106*VLOOKUP('Données projet'!$B$11,Paramètres!$A$1:$I$89,3,0)*0.475*44/12</f>
        <v>2.9705745624859537E-10</v>
      </c>
      <c r="BS106" s="22">
        <f t="shared" si="63"/>
        <v>4.2793752660051192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-1.8089849618263545E-13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314.94704727988847</v>
      </c>
      <c r="CE106" s="59">
        <f t="shared" si="94"/>
        <v>366.49199094166454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0.9224322495766939</v>
      </c>
      <c r="CL106" s="21">
        <f>EXP(-LN(2)/25)*CL105+(1-EXP(-LN(2)/25))/(LN(2)/25)*Calculateur!CG106*Calculateur!CI106*VLOOKUP('Données projet'!$B$12,Paramètres!$A$1:$I$89,3,0)*0.475*44/12</f>
        <v>3.3569430161313676</v>
      </c>
      <c r="CM106" s="21">
        <f>EXP(-LN(2)/2)*CM105+(1-EXP(-LN(2)/2))/(LN(2)/2)*CG106*CJ106*VLOOKUP('Données projet'!$B$12,Paramètres!$A$1:$I$89,3,0)*0.475*44/12</f>
        <v>2.9705745624859537E-10</v>
      </c>
      <c r="CN106" s="22">
        <f t="shared" si="66"/>
        <v>4.2793752660051192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6.9935897435897401</v>
      </c>
      <c r="CT106" s="12">
        <f>IF('Données projet'!$A$140&gt;35,CT105+CS106-DB105,IF(A106&lt;'Données projet'!$A$140,$CQ$205^A106,IF(A106='Données projet'!$A$140,'Données projet'!$B$140,CT105+CS106-DB105)))</f>
        <v>298.20512820512846</v>
      </c>
      <c r="CU106" s="17">
        <f>CT106*VLOOKUP('Données projet'!$B$13,Paramètres!$A$1:$I$89,3,0)*VLOOKUP('Données projet'!$B$13,Paramètres!$A$1:$I$89,5,0)</f>
        <v>269.81600000000026</v>
      </c>
      <c r="CV106" s="13">
        <f t="shared" si="95"/>
        <v>64.810218294809729</v>
      </c>
      <c r="CW106" s="20">
        <f t="shared" si="67"/>
        <v>582.80733019679406</v>
      </c>
      <c r="CX106" s="59">
        <f t="shared" si="68"/>
        <v>876.14066353012731</v>
      </c>
      <c r="CY106" s="59">
        <f ca="1">AVERAGE(OFFSET($CX$3,0,0,'Données projet'!$E$13+1,1))-AVERAGE(OFFSET($H$3,0,0,'Données projet'!$E$13+1,1))</f>
        <v>221.7429870520005</v>
      </c>
      <c r="CZ106" s="59">
        <f t="shared" si="96"/>
        <v>182.2029938397186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-1.0345502232667058E-13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199.01551760562705</v>
      </c>
      <c r="T107" s="59">
        <f t="shared" si="88"/>
        <v>269.50915104901367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0.58089868007826628</v>
      </c>
      <c r="AA107" s="21">
        <f>EXP(-LN(2)/25)*AA106+(1-EXP(-LN(2)/25))/(LN(2)/25)*Calculateur!V107*Calculateur!X107*VLOOKUP('Données projet'!$B$9,Paramètres!$A$1:$I$89,3,0)*0.475*44/12</f>
        <v>1.6695165933415113</v>
      </c>
      <c r="AB107" s="21">
        <f>EXP(-LN(2)/2)*AB106+(1-EXP(-LN(2)/2))/(LN(2)/2)*V107*Y107*VLOOKUP('Données projet'!$B$9,Paramètres!$A$1:$I$89,3,0)*0.475*44/12</f>
        <v>1.002437831391524E-11</v>
      </c>
      <c r="AC107" s="22">
        <f t="shared" si="57"/>
        <v>2.2504152734298022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553.99999999999955</v>
      </c>
      <c r="AJ107" s="13">
        <f>AI107*VLOOKUP('Données projet'!$B$10,Paramètres!$A$1:$I$89,3,0)*VLOOKUP('Données projet'!$B$10,Paramètres!$A$1:$I$89,5,0)</f>
        <v>331.29199999999975</v>
      </c>
      <c r="AK107" s="13">
        <f t="shared" si="89"/>
        <v>77.698110787752</v>
      </c>
      <c r="AL107" s="20">
        <f t="shared" si="58"/>
        <v>712.32444295533423</v>
      </c>
      <c r="AM107" s="59">
        <f t="shared" si="59"/>
        <v>1005.6577762886675</v>
      </c>
      <c r="AN107" s="59">
        <f ca="1">AVERAGE(OFFSET($AM$3,0,0,'Données projet'!$E$10+1,1))-AVERAGE(OFFSET($H$3,0,0,'Données projet'!$E$10+1,1))</f>
        <v>316.58509520829671</v>
      </c>
      <c r="AO107" s="59">
        <f t="shared" si="90"/>
        <v>240.71332110643596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0.58537879121851533</v>
      </c>
      <c r="AV107" s="21">
        <f>EXP(-LN(2)/25)*AV106+(1-EXP(-LN(2)/25))/(LN(2)/25)*Calculateur!AQ107*Calculateur!AS107*VLOOKUP('Données projet'!$B$10,Paramètres!$A$1:$I$89,3,0)*0.475*44/12</f>
        <v>1.9621458207269866</v>
      </c>
      <c r="AW107" s="21">
        <f>EXP(-LN(2)/2)*AW106+(1-EXP(-LN(2)/2))/(LN(2)/2)*AQ107*AT107*VLOOKUP('Données projet'!$B$10,Paramètres!$A$1:$I$89,3,0)*0.475*44/12</f>
        <v>1.5962973026137417E-10</v>
      </c>
      <c r="AX107" s="21">
        <f t="shared" si="60"/>
        <v>2.5475246121051316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-1.8089849618263545E-13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314.94704727988847</v>
      </c>
      <c r="BJ107" s="59">
        <f t="shared" si="92"/>
        <v>366.49199094166454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0.90434391579061224</v>
      </c>
      <c r="BQ107" s="21">
        <f>EXP(-LN(2)/25)*BQ106+(1-EXP(-LN(2)/25))/(LN(2)/25)*Calculateur!BL107*Calculateur!BN107*VLOOKUP('Données projet'!$B$11,Paramètres!$A$1:$I$89,3,0)*0.475*44/12</f>
        <v>3.2651472328212945</v>
      </c>
      <c r="BR107" s="21">
        <f>EXP(-LN(2)/2)*BR106+(1-EXP(-LN(2)/2))/(LN(2)/2)*BL107*BO107*VLOOKUP('Données projet'!$B$11,Paramètres!$A$1:$I$89,3,0)*0.475*44/12</f>
        <v>2.1005134171540794E-10</v>
      </c>
      <c r="BS107" s="22">
        <f t="shared" si="63"/>
        <v>4.1694911488219581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-1.8089849618263545E-13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314.94704727988847</v>
      </c>
      <c r="CE107" s="59">
        <f t="shared" si="94"/>
        <v>366.49199094166454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0.90434391579061224</v>
      </c>
      <c r="CL107" s="21">
        <f>EXP(-LN(2)/25)*CL106+(1-EXP(-LN(2)/25))/(LN(2)/25)*Calculateur!CG107*Calculateur!CI107*VLOOKUP('Données projet'!$B$12,Paramètres!$A$1:$I$89,3,0)*0.475*44/12</f>
        <v>3.2651472328212945</v>
      </c>
      <c r="CM107" s="21">
        <f>EXP(-LN(2)/2)*CM106+(1-EXP(-LN(2)/2))/(LN(2)/2)*CG107*CJ107*VLOOKUP('Données projet'!$B$12,Paramètres!$A$1:$I$89,3,0)*0.475*44/12</f>
        <v>2.1005134171540794E-10</v>
      </c>
      <c r="CN107" s="22">
        <f t="shared" si="66"/>
        <v>4.1694911488219581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6.9935897435897401</v>
      </c>
      <c r="CT107" s="12">
        <f>IF('Données projet'!$A$140&gt;35,CT106+CS107-DB106,IF(A107&lt;'Données projet'!$A$140,$CQ$205^A107,IF(A107='Données projet'!$A$140,'Données projet'!$B$140,CT106+CS107-DB106)))</f>
        <v>305.19871794871818</v>
      </c>
      <c r="CU107" s="17">
        <f>CT107*VLOOKUP('Données projet'!$B$13,Paramètres!$A$1:$I$89,3,0)*VLOOKUP('Données projet'!$B$13,Paramètres!$A$1:$I$89,5,0)</f>
        <v>276.14380000000023</v>
      </c>
      <c r="CV107" s="13">
        <f t="shared" si="95"/>
        <v>66.151426401533882</v>
      </c>
      <c r="CW107" s="20">
        <f t="shared" si="67"/>
        <v>596.16418598267194</v>
      </c>
      <c r="CX107" s="59">
        <f t="shared" si="68"/>
        <v>889.49751931600531</v>
      </c>
      <c r="CY107" s="59">
        <f ca="1">AVERAGE(OFFSET($CX$3,0,0,'Données projet'!$E$13+1,1))-AVERAGE(OFFSET($H$3,0,0,'Données projet'!$E$13+1,1))</f>
        <v>221.7429870520005</v>
      </c>
      <c r="CZ107" s="59">
        <f t="shared" si="96"/>
        <v>182.2029938397186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-1.0345502232667058E-13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199.01551760562705</v>
      </c>
      <c r="T108" s="59">
        <f t="shared" si="88"/>
        <v>269.50915104901367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0.56950761127514082</v>
      </c>
      <c r="AA108" s="21">
        <f>EXP(-LN(2)/25)*AA107+(1-EXP(-LN(2)/25))/(LN(2)/25)*Calculateur!V108*Calculateur!X108*VLOOKUP('Données projet'!$B$9,Paramètres!$A$1:$I$89,3,0)*0.475*44/12</f>
        <v>1.6238635743005256</v>
      </c>
      <c r="AB108" s="21">
        <f>EXP(-LN(2)/2)*AB107+(1-EXP(-LN(2)/2))/(LN(2)/2)*V108*Y108*VLOOKUP('Données projet'!$B$9,Paramètres!$A$1:$I$89,3,0)*0.475*44/12</f>
        <v>7.0883058829488359E-12</v>
      </c>
      <c r="AC108" s="22">
        <f t="shared" si="57"/>
        <v>2.1933711855827545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553.99999999999955</v>
      </c>
      <c r="AJ108" s="13">
        <f>AI108*VLOOKUP('Données projet'!$B$10,Paramètres!$A$1:$I$89,3,0)*VLOOKUP('Données projet'!$B$10,Paramètres!$A$1:$I$89,5,0)</f>
        <v>331.29199999999975</v>
      </c>
      <c r="AK108" s="13">
        <f t="shared" si="89"/>
        <v>77.698110787752</v>
      </c>
      <c r="AL108" s="20">
        <f t="shared" si="58"/>
        <v>712.32444295533423</v>
      </c>
      <c r="AM108" s="59">
        <f t="shared" si="59"/>
        <v>1005.6577762886675</v>
      </c>
      <c r="AN108" s="59">
        <f ca="1">AVERAGE(OFFSET($AM$3,0,0,'Données projet'!$E$10+1,1))-AVERAGE(OFFSET($H$3,0,0,'Données projet'!$E$10+1,1))</f>
        <v>316.58509520829671</v>
      </c>
      <c r="AO108" s="59">
        <f t="shared" si="90"/>
        <v>240.71332110643596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0.5738998701685275</v>
      </c>
      <c r="AV108" s="21">
        <f>EXP(-LN(2)/25)*AV107+(1-EXP(-LN(2)/25))/(LN(2)/25)*Calculateur!AQ108*Calculateur!AS108*VLOOKUP('Données projet'!$B$10,Paramètres!$A$1:$I$89,3,0)*0.475*44/12</f>
        <v>1.9084908400744429</v>
      </c>
      <c r="AW108" s="21">
        <f>EXP(-LN(2)/2)*AW107+(1-EXP(-LN(2)/2))/(LN(2)/2)*AQ108*AT108*VLOOKUP('Données projet'!$B$10,Paramètres!$A$1:$I$89,3,0)*0.475*44/12</f>
        <v>1.1287526474679711E-10</v>
      </c>
      <c r="AX108" s="21">
        <f t="shared" si="60"/>
        <v>2.4823907103558458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-1.8089849618263545E-13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314.94704727988847</v>
      </c>
      <c r="BJ108" s="59">
        <f t="shared" si="92"/>
        <v>366.49199094166454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0.88661028319728141</v>
      </c>
      <c r="BQ108" s="21">
        <f>EXP(-LN(2)/25)*BQ107+(1-EXP(-LN(2)/25))/(LN(2)/25)*Calculateur!BL108*Calculateur!BN108*VLOOKUP('Données projet'!$B$11,Paramètres!$A$1:$I$89,3,0)*0.475*44/12</f>
        <v>3.175861610033166</v>
      </c>
      <c r="BR108" s="21">
        <f>EXP(-LN(2)/2)*BR107+(1-EXP(-LN(2)/2))/(LN(2)/2)*BL108*BO108*VLOOKUP('Données projet'!$B$11,Paramètres!$A$1:$I$89,3,0)*0.475*44/12</f>
        <v>1.4852872812429768E-10</v>
      </c>
      <c r="BS108" s="22">
        <f t="shared" si="63"/>
        <v>4.0624718933789756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-1.8089849618263545E-13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314.94704727988847</v>
      </c>
      <c r="CE108" s="59">
        <f t="shared" si="94"/>
        <v>366.49199094166454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0.88661028319728141</v>
      </c>
      <c r="CL108" s="21">
        <f>EXP(-LN(2)/25)*CL107+(1-EXP(-LN(2)/25))/(LN(2)/25)*Calculateur!CG108*Calculateur!CI108*VLOOKUP('Données projet'!$B$12,Paramètres!$A$1:$I$89,3,0)*0.475*44/12</f>
        <v>3.175861610033166</v>
      </c>
      <c r="CM108" s="21">
        <f>EXP(-LN(2)/2)*CM107+(1-EXP(-LN(2)/2))/(LN(2)/2)*CG108*CJ108*VLOOKUP('Données projet'!$B$12,Paramètres!$A$1:$I$89,3,0)*0.475*44/12</f>
        <v>1.4852872812429768E-10</v>
      </c>
      <c r="CN108" s="22">
        <f t="shared" si="66"/>
        <v>4.0624718933789756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6.9935897435897401</v>
      </c>
      <c r="CT108" s="12">
        <f>IF('Données projet'!$A$140&gt;35,CT107+CS108-DB107,IF(A108&lt;'Données projet'!$A$140,$CQ$205^A108,IF(A108='Données projet'!$A$140,'Données projet'!$B$140,CT107+CS108-DB107)))</f>
        <v>312.19230769230791</v>
      </c>
      <c r="CU108" s="17">
        <f>CT108*VLOOKUP('Données projet'!$B$13,Paramètres!$A$1:$I$89,3,0)*VLOOKUP('Données projet'!$B$13,Paramètres!$A$1:$I$89,5,0)</f>
        <v>282.47160000000019</v>
      </c>
      <c r="CV108" s="13">
        <f t="shared" si="95"/>
        <v>67.489061551962138</v>
      </c>
      <c r="CW108" s="20">
        <f t="shared" si="67"/>
        <v>609.51481886966769</v>
      </c>
      <c r="CX108" s="59">
        <f t="shared" si="68"/>
        <v>902.84815220300106</v>
      </c>
      <c r="CY108" s="59">
        <f ca="1">AVERAGE(OFFSET($CX$3,0,0,'Données projet'!$E$13+1,1))-AVERAGE(OFFSET($H$3,0,0,'Données projet'!$E$13+1,1))</f>
        <v>221.7429870520005</v>
      </c>
      <c r="CZ108" s="59">
        <f t="shared" si="96"/>
        <v>182.2029938397186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-1.0345502232667058E-13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199.01551760562705</v>
      </c>
      <c r="T109" s="59">
        <f t="shared" si="88"/>
        <v>269.50915104901367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0.55833991438337871</v>
      </c>
      <c r="AA109" s="21">
        <f>EXP(-LN(2)/25)*AA108+(1-EXP(-LN(2)/25))/(LN(2)/25)*Calculateur!V109*Calculateur!X109*VLOOKUP('Données projet'!$B$9,Paramètres!$A$1:$I$89,3,0)*0.475*44/12</f>
        <v>1.5794589394660037</v>
      </c>
      <c r="AB109" s="21">
        <f>EXP(-LN(2)/2)*AB108+(1-EXP(-LN(2)/2))/(LN(2)/2)*V109*Y109*VLOOKUP('Données projet'!$B$9,Paramètres!$A$1:$I$89,3,0)*0.475*44/12</f>
        <v>5.0121891569576207E-12</v>
      </c>
      <c r="AC109" s="22">
        <f t="shared" si="57"/>
        <v>2.1377988538543944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553.99999999999955</v>
      </c>
      <c r="AJ109" s="13">
        <f>AI109*VLOOKUP('Données projet'!$B$10,Paramètres!$A$1:$I$89,3,0)*VLOOKUP('Données projet'!$B$10,Paramètres!$A$1:$I$89,5,0)</f>
        <v>331.29199999999975</v>
      </c>
      <c r="AK109" s="13">
        <f t="shared" si="89"/>
        <v>77.698110787752</v>
      </c>
      <c r="AL109" s="20">
        <f t="shared" si="58"/>
        <v>712.32444295533423</v>
      </c>
      <c r="AM109" s="59">
        <f t="shared" si="59"/>
        <v>1005.6577762886675</v>
      </c>
      <c r="AN109" s="59">
        <f ca="1">AVERAGE(OFFSET($AM$3,0,0,'Données projet'!$E$10+1,1))-AVERAGE(OFFSET($H$3,0,0,'Données projet'!$E$10+1,1))</f>
        <v>316.58509520829671</v>
      </c>
      <c r="AO109" s="59">
        <f t="shared" si="90"/>
        <v>240.71332110643596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0.5626460437588795</v>
      </c>
      <c r="AV109" s="21">
        <f>EXP(-LN(2)/25)*AV108+(1-EXP(-LN(2)/25))/(LN(2)/25)*Calculateur!AQ109*Calculateur!AS109*VLOOKUP('Données projet'!$B$10,Paramètres!$A$1:$I$89,3,0)*0.475*44/12</f>
        <v>1.8563030576894359</v>
      </c>
      <c r="AW109" s="21">
        <f>EXP(-LN(2)/2)*AW108+(1-EXP(-LN(2)/2))/(LN(2)/2)*AQ109*AT109*VLOOKUP('Données projet'!$B$10,Paramètres!$A$1:$I$89,3,0)*0.475*44/12</f>
        <v>7.9814865130687096E-11</v>
      </c>
      <c r="AX109" s="21">
        <f t="shared" si="60"/>
        <v>2.4189491015281304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-1.8089849618263545E-13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314.94704727988847</v>
      </c>
      <c r="BJ109" s="59">
        <f t="shared" si="92"/>
        <v>366.49199094166454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0.86922439632265802</v>
      </c>
      <c r="BQ109" s="21">
        <f>EXP(-LN(2)/25)*BQ108+(1-EXP(-LN(2)/25))/(LN(2)/25)*Calculateur!BL109*Calculateur!BN109*VLOOKUP('Données projet'!$B$11,Paramètres!$A$1:$I$89,3,0)*0.475*44/12</f>
        <v>3.0890175072955057</v>
      </c>
      <c r="BR109" s="21">
        <f>EXP(-LN(2)/2)*BR108+(1-EXP(-LN(2)/2))/(LN(2)/2)*BL109*BO109*VLOOKUP('Données projet'!$B$11,Paramètres!$A$1:$I$89,3,0)*0.475*44/12</f>
        <v>1.0502567085770397E-10</v>
      </c>
      <c r="BS109" s="22">
        <f t="shared" si="63"/>
        <v>3.9582419037231893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-1.8089849618263545E-13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314.94704727988847</v>
      </c>
      <c r="CE109" s="59">
        <f t="shared" si="94"/>
        <v>366.49199094166454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0.86922439632265802</v>
      </c>
      <c r="CL109" s="21">
        <f>EXP(-LN(2)/25)*CL108+(1-EXP(-LN(2)/25))/(LN(2)/25)*Calculateur!CG109*Calculateur!CI109*VLOOKUP('Données projet'!$B$12,Paramètres!$A$1:$I$89,3,0)*0.475*44/12</f>
        <v>3.0890175072955057</v>
      </c>
      <c r="CM109" s="21">
        <f>EXP(-LN(2)/2)*CM108+(1-EXP(-LN(2)/2))/(LN(2)/2)*CG109*CJ109*VLOOKUP('Données projet'!$B$12,Paramètres!$A$1:$I$89,3,0)*0.475*44/12</f>
        <v>1.0502567085770397E-10</v>
      </c>
      <c r="CN109" s="22">
        <f t="shared" si="66"/>
        <v>3.9582419037231893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6.9935897435897401</v>
      </c>
      <c r="CT109" s="12">
        <f>IF('Données projet'!$A$140&gt;35,CT108+CS109-DB108,IF(A109&lt;'Données projet'!$A$140,$CQ$205^A109,IF(A109='Données projet'!$A$140,'Données projet'!$B$140,CT108+CS109-DB108)))</f>
        <v>319.18589743589763</v>
      </c>
      <c r="CU109" s="17">
        <f>CT109*VLOOKUP('Données projet'!$B$13,Paramètres!$A$1:$I$89,3,0)*VLOOKUP('Données projet'!$B$13,Paramètres!$A$1:$I$89,5,0)</f>
        <v>288.79940000000016</v>
      </c>
      <c r="CV109" s="13">
        <f t="shared" si="95"/>
        <v>68.823213001142449</v>
      </c>
      <c r="CW109" s="20">
        <f t="shared" si="67"/>
        <v>622.85938431032332</v>
      </c>
      <c r="CX109" s="59">
        <f t="shared" si="68"/>
        <v>916.19271764365658</v>
      </c>
      <c r="CY109" s="59">
        <f ca="1">AVERAGE(OFFSET($CX$3,0,0,'Données projet'!$E$13+1,1))-AVERAGE(OFFSET($H$3,0,0,'Données projet'!$E$13+1,1))</f>
        <v>221.7429870520005</v>
      </c>
      <c r="CZ109" s="59">
        <f t="shared" si="96"/>
        <v>182.2029938397186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-1.0345502232667058E-13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199.01551760562705</v>
      </c>
      <c r="T110" s="59">
        <f t="shared" si="88"/>
        <v>269.50915104901367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0.54739120921604156</v>
      </c>
      <c r="AA110" s="21">
        <f>EXP(-LN(2)/25)*AA109+(1-EXP(-LN(2)/25))/(LN(2)/25)*Calculateur!V110*Calculateur!X110*VLOOKUP('Données projet'!$B$9,Paramètres!$A$1:$I$89,3,0)*0.475*44/12</f>
        <v>1.53626855170617</v>
      </c>
      <c r="AB110" s="21">
        <f>EXP(-LN(2)/2)*AB109+(1-EXP(-LN(2)/2))/(LN(2)/2)*V110*Y110*VLOOKUP('Données projet'!$B$9,Paramètres!$A$1:$I$89,3,0)*0.475*44/12</f>
        <v>3.5441529414744187E-12</v>
      </c>
      <c r="AC110" s="22">
        <f t="shared" si="57"/>
        <v>2.0836597609257557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553.99999999999955</v>
      </c>
      <c r="AJ110" s="13">
        <f>AI110*VLOOKUP('Données projet'!$B$10,Paramètres!$A$1:$I$89,3,0)*VLOOKUP('Données projet'!$B$10,Paramètres!$A$1:$I$89,5,0)</f>
        <v>331.29199999999975</v>
      </c>
      <c r="AK110" s="13">
        <f t="shared" si="89"/>
        <v>77.698110787752</v>
      </c>
      <c r="AL110" s="20">
        <f t="shared" si="58"/>
        <v>712.32444295533423</v>
      </c>
      <c r="AM110" s="59">
        <f t="shared" si="59"/>
        <v>1005.6577762886675</v>
      </c>
      <c r="AN110" s="59">
        <f ca="1">AVERAGE(OFFSET($AM$3,0,0,'Données projet'!$E$10+1,1))-AVERAGE(OFFSET($H$3,0,0,'Données projet'!$E$10+1,1))</f>
        <v>316.58509520829671</v>
      </c>
      <c r="AO110" s="59">
        <f t="shared" si="90"/>
        <v>240.71332110643596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0.55161289802096836</v>
      </c>
      <c r="AV110" s="21">
        <f>EXP(-LN(2)/25)*AV109+(1-EXP(-LN(2)/25))/(LN(2)/25)*Calculateur!AQ110*Calculateur!AS110*VLOOKUP('Données projet'!$B$10,Paramètres!$A$1:$I$89,3,0)*0.475*44/12</f>
        <v>1.8055423529581831</v>
      </c>
      <c r="AW110" s="21">
        <f>EXP(-LN(2)/2)*AW109+(1-EXP(-LN(2)/2))/(LN(2)/2)*AQ110*AT110*VLOOKUP('Données projet'!$B$10,Paramètres!$A$1:$I$89,3,0)*0.475*44/12</f>
        <v>5.6437632373398567E-11</v>
      </c>
      <c r="AX110" s="21">
        <f t="shared" si="60"/>
        <v>2.3571552510355889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-1.8089849618263545E-13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314.94704727988847</v>
      </c>
      <c r="BJ110" s="59">
        <f t="shared" si="92"/>
        <v>366.49199094166454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0.85217943608530211</v>
      </c>
      <c r="BQ110" s="21">
        <f>EXP(-LN(2)/25)*BQ109+(1-EXP(-LN(2)/25))/(LN(2)/25)*Calculateur!BL110*Calculateur!BN110*VLOOKUP('Données projet'!$B$11,Paramètres!$A$1:$I$89,3,0)*0.475*44/12</f>
        <v>3.0045481611141396</v>
      </c>
      <c r="BR110" s="21">
        <f>EXP(-LN(2)/2)*BR109+(1-EXP(-LN(2)/2))/(LN(2)/2)*BL110*BO110*VLOOKUP('Données projet'!$B$11,Paramètres!$A$1:$I$89,3,0)*0.475*44/12</f>
        <v>7.4264364062148842E-11</v>
      </c>
      <c r="BS110" s="22">
        <f t="shared" si="63"/>
        <v>3.8567275972737058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-1.8089849618263545E-13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314.94704727988847</v>
      </c>
      <c r="CE110" s="59">
        <f t="shared" si="94"/>
        <v>366.49199094166454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0.85217943608530211</v>
      </c>
      <c r="CL110" s="21">
        <f>EXP(-LN(2)/25)*CL109+(1-EXP(-LN(2)/25))/(LN(2)/25)*Calculateur!CG110*Calculateur!CI110*VLOOKUP('Données projet'!$B$12,Paramètres!$A$1:$I$89,3,0)*0.475*44/12</f>
        <v>3.0045481611141396</v>
      </c>
      <c r="CM110" s="21">
        <f>EXP(-LN(2)/2)*CM109+(1-EXP(-LN(2)/2))/(LN(2)/2)*CG110*CJ110*VLOOKUP('Données projet'!$B$12,Paramètres!$A$1:$I$89,3,0)*0.475*44/12</f>
        <v>7.4264364062148842E-11</v>
      </c>
      <c r="CN110" s="22">
        <f t="shared" si="66"/>
        <v>3.8567275972737058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6.9935897435897401</v>
      </c>
      <c r="CT110" s="12">
        <f>IF('Données projet'!$A$140&gt;35,CT109+CS110-DB109,IF(A110&lt;'Données projet'!$A$140,$CQ$205^A110,IF(A110='Données projet'!$A$140,'Données projet'!$B$140,CT109+CS110-DB109)))</f>
        <v>326.17948717948735</v>
      </c>
      <c r="CU110" s="17">
        <f>CT110*VLOOKUP('Données projet'!$B$13,Paramètres!$A$1:$I$89,3,0)*VLOOKUP('Données projet'!$B$13,Paramètres!$A$1:$I$89,5,0)</f>
        <v>295.12720000000013</v>
      </c>
      <c r="CV110" s="13">
        <f t="shared" si="95"/>
        <v>70.153965869482519</v>
      </c>
      <c r="CW110" s="20">
        <f t="shared" si="67"/>
        <v>636.19803055601562</v>
      </c>
      <c r="CX110" s="59">
        <f t="shared" si="68"/>
        <v>929.531363889349</v>
      </c>
      <c r="CY110" s="59">
        <f ca="1">AVERAGE(OFFSET($CX$3,0,0,'Données projet'!$E$13+1,1))-AVERAGE(OFFSET($H$3,0,0,'Données projet'!$E$13+1,1))</f>
        <v>221.7429870520005</v>
      </c>
      <c r="CZ110" s="59">
        <f t="shared" si="96"/>
        <v>182.2029938397186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-1.0345502232667058E-13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199.01551760562705</v>
      </c>
      <c r="T111" s="59">
        <f t="shared" si="88"/>
        <v>269.50915104901367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0.5366572014789851</v>
      </c>
      <c r="AA111" s="21">
        <f>EXP(-LN(2)/25)*AA110+(1-EXP(-LN(2)/25))/(LN(2)/25)*Calculateur!V111*Calculateur!X111*VLOOKUP('Données projet'!$B$9,Paramètres!$A$1:$I$89,3,0)*0.475*44/12</f>
        <v>1.4942592073709129</v>
      </c>
      <c r="AB111" s="21">
        <f>EXP(-LN(2)/2)*AB110+(1-EXP(-LN(2)/2))/(LN(2)/2)*V111*Y111*VLOOKUP('Données projet'!$B$9,Paramètres!$A$1:$I$89,3,0)*0.475*44/12</f>
        <v>2.5060945784788107E-12</v>
      </c>
      <c r="AC111" s="22">
        <f t="shared" si="57"/>
        <v>2.0309164088524039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553.99999999999955</v>
      </c>
      <c r="AJ111" s="13">
        <f>AI111*VLOOKUP('Données projet'!$B$10,Paramètres!$A$1:$I$89,3,0)*VLOOKUP('Données projet'!$B$10,Paramètres!$A$1:$I$89,5,0)</f>
        <v>331.29199999999975</v>
      </c>
      <c r="AK111" s="13">
        <f t="shared" si="89"/>
        <v>77.698110787752</v>
      </c>
      <c r="AL111" s="20">
        <f t="shared" si="58"/>
        <v>712.32444295533423</v>
      </c>
      <c r="AM111" s="59">
        <f t="shared" si="59"/>
        <v>1005.6577762886675</v>
      </c>
      <c r="AN111" s="59">
        <f ca="1">AVERAGE(OFFSET($AM$3,0,0,'Données projet'!$E$10+1,1))-AVERAGE(OFFSET($H$3,0,0,'Données projet'!$E$10+1,1))</f>
        <v>316.58509520829671</v>
      </c>
      <c r="AO111" s="59">
        <f t="shared" si="90"/>
        <v>240.71332110643596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0.54079610554142321</v>
      </c>
      <c r="AV111" s="21">
        <f>EXP(-LN(2)/25)*AV110+(1-EXP(-LN(2)/25))/(LN(2)/25)*Calculateur!AQ111*Calculateur!AS111*VLOOKUP('Données projet'!$B$10,Paramètres!$A$1:$I$89,3,0)*0.475*44/12</f>
        <v>1.7561697023671958</v>
      </c>
      <c r="AW111" s="21">
        <f>EXP(-LN(2)/2)*AW110+(1-EXP(-LN(2)/2))/(LN(2)/2)*AQ111*AT111*VLOOKUP('Données projet'!$B$10,Paramètres!$A$1:$I$89,3,0)*0.475*44/12</f>
        <v>3.9907432565343555E-11</v>
      </c>
      <c r="AX111" s="21">
        <f t="shared" si="60"/>
        <v>2.2969658079485269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-1.8089849618263545E-13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314.94704727988847</v>
      </c>
      <c r="BJ111" s="59">
        <f t="shared" si="92"/>
        <v>366.49199094166454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0.83546871712180149</v>
      </c>
      <c r="BQ111" s="21">
        <f>EXP(-LN(2)/25)*BQ110+(1-EXP(-LN(2)/25))/(LN(2)/25)*Calculateur!BL111*Calculateur!BN111*VLOOKUP('Données projet'!$B$11,Paramètres!$A$1:$I$89,3,0)*0.475*44/12</f>
        <v>2.9223886336461526</v>
      </c>
      <c r="BR111" s="21">
        <f>EXP(-LN(2)/2)*BR110+(1-EXP(-LN(2)/2))/(LN(2)/2)*BL111*BO111*VLOOKUP('Données projet'!$B$11,Paramètres!$A$1:$I$89,3,0)*0.475*44/12</f>
        <v>5.2512835428851985E-11</v>
      </c>
      <c r="BS111" s="22">
        <f t="shared" si="63"/>
        <v>3.7578573508204669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-1.8089849618263545E-13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314.94704727988847</v>
      </c>
      <c r="CE111" s="59">
        <f t="shared" si="94"/>
        <v>366.49199094166454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0.83546871712180149</v>
      </c>
      <c r="CL111" s="21">
        <f>EXP(-LN(2)/25)*CL110+(1-EXP(-LN(2)/25))/(LN(2)/25)*Calculateur!CG111*Calculateur!CI111*VLOOKUP('Données projet'!$B$12,Paramètres!$A$1:$I$89,3,0)*0.475*44/12</f>
        <v>2.9223886336461526</v>
      </c>
      <c r="CM111" s="21">
        <f>EXP(-LN(2)/2)*CM110+(1-EXP(-LN(2)/2))/(LN(2)/2)*CG111*CJ111*VLOOKUP('Données projet'!$B$12,Paramètres!$A$1:$I$89,3,0)*0.475*44/12</f>
        <v>5.2512835428851985E-11</v>
      </c>
      <c r="CN111" s="22">
        <f t="shared" si="66"/>
        <v>3.7578573508204669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6.9935897435897401</v>
      </c>
      <c r="CT111" s="12">
        <f>IF('Données projet'!$A$140&gt;35,CT110+CS111-DB110,IF(A111&lt;'Données projet'!$A$140,$CQ$205^A111,IF(A111='Données projet'!$A$140,'Données projet'!$B$140,CT110+CS111-DB110)))</f>
        <v>333.17307692307708</v>
      </c>
      <c r="CU111" s="17">
        <f>CT111*VLOOKUP('Données projet'!$B$13,Paramètres!$A$1:$I$89,3,0)*VLOOKUP('Données projet'!$B$13,Paramètres!$A$1:$I$89,5,0)</f>
        <v>301.45500000000015</v>
      </c>
      <c r="CV111" s="13">
        <f t="shared" si="95"/>
        <v>71.481401418760271</v>
      </c>
      <c r="CW111" s="20">
        <f t="shared" si="67"/>
        <v>649.53089913767428</v>
      </c>
      <c r="CX111" s="59">
        <f t="shared" si="68"/>
        <v>942.86423247100765</v>
      </c>
      <c r="CY111" s="59">
        <f ca="1">AVERAGE(OFFSET($CX$3,0,0,'Données projet'!$E$13+1,1))-AVERAGE(OFFSET($H$3,0,0,'Données projet'!$E$13+1,1))</f>
        <v>221.7429870520005</v>
      </c>
      <c r="CZ111" s="59">
        <f t="shared" si="96"/>
        <v>182.2029938397186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-1.0345502232667058E-13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199.01551760562705</v>
      </c>
      <c r="T112" s="59">
        <f t="shared" si="88"/>
        <v>269.50915104901367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0.52613368108655412</v>
      </c>
      <c r="AA112" s="21">
        <f>EXP(-LN(2)/25)*AA111+(1-EXP(-LN(2)/25))/(LN(2)/25)*Calculateur!V112*Calculateur!X112*VLOOKUP('Données projet'!$B$9,Paramètres!$A$1:$I$89,3,0)*0.475*44/12</f>
        <v>1.4533986107656787</v>
      </c>
      <c r="AB112" s="21">
        <f>EXP(-LN(2)/2)*AB111+(1-EXP(-LN(2)/2))/(LN(2)/2)*V112*Y112*VLOOKUP('Données projet'!$B$9,Paramètres!$A$1:$I$89,3,0)*0.475*44/12</f>
        <v>1.7720764707372096E-12</v>
      </c>
      <c r="AC112" s="22">
        <f t="shared" si="57"/>
        <v>1.979532291854005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553.99999999999955</v>
      </c>
      <c r="AJ112" s="13">
        <f>AI112*VLOOKUP('Données projet'!$B$10,Paramètres!$A$1:$I$89,3,0)*VLOOKUP('Données projet'!$B$10,Paramètres!$A$1:$I$89,5,0)</f>
        <v>331.29199999999975</v>
      </c>
      <c r="AK112" s="13">
        <f t="shared" si="89"/>
        <v>77.698110787752</v>
      </c>
      <c r="AL112" s="20">
        <f t="shared" si="58"/>
        <v>712.32444295533423</v>
      </c>
      <c r="AM112" s="59">
        <f t="shared" si="59"/>
        <v>1005.6577762886675</v>
      </c>
      <c r="AN112" s="59">
        <f ca="1">AVERAGE(OFFSET($AM$3,0,0,'Données projet'!$E$10+1,1))-AVERAGE(OFFSET($H$3,0,0,'Données projet'!$E$10+1,1))</f>
        <v>316.58509520829671</v>
      </c>
      <c r="AO112" s="59">
        <f t="shared" si="90"/>
        <v>240.71332110643596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0.53019142376480999</v>
      </c>
      <c r="AV112" s="21">
        <f>EXP(-LN(2)/25)*AV111+(1-EXP(-LN(2)/25))/(LN(2)/25)*Calculateur!AQ112*Calculateur!AS112*VLOOKUP('Données projet'!$B$10,Paramètres!$A$1:$I$89,3,0)*0.475*44/12</f>
        <v>1.7081471495030141</v>
      </c>
      <c r="AW112" s="21">
        <f>EXP(-LN(2)/2)*AW111+(1-EXP(-LN(2)/2))/(LN(2)/2)*AQ112*AT112*VLOOKUP('Données projet'!$B$10,Paramètres!$A$1:$I$89,3,0)*0.475*44/12</f>
        <v>2.8218816186699287E-11</v>
      </c>
      <c r="AX112" s="21">
        <f t="shared" si="60"/>
        <v>2.2383385732960428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-1.8089849618263545E-13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314.94704727988847</v>
      </c>
      <c r="BJ112" s="59">
        <f t="shared" si="92"/>
        <v>366.49199094166454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0.81908568516464297</v>
      </c>
      <c r="BQ112" s="21">
        <f>EXP(-LN(2)/25)*BQ111+(1-EXP(-LN(2)/25))/(LN(2)/25)*Calculateur!BL112*Calculateur!BN112*VLOOKUP('Données projet'!$B$11,Paramètres!$A$1:$I$89,3,0)*0.475*44/12</f>
        <v>2.8424757627773594</v>
      </c>
      <c r="BR112" s="21">
        <f>EXP(-LN(2)/2)*BR111+(1-EXP(-LN(2)/2))/(LN(2)/2)*BL112*BO112*VLOOKUP('Données projet'!$B$11,Paramètres!$A$1:$I$89,3,0)*0.475*44/12</f>
        <v>3.7132182031074421E-11</v>
      </c>
      <c r="BS112" s="22">
        <f t="shared" si="63"/>
        <v>3.6615614479791345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-1.8089849618263545E-13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314.94704727988847</v>
      </c>
      <c r="CE112" s="59">
        <f t="shared" si="94"/>
        <v>366.49199094166454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0.81908568516464297</v>
      </c>
      <c r="CL112" s="21">
        <f>EXP(-LN(2)/25)*CL111+(1-EXP(-LN(2)/25))/(LN(2)/25)*Calculateur!CG112*Calculateur!CI112*VLOOKUP('Données projet'!$B$12,Paramètres!$A$1:$I$89,3,0)*0.475*44/12</f>
        <v>2.8424757627773594</v>
      </c>
      <c r="CM112" s="21">
        <f>EXP(-LN(2)/2)*CM111+(1-EXP(-LN(2)/2))/(LN(2)/2)*CG112*CJ112*VLOOKUP('Données projet'!$B$12,Paramètres!$A$1:$I$89,3,0)*0.475*44/12</f>
        <v>3.7132182031074421E-11</v>
      </c>
      <c r="CN112" s="22">
        <f t="shared" si="66"/>
        <v>3.6615614479791345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340.16666666666663</v>
      </c>
      <c r="CR112" s="12">
        <f>VLOOKUP(A112,'Données projet'!$A$139:$I$159,9,0)</f>
        <v>6.9935897435897401</v>
      </c>
      <c r="CS112" s="12">
        <f t="array" ref="CS112">INDEX(CR:CR,MIN(IF(ISNUMBER(CR112:CR308),ROW(CR112:CR308),"")))</f>
        <v>6.9935897435897401</v>
      </c>
      <c r="CT112" s="12">
        <f>IF('Données projet'!$A$140&gt;35,CT111+CS112-DB111,IF(A112&lt;'Données projet'!$A$140,$CQ$205^A112,IF(A112='Données projet'!$A$140,'Données projet'!$B$140,CT111+CS112-DB111)))</f>
        <v>340.1666666666668</v>
      </c>
      <c r="CU112" s="17">
        <f>CT112*VLOOKUP('Données projet'!$B$13,Paramètres!$A$1:$I$89,3,0)*VLOOKUP('Données projet'!$B$13,Paramètres!$A$1:$I$89,5,0)</f>
        <v>307.78280000000012</v>
      </c>
      <c r="CV112" s="13">
        <f t="shared" si="95"/>
        <v>72.805597304306232</v>
      </c>
      <c r="CW112" s="20">
        <f t="shared" si="67"/>
        <v>662.85812530500016</v>
      </c>
      <c r="CX112" s="59">
        <f t="shared" si="68"/>
        <v>956.19145863833342</v>
      </c>
      <c r="CY112" s="59">
        <f ca="1">AVERAGE(OFFSET($CX$3,0,0,'Données projet'!$E$13+1,1))-AVERAGE(OFFSET($H$3,0,0,'Données projet'!$E$13+1,1))</f>
        <v>221.7429870520005</v>
      </c>
      <c r="CZ112" s="59">
        <f t="shared" si="96"/>
        <v>182.2029938397186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51.28846153846154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-1.0345502232667058E-13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199.01551760562705</v>
      </c>
      <c r="T113" s="59">
        <f t="shared" si="88"/>
        <v>269.50915104901367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0.51581652051030502</v>
      </c>
      <c r="AA113" s="21">
        <f>EXP(-LN(2)/25)*AA112+(1-EXP(-LN(2)/25))/(LN(2)/25)*Calculateur!V113*Calculateur!X113*VLOOKUP('Données projet'!$B$9,Paramètres!$A$1:$I$89,3,0)*0.475*44/12</f>
        <v>1.4136553493233801</v>
      </c>
      <c r="AB113" s="21">
        <f>EXP(-LN(2)/2)*AB112+(1-EXP(-LN(2)/2))/(LN(2)/2)*V113*Y113*VLOOKUP('Données projet'!$B$9,Paramètres!$A$1:$I$89,3,0)*0.475*44/12</f>
        <v>1.2530472892394056E-12</v>
      </c>
      <c r="AC113" s="22">
        <f t="shared" si="57"/>
        <v>1.929471869834938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553.99999999999955</v>
      </c>
      <c r="AJ113" s="13">
        <f>AI113*VLOOKUP('Données projet'!$B$10,Paramètres!$A$1:$I$89,3,0)*VLOOKUP('Données projet'!$B$10,Paramètres!$A$1:$I$89,5,0)</f>
        <v>331.29199999999975</v>
      </c>
      <c r="AK113" s="13">
        <f t="shared" si="89"/>
        <v>77.698110787752</v>
      </c>
      <c r="AL113" s="20">
        <f t="shared" si="58"/>
        <v>712.32444295533423</v>
      </c>
      <c r="AM113" s="59">
        <f t="shared" si="59"/>
        <v>1005.6577762886675</v>
      </c>
      <c r="AN113" s="59">
        <f ca="1">AVERAGE(OFFSET($AM$3,0,0,'Données projet'!$E$10+1,1))-AVERAGE(OFFSET($H$3,0,0,'Données projet'!$E$10+1,1))</f>
        <v>316.58509520829671</v>
      </c>
      <c r="AO113" s="59">
        <f t="shared" si="90"/>
        <v>240.71332110643596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0.51979469332961892</v>
      </c>
      <c r="AV113" s="21">
        <f>EXP(-LN(2)/25)*AV112+(1-EXP(-LN(2)/25))/(LN(2)/25)*Calculateur!AQ113*Calculateur!AS113*VLOOKUP('Données projet'!$B$10,Paramètres!$A$1:$I$89,3,0)*0.475*44/12</f>
        <v>1.6614377758722996</v>
      </c>
      <c r="AW113" s="21">
        <f>EXP(-LN(2)/2)*AW112+(1-EXP(-LN(2)/2))/(LN(2)/2)*AQ113*AT113*VLOOKUP('Données projet'!$B$10,Paramètres!$A$1:$I$89,3,0)*0.475*44/12</f>
        <v>1.995371628267178E-11</v>
      </c>
      <c r="AX113" s="21">
        <f t="shared" si="60"/>
        <v>2.1812324692218725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-1.8089849618263545E-13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314.94704727988847</v>
      </c>
      <c r="BJ113" s="59">
        <f t="shared" si="92"/>
        <v>366.49199094166454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0.80302391447150157</v>
      </c>
      <c r="BQ113" s="21">
        <f>EXP(-LN(2)/25)*BQ112+(1-EXP(-LN(2)/25))/(LN(2)/25)*Calculateur!BL113*Calculateur!BN113*VLOOKUP('Données projet'!$B$11,Paramètres!$A$1:$I$89,3,0)*0.475*44/12</f>
        <v>2.7647481135649086</v>
      </c>
      <c r="BR113" s="21">
        <f>EXP(-LN(2)/2)*BR112+(1-EXP(-LN(2)/2))/(LN(2)/2)*BL113*BO113*VLOOKUP('Données projet'!$B$11,Paramètres!$A$1:$I$89,3,0)*0.475*44/12</f>
        <v>2.6256417714425993E-11</v>
      </c>
      <c r="BS113" s="22">
        <f t="shared" si="63"/>
        <v>3.5677720280626666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-1.8089849618263545E-13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314.94704727988847</v>
      </c>
      <c r="CE113" s="59">
        <f t="shared" si="94"/>
        <v>366.49199094166454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0.80302391447150157</v>
      </c>
      <c r="CL113" s="21">
        <f>EXP(-LN(2)/25)*CL112+(1-EXP(-LN(2)/25))/(LN(2)/25)*Calculateur!CG113*Calculateur!CI113*VLOOKUP('Données projet'!$B$12,Paramètres!$A$1:$I$89,3,0)*0.475*44/12</f>
        <v>2.7647481135649086</v>
      </c>
      <c r="CM113" s="21">
        <f>EXP(-LN(2)/2)*CM112+(1-EXP(-LN(2)/2))/(LN(2)/2)*CG113*CJ113*VLOOKUP('Données projet'!$B$12,Paramètres!$A$1:$I$89,3,0)*0.475*44/12</f>
        <v>2.6256417714425993E-11</v>
      </c>
      <c r="CN113" s="22">
        <f t="shared" si="66"/>
        <v>3.5677720280626666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6.8461538461538511</v>
      </c>
      <c r="CT113" s="12">
        <f>IF('Données projet'!$A$140&gt;35,CT112+CS113-DB112,IF(A113&lt;'Données projet'!$A$140,$CQ$205^A113,IF(A113='Données projet'!$A$140,'Données projet'!$B$140,CT112+CS113-DB112)))</f>
        <v>295.72435897435912</v>
      </c>
      <c r="CU113" s="17">
        <f>CT113*VLOOKUP('Données projet'!$B$13,Paramètres!$A$1:$I$89,3,0)*VLOOKUP('Données projet'!$B$13,Paramètres!$A$1:$I$89,5,0)</f>
        <v>267.57140000000015</v>
      </c>
      <c r="CV113" s="13">
        <f t="shared" si="95"/>
        <v>64.333588350286448</v>
      </c>
      <c r="CW113" s="20">
        <f t="shared" si="67"/>
        <v>578.06785471008243</v>
      </c>
      <c r="CX113" s="59">
        <f t="shared" si="68"/>
        <v>871.40118804341569</v>
      </c>
      <c r="CY113" s="59">
        <f ca="1">AVERAGE(OFFSET($CX$3,0,0,'Données projet'!$E$13+1,1))-AVERAGE(OFFSET($H$3,0,0,'Données projet'!$E$13+1,1))</f>
        <v>221.7429870520005</v>
      </c>
      <c r="CZ113" s="59">
        <f t="shared" si="96"/>
        <v>182.2029938397186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-1.0345502232667058E-13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199.01551760562705</v>
      </c>
      <c r="T114" s="59">
        <f t="shared" si="88"/>
        <v>269.50915104901367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0.50570167316010961</v>
      </c>
      <c r="AA114" s="21">
        <f>EXP(-LN(2)/25)*AA113+(1-EXP(-LN(2)/25))/(LN(2)/25)*Calculateur!V114*Calculateur!X114*VLOOKUP('Données projet'!$B$9,Paramètres!$A$1:$I$89,3,0)*0.475*44/12</f>
        <v>1.3749988694552284</v>
      </c>
      <c r="AB114" s="21">
        <f>EXP(-LN(2)/2)*AB113+(1-EXP(-LN(2)/2))/(LN(2)/2)*V114*Y114*VLOOKUP('Données projet'!$B$9,Paramètres!$A$1:$I$89,3,0)*0.475*44/12</f>
        <v>8.8603823536860499E-13</v>
      </c>
      <c r="AC114" s="22">
        <f t="shared" si="57"/>
        <v>1.880700542616224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553.99999999999955</v>
      </c>
      <c r="AJ114" s="13">
        <f>AI114*VLOOKUP('Données projet'!$B$10,Paramètres!$A$1:$I$89,3,0)*VLOOKUP('Données projet'!$B$10,Paramètres!$A$1:$I$89,5,0)</f>
        <v>331.29199999999975</v>
      </c>
      <c r="AK114" s="13">
        <f t="shared" si="89"/>
        <v>77.698110787752</v>
      </c>
      <c r="AL114" s="20">
        <f t="shared" si="58"/>
        <v>712.32444295533423</v>
      </c>
      <c r="AM114" s="59">
        <f t="shared" si="59"/>
        <v>1005.6577762886675</v>
      </c>
      <c r="AN114" s="59">
        <f ca="1">AVERAGE(OFFSET($AM$3,0,0,'Données projet'!$E$10+1,1))-AVERAGE(OFFSET($H$3,0,0,'Données projet'!$E$10+1,1))</f>
        <v>316.58509520829671</v>
      </c>
      <c r="AO114" s="59">
        <f t="shared" si="90"/>
        <v>240.71332110643596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0.50960183643688262</v>
      </c>
      <c r="AV114" s="21">
        <f>EXP(-LN(2)/25)*AV113+(1-EXP(-LN(2)/25))/(LN(2)/25)*Calculateur!AQ114*Calculateur!AS114*VLOOKUP('Données projet'!$B$10,Paramètres!$A$1:$I$89,3,0)*0.475*44/12</f>
        <v>1.6160056725198562</v>
      </c>
      <c r="AW114" s="21">
        <f>EXP(-LN(2)/2)*AW113+(1-EXP(-LN(2)/2))/(LN(2)/2)*AQ114*AT114*VLOOKUP('Données projet'!$B$10,Paramètres!$A$1:$I$89,3,0)*0.475*44/12</f>
        <v>1.4109408093349647E-11</v>
      </c>
      <c r="AX114" s="21">
        <f t="shared" si="60"/>
        <v>2.1256075089708482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-1.8089849618263545E-13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314.94704727988847</v>
      </c>
      <c r="BJ114" s="59">
        <f t="shared" si="92"/>
        <v>366.49199094166454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0.78727710530493988</v>
      </c>
      <c r="BQ114" s="21">
        <f>EXP(-LN(2)/25)*BQ113+(1-EXP(-LN(2)/25))/(LN(2)/25)*Calculateur!BL114*Calculateur!BN114*VLOOKUP('Données projet'!$B$11,Paramètres!$A$1:$I$89,3,0)*0.475*44/12</f>
        <v>2.6891459310076917</v>
      </c>
      <c r="BR114" s="21">
        <f>EXP(-LN(2)/2)*BR113+(1-EXP(-LN(2)/2))/(LN(2)/2)*BL114*BO114*VLOOKUP('Données projet'!$B$11,Paramètres!$A$1:$I$89,3,0)*0.475*44/12</f>
        <v>1.856609101553721E-11</v>
      </c>
      <c r="BS114" s="22">
        <f t="shared" si="63"/>
        <v>3.4764230363311976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-1.8089849618263545E-13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314.94704727988847</v>
      </c>
      <c r="CE114" s="59">
        <f t="shared" si="94"/>
        <v>366.49199094166454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0.78727710530493988</v>
      </c>
      <c r="CL114" s="21">
        <f>EXP(-LN(2)/25)*CL113+(1-EXP(-LN(2)/25))/(LN(2)/25)*Calculateur!CG114*Calculateur!CI114*VLOOKUP('Données projet'!$B$12,Paramètres!$A$1:$I$89,3,0)*0.475*44/12</f>
        <v>2.6891459310076917</v>
      </c>
      <c r="CM114" s="21">
        <f>EXP(-LN(2)/2)*CM113+(1-EXP(-LN(2)/2))/(LN(2)/2)*CG114*CJ114*VLOOKUP('Données projet'!$B$12,Paramètres!$A$1:$I$89,3,0)*0.475*44/12</f>
        <v>1.856609101553721E-11</v>
      </c>
      <c r="CN114" s="22">
        <f t="shared" si="66"/>
        <v>3.4764230363311976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6.8461538461538511</v>
      </c>
      <c r="CT114" s="12">
        <f>IF('Données projet'!$A$140&gt;35,CT113+CS114-DB113,IF(A114&lt;'Données projet'!$A$140,$CQ$205^A114,IF(A114='Données projet'!$A$140,'Données projet'!$B$140,CT113+CS114-DB113)))</f>
        <v>302.57051282051299</v>
      </c>
      <c r="CU114" s="17">
        <f>CT114*VLOOKUP('Données projet'!$B$13,Paramètres!$A$1:$I$89,3,0)*VLOOKUP('Données projet'!$B$13,Paramètres!$A$1:$I$89,5,0)</f>
        <v>273.76580000000013</v>
      </c>
      <c r="CV114" s="13">
        <f t="shared" si="95"/>
        <v>65.647821692657857</v>
      </c>
      <c r="CW114" s="20">
        <f t="shared" si="67"/>
        <v>591.14539111471265</v>
      </c>
      <c r="CX114" s="59">
        <f t="shared" si="68"/>
        <v>884.47872444804602</v>
      </c>
      <c r="CY114" s="59">
        <f ca="1">AVERAGE(OFFSET($CX$3,0,0,'Données projet'!$E$13+1,1))-AVERAGE(OFFSET($H$3,0,0,'Données projet'!$E$13+1,1))</f>
        <v>221.7429870520005</v>
      </c>
      <c r="CZ114" s="59">
        <f t="shared" si="96"/>
        <v>182.2029938397186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-1.0345502232667058E-13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199.01551760562705</v>
      </c>
      <c r="T115" s="59">
        <f t="shared" si="88"/>
        <v>269.50915104901367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0.49578517179700382</v>
      </c>
      <c r="AA115" s="21">
        <f>EXP(-LN(2)/25)*AA114+(1-EXP(-LN(2)/25))/(LN(2)/25)*Calculateur!V115*Calculateur!X115*VLOOKUP('Données projet'!$B$9,Paramètres!$A$1:$I$89,3,0)*0.475*44/12</f>
        <v>1.3373994530619273</v>
      </c>
      <c r="AB115" s="21">
        <f>EXP(-LN(2)/2)*AB114+(1-EXP(-LN(2)/2))/(LN(2)/2)*V115*Y115*VLOOKUP('Données projet'!$B$9,Paramètres!$A$1:$I$89,3,0)*0.475*44/12</f>
        <v>6.2652364461970289E-13</v>
      </c>
      <c r="AC115" s="22">
        <f t="shared" si="57"/>
        <v>1.8331846248595578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553.99999999999955</v>
      </c>
      <c r="AJ115" s="13">
        <f>AI115*VLOOKUP('Données projet'!$B$10,Paramètres!$A$1:$I$89,3,0)*VLOOKUP('Données projet'!$B$10,Paramètres!$A$1:$I$89,5,0)</f>
        <v>331.29199999999975</v>
      </c>
      <c r="AK115" s="13">
        <f t="shared" si="89"/>
        <v>77.698110787752</v>
      </c>
      <c r="AL115" s="20">
        <f t="shared" si="58"/>
        <v>712.32444295533423</v>
      </c>
      <c r="AM115" s="59">
        <f t="shared" si="59"/>
        <v>1005.6577762886675</v>
      </c>
      <c r="AN115" s="59">
        <f ca="1">AVERAGE(OFFSET($AM$3,0,0,'Données projet'!$E$10+1,1))-AVERAGE(OFFSET($H$3,0,0,'Données projet'!$E$10+1,1))</f>
        <v>316.58509520829671</v>
      </c>
      <c r="AO115" s="59">
        <f t="shared" si="90"/>
        <v>240.71332110643596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0.49960885525078402</v>
      </c>
      <c r="AV115" s="21">
        <f>EXP(-LN(2)/25)*AV114+(1-EXP(-LN(2)/25))/(LN(2)/25)*Calculateur!AQ115*Calculateur!AS115*VLOOKUP('Données projet'!$B$10,Paramètres!$A$1:$I$89,3,0)*0.475*44/12</f>
        <v>1.5718159124227558</v>
      </c>
      <c r="AW115" s="21">
        <f>EXP(-LN(2)/2)*AW114+(1-EXP(-LN(2)/2))/(LN(2)/2)*AQ115*AT115*VLOOKUP('Données projet'!$B$10,Paramètres!$A$1:$I$89,3,0)*0.475*44/12</f>
        <v>9.9768581413358919E-12</v>
      </c>
      <c r="AX115" s="21">
        <f t="shared" si="60"/>
        <v>2.0714247676835167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-1.8089849618263545E-13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314.94704727988847</v>
      </c>
      <c r="BJ115" s="59">
        <f t="shared" si="92"/>
        <v>366.49199094166454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0.77183908146152924</v>
      </c>
      <c r="BQ115" s="21">
        <f>EXP(-LN(2)/25)*BQ114+(1-EXP(-LN(2)/25))/(LN(2)/25)*Calculateur!BL115*Calculateur!BN115*VLOOKUP('Données projet'!$B$11,Paramètres!$A$1:$I$89,3,0)*0.475*44/12</f>
        <v>2.6156110941082482</v>
      </c>
      <c r="BR115" s="21">
        <f>EXP(-LN(2)/2)*BR114+(1-EXP(-LN(2)/2))/(LN(2)/2)*BL115*BO115*VLOOKUP('Données projet'!$B$11,Paramètres!$A$1:$I$89,3,0)*0.475*44/12</f>
        <v>1.3128208857212996E-11</v>
      </c>
      <c r="BS115" s="22">
        <f t="shared" si="63"/>
        <v>3.3874501755829058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-1.8089849618263545E-13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314.94704727988847</v>
      </c>
      <c r="CE115" s="59">
        <f t="shared" si="94"/>
        <v>366.49199094166454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0.77183908146152924</v>
      </c>
      <c r="CL115" s="21">
        <f>EXP(-LN(2)/25)*CL114+(1-EXP(-LN(2)/25))/(LN(2)/25)*Calculateur!CG115*Calculateur!CI115*VLOOKUP('Données projet'!$B$12,Paramètres!$A$1:$I$89,3,0)*0.475*44/12</f>
        <v>2.6156110941082482</v>
      </c>
      <c r="CM115" s="21">
        <f>EXP(-LN(2)/2)*CM114+(1-EXP(-LN(2)/2))/(LN(2)/2)*CG115*CJ115*VLOOKUP('Données projet'!$B$12,Paramètres!$A$1:$I$89,3,0)*0.475*44/12</f>
        <v>1.3128208857212996E-11</v>
      </c>
      <c r="CN115" s="22">
        <f t="shared" si="66"/>
        <v>3.3874501755829058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6.8461538461538511</v>
      </c>
      <c r="CT115" s="12">
        <f>IF('Données projet'!$A$140&gt;35,CT114+CS115-DB114,IF(A115&lt;'Données projet'!$A$140,$CQ$205^A115,IF(A115='Données projet'!$A$140,'Données projet'!$B$140,CT114+CS115-DB114)))</f>
        <v>309.41666666666686</v>
      </c>
      <c r="CU115" s="17">
        <f>CT115*VLOOKUP('Données projet'!$B$13,Paramètres!$A$1:$I$89,3,0)*VLOOKUP('Données projet'!$B$13,Paramètres!$A$1:$I$89,5,0)</f>
        <v>279.96020000000016</v>
      </c>
      <c r="CV115" s="13">
        <f t="shared" si="95"/>
        <v>66.958597927408931</v>
      </c>
      <c r="CW115" s="20">
        <f t="shared" si="67"/>
        <v>604.21690639023745</v>
      </c>
      <c r="CX115" s="59">
        <f t="shared" si="68"/>
        <v>897.55023972357071</v>
      </c>
      <c r="CY115" s="59">
        <f ca="1">AVERAGE(OFFSET($CX$3,0,0,'Données projet'!$E$13+1,1))-AVERAGE(OFFSET($H$3,0,0,'Données projet'!$E$13+1,1))</f>
        <v>221.7429870520005</v>
      </c>
      <c r="CZ115" s="59">
        <f t="shared" si="96"/>
        <v>182.2029938397186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-1.0345502232667058E-13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199.01551760562705</v>
      </c>
      <c r="T116" s="59">
        <f t="shared" si="88"/>
        <v>269.50915104901367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0.48606312697715992</v>
      </c>
      <c r="AA116" s="21">
        <f>EXP(-LN(2)/25)*AA115+(1-EXP(-LN(2)/25))/(LN(2)/25)*Calculateur!V116*Calculateur!X116*VLOOKUP('Données projet'!$B$9,Paramètres!$A$1:$I$89,3,0)*0.475*44/12</f>
        <v>1.3008281946871683</v>
      </c>
      <c r="AB116" s="21">
        <f>EXP(-LN(2)/2)*AB115+(1-EXP(-LN(2)/2))/(LN(2)/2)*V116*Y116*VLOOKUP('Données projet'!$B$9,Paramètres!$A$1:$I$89,3,0)*0.475*44/12</f>
        <v>4.4301911768430255E-13</v>
      </c>
      <c r="AC116" s="22">
        <f t="shared" si="57"/>
        <v>1.7868913216647713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553.99999999999955</v>
      </c>
      <c r="AJ116" s="13">
        <f>AI116*VLOOKUP('Données projet'!$B$10,Paramètres!$A$1:$I$89,3,0)*VLOOKUP('Données projet'!$B$10,Paramètres!$A$1:$I$89,5,0)</f>
        <v>331.29199999999975</v>
      </c>
      <c r="AK116" s="13">
        <f t="shared" si="89"/>
        <v>77.698110787752</v>
      </c>
      <c r="AL116" s="20">
        <f t="shared" si="58"/>
        <v>712.32444295533423</v>
      </c>
      <c r="AM116" s="59">
        <f t="shared" si="59"/>
        <v>1005.6577762886675</v>
      </c>
      <c r="AN116" s="59">
        <f ca="1">AVERAGE(OFFSET($AM$3,0,0,'Données projet'!$E$10+1,1))-AVERAGE(OFFSET($H$3,0,0,'Données projet'!$E$10+1,1))</f>
        <v>316.58509520829671</v>
      </c>
      <c r="AO116" s="59">
        <f t="shared" si="90"/>
        <v>240.71332110643596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0.48981183033062814</v>
      </c>
      <c r="AV116" s="21">
        <f>EXP(-LN(2)/25)*AV115+(1-EXP(-LN(2)/25))/(LN(2)/25)*Calculateur!AQ116*Calculateur!AS116*VLOOKUP('Données projet'!$B$10,Paramètres!$A$1:$I$89,3,0)*0.475*44/12</f>
        <v>1.528834523639349</v>
      </c>
      <c r="AW116" s="21">
        <f>EXP(-LN(2)/2)*AW115+(1-EXP(-LN(2)/2))/(LN(2)/2)*AQ116*AT116*VLOOKUP('Données projet'!$B$10,Paramètres!$A$1:$I$89,3,0)*0.475*44/12</f>
        <v>7.0547040466748241E-12</v>
      </c>
      <c r="AX116" s="21">
        <f t="shared" si="60"/>
        <v>2.0186463539770321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-1.8089849618263545E-13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314.94704727988847</v>
      </c>
      <c r="BJ116" s="59">
        <f t="shared" si="92"/>
        <v>366.49199094166454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0.75670378784942316</v>
      </c>
      <c r="BQ116" s="21">
        <f>EXP(-LN(2)/25)*BQ115+(1-EXP(-LN(2)/25))/(LN(2)/25)*Calculateur!BL116*Calculateur!BN116*VLOOKUP('Données projet'!$B$11,Paramètres!$A$1:$I$89,3,0)*0.475*44/12</f>
        <v>2.544087071190849</v>
      </c>
      <c r="BR116" s="21">
        <f>EXP(-LN(2)/2)*BR115+(1-EXP(-LN(2)/2))/(LN(2)/2)*BL116*BO116*VLOOKUP('Données projet'!$B$11,Paramètres!$A$1:$I$89,3,0)*0.475*44/12</f>
        <v>9.2830455077686052E-12</v>
      </c>
      <c r="BS116" s="22">
        <f t="shared" si="63"/>
        <v>3.3007908590495552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-1.8089849618263545E-13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314.94704727988847</v>
      </c>
      <c r="CE116" s="59">
        <f t="shared" si="94"/>
        <v>366.49199094166454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0.75670378784942316</v>
      </c>
      <c r="CL116" s="21">
        <f>EXP(-LN(2)/25)*CL115+(1-EXP(-LN(2)/25))/(LN(2)/25)*Calculateur!CG116*Calculateur!CI116*VLOOKUP('Données projet'!$B$12,Paramètres!$A$1:$I$89,3,0)*0.475*44/12</f>
        <v>2.544087071190849</v>
      </c>
      <c r="CM116" s="21">
        <f>EXP(-LN(2)/2)*CM115+(1-EXP(-LN(2)/2))/(LN(2)/2)*CG116*CJ116*VLOOKUP('Données projet'!$B$12,Paramètres!$A$1:$I$89,3,0)*0.475*44/12</f>
        <v>9.2830455077686052E-12</v>
      </c>
      <c r="CN116" s="22">
        <f t="shared" si="66"/>
        <v>3.3007908590495552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6.8461538461538511</v>
      </c>
      <c r="CT116" s="12">
        <f>IF('Données projet'!$A$140&gt;35,CT115+CS116-DB115,IF(A116&lt;'Données projet'!$A$140,$CQ$205^A116,IF(A116='Données projet'!$A$140,'Données projet'!$B$140,CT115+CS116-DB115)))</f>
        <v>316.26282051282072</v>
      </c>
      <c r="CU116" s="17">
        <f>CT116*VLOOKUP('Données projet'!$B$13,Paramètres!$A$1:$I$89,3,0)*VLOOKUP('Données projet'!$B$13,Paramètres!$A$1:$I$89,5,0)</f>
        <v>286.15460000000019</v>
      </c>
      <c r="CV116" s="13">
        <f t="shared" si="95"/>
        <v>68.266002354364261</v>
      </c>
      <c r="CW116" s="20">
        <f t="shared" si="67"/>
        <v>617.28254910051817</v>
      </c>
      <c r="CX116" s="59">
        <f t="shared" si="68"/>
        <v>910.61588243385154</v>
      </c>
      <c r="CY116" s="59">
        <f ca="1">AVERAGE(OFFSET($CX$3,0,0,'Données projet'!$E$13+1,1))-AVERAGE(OFFSET($H$3,0,0,'Données projet'!$E$13+1,1))</f>
        <v>221.7429870520005</v>
      </c>
      <c r="CZ116" s="59">
        <f t="shared" si="96"/>
        <v>182.2029938397186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-1.0345502232667058E-13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199.01551760562705</v>
      </c>
      <c r="T117" s="59">
        <f t="shared" si="88"/>
        <v>269.50915104901367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0.47653172552637135</v>
      </c>
      <c r="AA117" s="21">
        <f>EXP(-LN(2)/25)*AA116+(1-EXP(-LN(2)/25))/(LN(2)/25)*Calculateur!V117*Calculateur!X117*VLOOKUP('Données projet'!$B$9,Paramètres!$A$1:$I$89,3,0)*0.475*44/12</f>
        <v>1.2652569792958659</v>
      </c>
      <c r="AB117" s="21">
        <f>EXP(-LN(2)/2)*AB116+(1-EXP(-LN(2)/2))/(LN(2)/2)*V117*Y117*VLOOKUP('Données projet'!$B$9,Paramètres!$A$1:$I$89,3,0)*0.475*44/12</f>
        <v>3.132618223098515E-13</v>
      </c>
      <c r="AC117" s="22">
        <f t="shared" si="57"/>
        <v>1.7417887048225504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553.99999999999955</v>
      </c>
      <c r="AJ117" s="13">
        <f>AI117*VLOOKUP('Données projet'!$B$10,Paramètres!$A$1:$I$89,3,0)*VLOOKUP('Données projet'!$B$10,Paramètres!$A$1:$I$89,5,0)</f>
        <v>331.29199999999975</v>
      </c>
      <c r="AK117" s="13">
        <f t="shared" si="89"/>
        <v>77.698110787752</v>
      </c>
      <c r="AL117" s="20">
        <f t="shared" si="58"/>
        <v>712.32444295533423</v>
      </c>
      <c r="AM117" s="59">
        <f t="shared" si="59"/>
        <v>1005.6577762886675</v>
      </c>
      <c r="AN117" s="59">
        <f ca="1">AVERAGE(OFFSET($AM$3,0,0,'Données projet'!$E$10+1,1))-AVERAGE(OFFSET($H$3,0,0,'Données projet'!$E$10+1,1))</f>
        <v>316.58509520829671</v>
      </c>
      <c r="AO117" s="59">
        <f t="shared" si="90"/>
        <v>240.71332110643596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0.48020691909356134</v>
      </c>
      <c r="AV117" s="21">
        <f>EXP(-LN(2)/25)*AV116+(1-EXP(-LN(2)/25))/(LN(2)/25)*Calculateur!AQ117*Calculateur!AS117*VLOOKUP('Données projet'!$B$10,Paramètres!$A$1:$I$89,3,0)*0.475*44/12</f>
        <v>1.4870284631925177</v>
      </c>
      <c r="AW117" s="21">
        <f>EXP(-LN(2)/2)*AW116+(1-EXP(-LN(2)/2))/(LN(2)/2)*AQ117*AT117*VLOOKUP('Données projet'!$B$10,Paramètres!$A$1:$I$89,3,0)*0.475*44/12</f>
        <v>4.9884290706679467E-12</v>
      </c>
      <c r="AX117" s="21">
        <f t="shared" si="60"/>
        <v>1.9672353822910675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-1.8089849618263545E-13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314.94704727988847</v>
      </c>
      <c r="BJ117" s="59">
        <f t="shared" si="92"/>
        <v>366.49199094166454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0.74186528811343289</v>
      </c>
      <c r="BQ117" s="21">
        <f>EXP(-LN(2)/25)*BQ116+(1-EXP(-LN(2)/25))/(LN(2)/25)*Calculateur!BL117*Calculateur!BN117*VLOOKUP('Données projet'!$B$11,Paramètres!$A$1:$I$89,3,0)*0.475*44/12</f>
        <v>2.4745188764414108</v>
      </c>
      <c r="BR117" s="21">
        <f>EXP(-LN(2)/2)*BR116+(1-EXP(-LN(2)/2))/(LN(2)/2)*BL117*BO117*VLOOKUP('Données projet'!$B$11,Paramètres!$A$1:$I$89,3,0)*0.475*44/12</f>
        <v>6.5641044286064982E-12</v>
      </c>
      <c r="BS117" s="22">
        <f t="shared" si="63"/>
        <v>3.2163841645614077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-1.8089849618263545E-13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314.94704727988847</v>
      </c>
      <c r="CE117" s="59">
        <f t="shared" si="94"/>
        <v>366.49199094166454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0.74186528811343289</v>
      </c>
      <c r="CL117" s="21">
        <f>EXP(-LN(2)/25)*CL116+(1-EXP(-LN(2)/25))/(LN(2)/25)*Calculateur!CG117*Calculateur!CI117*VLOOKUP('Données projet'!$B$12,Paramètres!$A$1:$I$89,3,0)*0.475*44/12</f>
        <v>2.4745188764414108</v>
      </c>
      <c r="CM117" s="21">
        <f>EXP(-LN(2)/2)*CM116+(1-EXP(-LN(2)/2))/(LN(2)/2)*CG117*CJ117*VLOOKUP('Données projet'!$B$12,Paramètres!$A$1:$I$89,3,0)*0.475*44/12</f>
        <v>6.5641044286064982E-12</v>
      </c>
      <c r="CN117" s="22">
        <f t="shared" si="66"/>
        <v>3.2163841645614077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6.8461538461538511</v>
      </c>
      <c r="CT117" s="12">
        <f>IF('Données projet'!$A$140&gt;35,CT116+CS117-DB116,IF(A117&lt;'Données projet'!$A$140,$CQ$205^A117,IF(A117='Données projet'!$A$140,'Données projet'!$B$140,CT116+CS117-DB116)))</f>
        <v>323.10897435897459</v>
      </c>
      <c r="CU117" s="17">
        <f>CT117*VLOOKUP('Données projet'!$B$13,Paramètres!$A$1:$I$89,3,0)*VLOOKUP('Données projet'!$B$13,Paramètres!$A$1:$I$89,5,0)</f>
        <v>292.34900000000022</v>
      </c>
      <c r="CV117" s="13">
        <f t="shared" si="95"/>
        <v>69.570116369442928</v>
      </c>
      <c r="CW117" s="20">
        <f t="shared" si="67"/>
        <v>630.34246101011342</v>
      </c>
      <c r="CX117" s="59">
        <f t="shared" si="68"/>
        <v>923.6757943434468</v>
      </c>
      <c r="CY117" s="59">
        <f ca="1">AVERAGE(OFFSET($CX$3,0,0,'Données projet'!$E$13+1,1))-AVERAGE(OFFSET($H$3,0,0,'Données projet'!$E$13+1,1))</f>
        <v>221.7429870520005</v>
      </c>
      <c r="CZ117" s="59">
        <f t="shared" si="96"/>
        <v>182.2029938397186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-1.0345502232667058E-13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199.01551760562705</v>
      </c>
      <c r="T118" s="59">
        <f t="shared" si="88"/>
        <v>269.50915104901367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0.46718722904445192</v>
      </c>
      <c r="AA118" s="21">
        <f>EXP(-LN(2)/25)*AA117+(1-EXP(-LN(2)/25))/(LN(2)/25)*Calculateur!V118*Calculateur!X118*VLOOKUP('Données projet'!$B$9,Paramètres!$A$1:$I$89,3,0)*0.475*44/12</f>
        <v>1.2306584606600477</v>
      </c>
      <c r="AB118" s="21">
        <f>EXP(-LN(2)/2)*AB117+(1-EXP(-LN(2)/2))/(LN(2)/2)*V118*Y118*VLOOKUP('Données projet'!$B$9,Paramètres!$A$1:$I$89,3,0)*0.475*44/12</f>
        <v>2.215095588421513E-13</v>
      </c>
      <c r="AC118" s="22">
        <f t="shared" si="57"/>
        <v>1.6978456897047212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553.99999999999955</v>
      </c>
      <c r="AJ118" s="13">
        <f>AI118*VLOOKUP('Données projet'!$B$10,Paramètres!$A$1:$I$89,3,0)*VLOOKUP('Données projet'!$B$10,Paramètres!$A$1:$I$89,5,0)</f>
        <v>331.29199999999975</v>
      </c>
      <c r="AK118" s="13">
        <f t="shared" si="89"/>
        <v>77.698110787752</v>
      </c>
      <c r="AL118" s="20">
        <f t="shared" si="58"/>
        <v>712.32444295533423</v>
      </c>
      <c r="AM118" s="59">
        <f t="shared" si="59"/>
        <v>1005.6577762886675</v>
      </c>
      <c r="AN118" s="59">
        <f ca="1">AVERAGE(OFFSET($AM$3,0,0,'Données projet'!$E$10+1,1))-AVERAGE(OFFSET($H$3,0,0,'Données projet'!$E$10+1,1))</f>
        <v>316.58509520829671</v>
      </c>
      <c r="AO118" s="59">
        <f t="shared" si="90"/>
        <v>240.71332110643596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0.47079035430743604</v>
      </c>
      <c r="AV118" s="21">
        <f>EXP(-LN(2)/25)*AV117+(1-EXP(-LN(2)/25))/(LN(2)/25)*Calculateur!AQ118*Calculateur!AS118*VLOOKUP('Données projet'!$B$10,Paramètres!$A$1:$I$89,3,0)*0.475*44/12</f>
        <v>1.4463655916670901</v>
      </c>
      <c r="AW118" s="21">
        <f>EXP(-LN(2)/2)*AW117+(1-EXP(-LN(2)/2))/(LN(2)/2)*AQ118*AT118*VLOOKUP('Données projet'!$B$10,Paramètres!$A$1:$I$89,3,0)*0.475*44/12</f>
        <v>3.5273520233374125E-12</v>
      </c>
      <c r="AX118" s="21">
        <f t="shared" si="60"/>
        <v>1.9171559459780536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-1.8089849618263545E-13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314.94704727988847</v>
      </c>
      <c r="BJ118" s="59">
        <f t="shared" si="92"/>
        <v>366.49199094166454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0.72731776230667422</v>
      </c>
      <c r="BQ118" s="21">
        <f>EXP(-LN(2)/25)*BQ117+(1-EXP(-LN(2)/25))/(LN(2)/25)*Calculateur!BL118*Calculateur!BN118*VLOOKUP('Données projet'!$B$11,Paramètres!$A$1:$I$89,3,0)*0.475*44/12</f>
        <v>2.4068530276358282</v>
      </c>
      <c r="BR118" s="21">
        <f>EXP(-LN(2)/2)*BR117+(1-EXP(-LN(2)/2))/(LN(2)/2)*BL118*BO118*VLOOKUP('Données projet'!$B$11,Paramètres!$A$1:$I$89,3,0)*0.475*44/12</f>
        <v>4.6415227538843026E-12</v>
      </c>
      <c r="BS118" s="22">
        <f t="shared" si="63"/>
        <v>3.1341707899471443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-1.8089849618263545E-13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314.94704727988847</v>
      </c>
      <c r="CE118" s="59">
        <f t="shared" si="94"/>
        <v>366.49199094166454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0.72731776230667422</v>
      </c>
      <c r="CL118" s="21">
        <f>EXP(-LN(2)/25)*CL117+(1-EXP(-LN(2)/25))/(LN(2)/25)*Calculateur!CG118*Calculateur!CI118*VLOOKUP('Données projet'!$B$12,Paramètres!$A$1:$I$89,3,0)*0.475*44/12</f>
        <v>2.4068530276358282</v>
      </c>
      <c r="CM118" s="21">
        <f>EXP(-LN(2)/2)*CM117+(1-EXP(-LN(2)/2))/(LN(2)/2)*CG118*CJ118*VLOOKUP('Données projet'!$B$12,Paramètres!$A$1:$I$89,3,0)*0.475*44/12</f>
        <v>4.6415227538843026E-12</v>
      </c>
      <c r="CN118" s="22">
        <f t="shared" si="66"/>
        <v>3.1341707899471443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6.8461538461538511</v>
      </c>
      <c r="CT118" s="12">
        <f>IF('Données projet'!$A$140&gt;35,CT117+CS118-DB117,IF(A118&lt;'Données projet'!$A$140,$CQ$205^A118,IF(A118='Données projet'!$A$140,'Données projet'!$B$140,CT117+CS118-DB117)))</f>
        <v>329.95512820512846</v>
      </c>
      <c r="CU118" s="17">
        <f>CT118*VLOOKUP('Données projet'!$B$13,Paramètres!$A$1:$I$89,3,0)*VLOOKUP('Données projet'!$B$13,Paramètres!$A$1:$I$89,5,0)</f>
        <v>298.54340000000025</v>
      </c>
      <c r="CV118" s="13">
        <f t="shared" si="95"/>
        <v>70.871017722198957</v>
      </c>
      <c r="CW118" s="20">
        <f t="shared" si="67"/>
        <v>643.39677753283024</v>
      </c>
      <c r="CX118" s="59">
        <f t="shared" si="68"/>
        <v>936.73011086616361</v>
      </c>
      <c r="CY118" s="59">
        <f ca="1">AVERAGE(OFFSET($CX$3,0,0,'Données projet'!$E$13+1,1))-AVERAGE(OFFSET($H$3,0,0,'Données projet'!$E$13+1,1))</f>
        <v>221.7429870520005</v>
      </c>
      <c r="CZ118" s="59">
        <f t="shared" si="96"/>
        <v>182.2029938397186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-1.0345502232667058E-13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199.01551760562705</v>
      </c>
      <c r="T119" s="59">
        <f t="shared" si="88"/>
        <v>269.50915104901367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0.45802597243896287</v>
      </c>
      <c r="AA119" s="21">
        <f>EXP(-LN(2)/25)*AA118+(1-EXP(-LN(2)/25))/(LN(2)/25)*Calculateur!V119*Calculateur!X119*VLOOKUP('Données projet'!$B$9,Paramètres!$A$1:$I$89,3,0)*0.475*44/12</f>
        <v>1.197006040335783</v>
      </c>
      <c r="AB119" s="21">
        <f>EXP(-LN(2)/2)*AB118+(1-EXP(-LN(2)/2))/(LN(2)/2)*V119*Y119*VLOOKUP('Données projet'!$B$9,Paramètres!$A$1:$I$89,3,0)*0.475*44/12</f>
        <v>1.5663091115492577E-13</v>
      </c>
      <c r="AC119" s="22">
        <f t="shared" si="57"/>
        <v>1.6550320127749023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553.99999999999955</v>
      </c>
      <c r="AJ119" s="13">
        <f>AI119*VLOOKUP('Données projet'!$B$10,Paramètres!$A$1:$I$89,3,0)*VLOOKUP('Données projet'!$B$10,Paramètres!$A$1:$I$89,5,0)</f>
        <v>331.29199999999975</v>
      </c>
      <c r="AK119" s="13">
        <f t="shared" si="89"/>
        <v>77.698110787752</v>
      </c>
      <c r="AL119" s="20">
        <f t="shared" si="58"/>
        <v>712.32444295533423</v>
      </c>
      <c r="AM119" s="59">
        <f t="shared" si="59"/>
        <v>1005.6577762886675</v>
      </c>
      <c r="AN119" s="59">
        <f ca="1">AVERAGE(OFFSET($AM$3,0,0,'Données projet'!$E$10+1,1))-AVERAGE(OFFSET($H$3,0,0,'Données projet'!$E$10+1,1))</f>
        <v>316.58509520829671</v>
      </c>
      <c r="AO119" s="59">
        <f t="shared" si="90"/>
        <v>240.71332110643596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0.46155844261322926</v>
      </c>
      <c r="AV119" s="21">
        <f>EXP(-LN(2)/25)*AV118+(1-EXP(-LN(2)/25))/(LN(2)/25)*Calculateur!AQ119*Calculateur!AS119*VLOOKUP('Données projet'!$B$10,Paramètres!$A$1:$I$89,3,0)*0.475*44/12</f>
        <v>1.4068146485018929</v>
      </c>
      <c r="AW119" s="21">
        <f>EXP(-LN(2)/2)*AW118+(1-EXP(-LN(2)/2))/(LN(2)/2)*AQ119*AT119*VLOOKUP('Données projet'!$B$10,Paramètres!$A$1:$I$89,3,0)*0.475*44/12</f>
        <v>2.4942145353339734E-12</v>
      </c>
      <c r="AX119" s="21">
        <f t="shared" si="60"/>
        <v>1.8683730911176164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-1.8089849618263545E-13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314.94704727988847</v>
      </c>
      <c r="BJ119" s="59">
        <f t="shared" si="92"/>
        <v>366.49199094166454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0.71305550460787148</v>
      </c>
      <c r="BQ119" s="21">
        <f>EXP(-LN(2)/25)*BQ118+(1-EXP(-LN(2)/25))/(LN(2)/25)*Calculateur!BL119*Calculateur!BN119*VLOOKUP('Données projet'!$B$11,Paramètres!$A$1:$I$89,3,0)*0.475*44/12</f>
        <v>2.3410375050242265</v>
      </c>
      <c r="BR119" s="21">
        <f>EXP(-LN(2)/2)*BR118+(1-EXP(-LN(2)/2))/(LN(2)/2)*BL119*BO119*VLOOKUP('Données projet'!$B$11,Paramètres!$A$1:$I$89,3,0)*0.475*44/12</f>
        <v>3.2820522143032491E-12</v>
      </c>
      <c r="BS119" s="22">
        <f t="shared" si="63"/>
        <v>3.05409300963538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-1.8089849618263545E-13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314.94704727988847</v>
      </c>
      <c r="CE119" s="59">
        <f t="shared" si="94"/>
        <v>366.49199094166454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0.71305550460787148</v>
      </c>
      <c r="CL119" s="21">
        <f>EXP(-LN(2)/25)*CL118+(1-EXP(-LN(2)/25))/(LN(2)/25)*Calculateur!CG119*Calculateur!CI119*VLOOKUP('Données projet'!$B$12,Paramètres!$A$1:$I$89,3,0)*0.475*44/12</f>
        <v>2.3410375050242265</v>
      </c>
      <c r="CM119" s="21">
        <f>EXP(-LN(2)/2)*CM118+(1-EXP(-LN(2)/2))/(LN(2)/2)*CG119*CJ119*VLOOKUP('Données projet'!$B$12,Paramètres!$A$1:$I$89,3,0)*0.475*44/12</f>
        <v>3.2820522143032491E-12</v>
      </c>
      <c r="CN119" s="22">
        <f t="shared" si="66"/>
        <v>3.05409300963538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6.8461538461538511</v>
      </c>
      <c r="CT119" s="12">
        <f>IF('Données projet'!$A$140&gt;35,CT118+CS119-DB118,IF(A119&lt;'Données projet'!$A$140,$CQ$205^A119,IF(A119='Données projet'!$A$140,'Données projet'!$B$140,CT118+CS119-DB118)))</f>
        <v>336.80128205128233</v>
      </c>
      <c r="CU119" s="17">
        <f>CT119*VLOOKUP('Données projet'!$B$13,Paramètres!$A$1:$I$89,3,0)*VLOOKUP('Données projet'!$B$13,Paramètres!$A$1:$I$89,5,0)</f>
        <v>304.73780000000022</v>
      </c>
      <c r="CV119" s="13">
        <f t="shared" si="95"/>
        <v>72.168780751383082</v>
      </c>
      <c r="CW119" s="20">
        <f t="shared" si="67"/>
        <v>656.44562814199264</v>
      </c>
      <c r="CX119" s="59">
        <f t="shared" si="68"/>
        <v>949.77896147532601</v>
      </c>
      <c r="CY119" s="59">
        <f ca="1">AVERAGE(OFFSET($CX$3,0,0,'Données projet'!$E$13+1,1))-AVERAGE(OFFSET($H$3,0,0,'Données projet'!$E$13+1,1))</f>
        <v>221.7429870520005</v>
      </c>
      <c r="CZ119" s="59">
        <f t="shared" si="96"/>
        <v>182.2029938397186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-1.0345502232667058E-13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199.01551760562705</v>
      </c>
      <c r="T120" s="59">
        <f t="shared" si="88"/>
        <v>269.50915104901367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0.44904436248769269</v>
      </c>
      <c r="AA120" s="21">
        <f>EXP(-LN(2)/25)*AA119+(1-EXP(-LN(2)/25))/(LN(2)/25)*Calculateur!V120*Calculateur!X120*VLOOKUP('Données projet'!$B$9,Paramètres!$A$1:$I$89,3,0)*0.475*44/12</f>
        <v>1.1642738472149892</v>
      </c>
      <c r="AB120" s="21">
        <f>EXP(-LN(2)/2)*AB119+(1-EXP(-LN(2)/2))/(LN(2)/2)*V120*Y120*VLOOKUP('Données projet'!$B$9,Paramètres!$A$1:$I$89,3,0)*0.475*44/12</f>
        <v>1.1075477942107567E-13</v>
      </c>
      <c r="AC120" s="22">
        <f t="shared" si="57"/>
        <v>1.6133182097027927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553.99999999999955</v>
      </c>
      <c r="AJ120" s="13">
        <f>AI120*VLOOKUP('Données projet'!$B$10,Paramètres!$A$1:$I$89,3,0)*VLOOKUP('Données projet'!$B$10,Paramètres!$A$1:$I$89,5,0)</f>
        <v>331.29199999999975</v>
      </c>
      <c r="AK120" s="13">
        <f t="shared" si="89"/>
        <v>77.698110787752</v>
      </c>
      <c r="AL120" s="20">
        <f t="shared" si="58"/>
        <v>712.32444295533423</v>
      </c>
      <c r="AM120" s="59">
        <f t="shared" si="59"/>
        <v>1005.6577762886675</v>
      </c>
      <c r="AN120" s="59">
        <f ca="1">AVERAGE(OFFSET($AM$3,0,0,'Données projet'!$E$10+1,1))-AVERAGE(OFFSET($H$3,0,0,'Données projet'!$E$10+1,1))</f>
        <v>316.58509520829671</v>
      </c>
      <c r="AO120" s="59">
        <f t="shared" si="90"/>
        <v>240.71332110643596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0.45250756307643575</v>
      </c>
      <c r="AV120" s="21">
        <f>EXP(-LN(2)/25)*AV119+(1-EXP(-LN(2)/25))/(LN(2)/25)*Calculateur!AQ120*Calculateur!AS120*VLOOKUP('Données projet'!$B$10,Paramètres!$A$1:$I$89,3,0)*0.475*44/12</f>
        <v>1.3683452279574415</v>
      </c>
      <c r="AW120" s="21">
        <f>EXP(-LN(2)/2)*AW119+(1-EXP(-LN(2)/2))/(LN(2)/2)*AQ120*AT120*VLOOKUP('Données projet'!$B$10,Paramètres!$A$1:$I$89,3,0)*0.475*44/12</f>
        <v>1.7636760116687062E-12</v>
      </c>
      <c r="AX120" s="21">
        <f t="shared" si="60"/>
        <v>1.8208527910356409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-1.8089849618263545E-13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314.94704727988847</v>
      </c>
      <c r="BJ120" s="59">
        <f t="shared" si="92"/>
        <v>366.49199094166454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0.69907292108342411</v>
      </c>
      <c r="BQ120" s="21">
        <f>EXP(-LN(2)/25)*BQ119+(1-EXP(-LN(2)/25))/(LN(2)/25)*Calculateur!BL120*Calculateur!BN120*VLOOKUP('Données projet'!$B$11,Paramètres!$A$1:$I$89,3,0)*0.475*44/12</f>
        <v>2.2770217113395272</v>
      </c>
      <c r="BR120" s="21">
        <f>EXP(-LN(2)/2)*BR119+(1-EXP(-LN(2)/2))/(LN(2)/2)*BL120*BO120*VLOOKUP('Données projet'!$B$11,Paramètres!$A$1:$I$89,3,0)*0.475*44/12</f>
        <v>2.3207613769421513E-12</v>
      </c>
      <c r="BS120" s="22">
        <f t="shared" si="63"/>
        <v>2.9760946324252719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-1.8089849618263545E-13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314.94704727988847</v>
      </c>
      <c r="CE120" s="59">
        <f t="shared" si="94"/>
        <v>366.49199094166454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0.69907292108342411</v>
      </c>
      <c r="CL120" s="21">
        <f>EXP(-LN(2)/25)*CL119+(1-EXP(-LN(2)/25))/(LN(2)/25)*Calculateur!CG120*Calculateur!CI120*VLOOKUP('Données projet'!$B$12,Paramètres!$A$1:$I$89,3,0)*0.475*44/12</f>
        <v>2.2770217113395272</v>
      </c>
      <c r="CM120" s="21">
        <f>EXP(-LN(2)/2)*CM119+(1-EXP(-LN(2)/2))/(LN(2)/2)*CG120*CJ120*VLOOKUP('Données projet'!$B$12,Paramètres!$A$1:$I$89,3,0)*0.475*44/12</f>
        <v>2.3207613769421513E-12</v>
      </c>
      <c r="CN120" s="22">
        <f t="shared" si="66"/>
        <v>2.9760946324252719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6.8461538461538511</v>
      </c>
      <c r="CT120" s="12">
        <f>IF('Données projet'!$A$140&gt;35,CT119+CS120-DB119,IF(A120&lt;'Données projet'!$A$140,$CQ$205^A120,IF(A120='Données projet'!$A$140,'Données projet'!$B$140,CT119+CS120-DB119)))</f>
        <v>343.6474358974362</v>
      </c>
      <c r="CU120" s="17">
        <f>CT120*VLOOKUP('Données projet'!$B$13,Paramètres!$A$1:$I$89,3,0)*VLOOKUP('Données projet'!$B$13,Paramètres!$A$1:$I$89,5,0)</f>
        <v>310.93220000000031</v>
      </c>
      <c r="CV120" s="13">
        <f t="shared" si="95"/>
        <v>73.463476600811546</v>
      </c>
      <c r="CW120" s="20">
        <f t="shared" si="67"/>
        <v>669.48913674641392</v>
      </c>
      <c r="CX120" s="59">
        <f t="shared" si="68"/>
        <v>962.82247007974729</v>
      </c>
      <c r="CY120" s="59">
        <f ca="1">AVERAGE(OFFSET($CX$3,0,0,'Données projet'!$E$13+1,1))-AVERAGE(OFFSET($H$3,0,0,'Données projet'!$E$13+1,1))</f>
        <v>221.7429870520005</v>
      </c>
      <c r="CZ120" s="59">
        <f t="shared" si="96"/>
        <v>182.2029938397186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-1.0345502232667058E-13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199.01551760562705</v>
      </c>
      <c r="T121" s="59">
        <f t="shared" si="88"/>
        <v>269.50915104901367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0.44023887642932574</v>
      </c>
      <c r="AA121" s="21">
        <f>EXP(-LN(2)/25)*AA120+(1-EXP(-LN(2)/25))/(LN(2)/25)*Calculateur!V121*Calculateur!X121*VLOOKUP('Données projet'!$B$9,Paramètres!$A$1:$I$89,3,0)*0.475*44/12</f>
        <v>1.1324367176363948</v>
      </c>
      <c r="AB121" s="21">
        <f>EXP(-LN(2)/2)*AB120+(1-EXP(-LN(2)/2))/(LN(2)/2)*V121*Y121*VLOOKUP('Données projet'!$B$9,Paramètres!$A$1:$I$89,3,0)*0.475*44/12</f>
        <v>7.8315455577462899E-14</v>
      </c>
      <c r="AC121" s="22">
        <f t="shared" si="57"/>
        <v>1.5726755940657988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553.99999999999955</v>
      </c>
      <c r="AJ121" s="13">
        <f>AI121*VLOOKUP('Données projet'!$B$10,Paramètres!$A$1:$I$89,3,0)*VLOOKUP('Données projet'!$B$10,Paramètres!$A$1:$I$89,5,0)</f>
        <v>331.29199999999975</v>
      </c>
      <c r="AK121" s="13">
        <f t="shared" si="89"/>
        <v>77.698110787752</v>
      </c>
      <c r="AL121" s="20">
        <f t="shared" si="58"/>
        <v>712.32444295533423</v>
      </c>
      <c r="AM121" s="59">
        <f t="shared" si="59"/>
        <v>1005.6577762886675</v>
      </c>
      <c r="AN121" s="59">
        <f ca="1">AVERAGE(OFFSET($AM$3,0,0,'Données projet'!$E$10+1,1))-AVERAGE(OFFSET($H$3,0,0,'Données projet'!$E$10+1,1))</f>
        <v>316.58509520829671</v>
      </c>
      <c r="AO121" s="59">
        <f t="shared" si="90"/>
        <v>240.71332110643596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0.44363416576686737</v>
      </c>
      <c r="AV121" s="21">
        <f>EXP(-LN(2)/25)*AV120+(1-EXP(-LN(2)/25))/(LN(2)/25)*Calculateur!AQ121*Calculateur!AS121*VLOOKUP('Données projet'!$B$10,Paramètres!$A$1:$I$89,3,0)*0.475*44/12</f>
        <v>1.330927755740797</v>
      </c>
      <c r="AW121" s="21">
        <f>EXP(-LN(2)/2)*AW120+(1-EXP(-LN(2)/2))/(LN(2)/2)*AQ121*AT121*VLOOKUP('Données projet'!$B$10,Paramètres!$A$1:$I$89,3,0)*0.475*44/12</f>
        <v>1.2471072676669867E-12</v>
      </c>
      <c r="AX121" s="21">
        <f t="shared" si="60"/>
        <v>1.7745619215089115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-1.8089849618263545E-13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314.94704727988847</v>
      </c>
      <c r="BJ121" s="59">
        <f t="shared" si="92"/>
        <v>366.49199094166454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0.6853645274933573</v>
      </c>
      <c r="BQ121" s="21">
        <f>EXP(-LN(2)/25)*BQ120+(1-EXP(-LN(2)/25))/(LN(2)/25)*Calculateur!BL121*Calculateur!BN121*VLOOKUP('Données projet'!$B$11,Paramètres!$A$1:$I$89,3,0)*0.475*44/12</f>
        <v>2.2147564328995801</v>
      </c>
      <c r="BR121" s="21">
        <f>EXP(-LN(2)/2)*BR120+(1-EXP(-LN(2)/2))/(LN(2)/2)*BL121*BO121*VLOOKUP('Données projet'!$B$11,Paramètres!$A$1:$I$89,3,0)*0.475*44/12</f>
        <v>1.6410261071516245E-12</v>
      </c>
      <c r="BS121" s="22">
        <f t="shared" si="63"/>
        <v>2.9001209603945783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-1.8089849618263545E-13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314.94704727988847</v>
      </c>
      <c r="CE121" s="59">
        <f t="shared" si="94"/>
        <v>366.49199094166454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0.6853645274933573</v>
      </c>
      <c r="CL121" s="21">
        <f>EXP(-LN(2)/25)*CL120+(1-EXP(-LN(2)/25))/(LN(2)/25)*Calculateur!CG121*Calculateur!CI121*VLOOKUP('Données projet'!$B$12,Paramètres!$A$1:$I$89,3,0)*0.475*44/12</f>
        <v>2.2147564328995801</v>
      </c>
      <c r="CM121" s="21">
        <f>EXP(-LN(2)/2)*CM120+(1-EXP(-LN(2)/2))/(LN(2)/2)*CG121*CJ121*VLOOKUP('Données projet'!$B$12,Paramètres!$A$1:$I$89,3,0)*0.475*44/12</f>
        <v>1.6410261071516245E-12</v>
      </c>
      <c r="CN121" s="22">
        <f t="shared" si="66"/>
        <v>2.9001209603945783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6.8461538461538511</v>
      </c>
      <c r="CT121" s="12">
        <f>IF('Données projet'!$A$140&gt;35,CT120+CS121-DB120,IF(A121&lt;'Données projet'!$A$140,$CQ$205^A121,IF(A121='Données projet'!$A$140,'Données projet'!$B$140,CT120+CS121-DB120)))</f>
        <v>350.49358974359006</v>
      </c>
      <c r="CU121" s="17">
        <f>CT121*VLOOKUP('Données projet'!$B$13,Paramètres!$A$1:$I$89,3,0)*VLOOKUP('Données projet'!$B$13,Paramètres!$A$1:$I$89,5,0)</f>
        <v>317.12660000000028</v>
      </c>
      <c r="CV121" s="13">
        <f t="shared" si="95"/>
        <v>74.755173417545677</v>
      </c>
      <c r="CW121" s="20">
        <f t="shared" si="67"/>
        <v>682.5274220355592</v>
      </c>
      <c r="CX121" s="59">
        <f t="shared" si="68"/>
        <v>975.86075536889257</v>
      </c>
      <c r="CY121" s="59">
        <f ca="1">AVERAGE(OFFSET($CX$3,0,0,'Données projet'!$E$13+1,1))-AVERAGE(OFFSET($H$3,0,0,'Données projet'!$E$13+1,1))</f>
        <v>221.7429870520005</v>
      </c>
      <c r="CZ121" s="59">
        <f t="shared" si="96"/>
        <v>182.2029938397186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-1.0345502232667058E-13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199.01551760562705</v>
      </c>
      <c r="T122" s="59">
        <f t="shared" si="88"/>
        <v>269.50915104901367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0.43160606058174722</v>
      </c>
      <c r="AA122" s="21">
        <f>EXP(-LN(2)/25)*AA121+(1-EXP(-LN(2)/25))/(LN(2)/25)*Calculateur!V122*Calculateur!X122*VLOOKUP('Données projet'!$B$9,Paramètres!$A$1:$I$89,3,0)*0.475*44/12</f>
        <v>1.1014701760403687</v>
      </c>
      <c r="AB122" s="21">
        <f>EXP(-LN(2)/2)*AB121+(1-EXP(-LN(2)/2))/(LN(2)/2)*V122*Y122*VLOOKUP('Données projet'!$B$9,Paramètres!$A$1:$I$89,3,0)*0.475*44/12</f>
        <v>5.5377389710537843E-14</v>
      </c>
      <c r="AC122" s="22">
        <f t="shared" si="57"/>
        <v>1.5330762366221713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553.99999999999955</v>
      </c>
      <c r="AJ122" s="13">
        <f>AI122*VLOOKUP('Données projet'!$B$10,Paramètres!$A$1:$I$89,3,0)*VLOOKUP('Données projet'!$B$10,Paramètres!$A$1:$I$89,5,0)</f>
        <v>331.29199999999975</v>
      </c>
      <c r="AK122" s="13">
        <f t="shared" si="89"/>
        <v>77.698110787752</v>
      </c>
      <c r="AL122" s="20">
        <f t="shared" si="58"/>
        <v>712.32444295533423</v>
      </c>
      <c r="AM122" s="59">
        <f t="shared" si="59"/>
        <v>1005.6577762886675</v>
      </c>
      <c r="AN122" s="59">
        <f ca="1">AVERAGE(OFFSET($AM$3,0,0,'Données projet'!$E$10+1,1))-AVERAGE(OFFSET($H$3,0,0,'Données projet'!$E$10+1,1))</f>
        <v>316.58509520829671</v>
      </c>
      <c r="AO122" s="59">
        <f t="shared" si="90"/>
        <v>240.71332110643596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0.43493477036630168</v>
      </c>
      <c r="AV122" s="21">
        <f>EXP(-LN(2)/25)*AV121+(1-EXP(-LN(2)/25))/(LN(2)/25)*Calculateur!AQ122*Calculateur!AS122*VLOOKUP('Données projet'!$B$10,Paramètres!$A$1:$I$89,3,0)*0.475*44/12</f>
        <v>1.2945334662696162</v>
      </c>
      <c r="AW122" s="21">
        <f>EXP(-LN(2)/2)*AW121+(1-EXP(-LN(2)/2))/(LN(2)/2)*AQ122*AT122*VLOOKUP('Données projet'!$B$10,Paramètres!$A$1:$I$89,3,0)*0.475*44/12</f>
        <v>8.8183800583435312E-13</v>
      </c>
      <c r="AX122" s="21">
        <f t="shared" si="60"/>
        <v>1.7294682366367995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-1.8089849618263545E-13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314.94704727988847</v>
      </c>
      <c r="BJ122" s="59">
        <f t="shared" si="92"/>
        <v>366.49199094166454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0.67192494714029716</v>
      </c>
      <c r="BQ122" s="21">
        <f>EXP(-LN(2)/25)*BQ121+(1-EXP(-LN(2)/25))/(LN(2)/25)*Calculateur!BL122*Calculateur!BN122*VLOOKUP('Données projet'!$B$11,Paramètres!$A$1:$I$89,3,0)*0.475*44/12</f>
        <v>2.154193801772962</v>
      </c>
      <c r="BR122" s="21">
        <f>EXP(-LN(2)/2)*BR121+(1-EXP(-LN(2)/2))/(LN(2)/2)*BL122*BO122*VLOOKUP('Données projet'!$B$11,Paramètres!$A$1:$I$89,3,0)*0.475*44/12</f>
        <v>1.1603806884710756E-12</v>
      </c>
      <c r="BS122" s="22">
        <f t="shared" si="63"/>
        <v>2.8261187489144195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-1.8089849618263545E-13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314.94704727988847</v>
      </c>
      <c r="CE122" s="59">
        <f t="shared" si="94"/>
        <v>366.49199094166454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0.67192494714029716</v>
      </c>
      <c r="CL122" s="21">
        <f>EXP(-LN(2)/25)*CL121+(1-EXP(-LN(2)/25))/(LN(2)/25)*Calculateur!CG122*Calculateur!CI122*VLOOKUP('Données projet'!$B$12,Paramètres!$A$1:$I$89,3,0)*0.475*44/12</f>
        <v>2.154193801772962</v>
      </c>
      <c r="CM122" s="21">
        <f>EXP(-LN(2)/2)*CM121+(1-EXP(-LN(2)/2))/(LN(2)/2)*CG122*CJ122*VLOOKUP('Données projet'!$B$12,Paramètres!$A$1:$I$89,3,0)*0.475*44/12</f>
        <v>1.1603806884710756E-12</v>
      </c>
      <c r="CN122" s="22">
        <f t="shared" si="66"/>
        <v>2.8261187489144195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357.33974358974359</v>
      </c>
      <c r="CR122" s="12">
        <f>VLOOKUP(A122,'Données projet'!$A$139:$I$159,9,0)</f>
        <v>6.8461538461538511</v>
      </c>
      <c r="CS122" s="12">
        <f t="array" ref="CS122">INDEX(CR:CR,MIN(IF(ISNUMBER(CR122:CR318),ROW(CR122:CR318),"")))</f>
        <v>6.8461538461538511</v>
      </c>
      <c r="CT122" s="12">
        <f>IF('Données projet'!$A$140&gt;35,CT121+CS122-DB121,IF(A122&lt;'Données projet'!$A$140,$CQ$205^A122,IF(A122='Données projet'!$A$140,'Données projet'!$B$140,CT121+CS122-DB121)))</f>
        <v>357.33974358974393</v>
      </c>
      <c r="CU122" s="17">
        <f>CT122*VLOOKUP('Données projet'!$B$13,Paramètres!$A$1:$I$89,3,0)*VLOOKUP('Données projet'!$B$13,Paramètres!$A$1:$I$89,5,0)</f>
        <v>323.32100000000031</v>
      </c>
      <c r="CV122" s="13">
        <f t="shared" si="95"/>
        <v>76.043936534151129</v>
      </c>
      <c r="CW122" s="20">
        <f t="shared" si="67"/>
        <v>695.56059779698035</v>
      </c>
      <c r="CX122" s="59">
        <f t="shared" si="68"/>
        <v>988.8939311303136</v>
      </c>
      <c r="CY122" s="59">
        <f ca="1">AVERAGE(OFFSET($CX$3,0,0,'Données projet'!$E$13+1,1))-AVERAGE(OFFSET($H$3,0,0,'Données projet'!$E$13+1,1))</f>
        <v>221.7429870520005</v>
      </c>
      <c r="CZ122" s="59">
        <f t="shared" si="96"/>
        <v>182.2029938397186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150.02564102564102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-1.0345502232667058E-13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199.01551760562705</v>
      </c>
      <c r="T123" s="59">
        <f t="shared" si="88"/>
        <v>269.50915104901367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0.42314252898744198</v>
      </c>
      <c r="AA123" s="21">
        <f>EXP(-LN(2)/25)*AA122+(1-EXP(-LN(2)/25))/(LN(2)/25)*Calculateur!V123*Calculateur!X123*VLOOKUP('Données projet'!$B$9,Paramètres!$A$1:$I$89,3,0)*0.475*44/12</f>
        <v>1.0713504161527456</v>
      </c>
      <c r="AB123" s="21">
        <f>EXP(-LN(2)/2)*AB122+(1-EXP(-LN(2)/2))/(LN(2)/2)*V123*Y123*VLOOKUP('Données projet'!$B$9,Paramètres!$A$1:$I$89,3,0)*0.475*44/12</f>
        <v>3.9157727788731456E-14</v>
      </c>
      <c r="AC123" s="22">
        <f t="shared" si="57"/>
        <v>1.4944929451402267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553.99999999999955</v>
      </c>
      <c r="AJ123" s="13">
        <f>AI123*VLOOKUP('Données projet'!$B$10,Paramètres!$A$1:$I$89,3,0)*VLOOKUP('Données projet'!$B$10,Paramètres!$A$1:$I$89,5,0)</f>
        <v>331.29199999999975</v>
      </c>
      <c r="AK123" s="13">
        <f t="shared" si="89"/>
        <v>77.698110787752</v>
      </c>
      <c r="AL123" s="20">
        <f t="shared" si="58"/>
        <v>712.32444295533423</v>
      </c>
      <c r="AM123" s="59">
        <f t="shared" si="59"/>
        <v>1005.6577762886675</v>
      </c>
      <c r="AN123" s="59">
        <f ca="1">AVERAGE(OFFSET($AM$3,0,0,'Données projet'!$E$10+1,1))-AVERAGE(OFFSET($H$3,0,0,'Données projet'!$E$10+1,1))</f>
        <v>316.58509520829671</v>
      </c>
      <c r="AO123" s="59">
        <f t="shared" si="90"/>
        <v>240.71332110643596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0.42640596480343379</v>
      </c>
      <c r="AV123" s="21">
        <f>EXP(-LN(2)/25)*AV122+(1-EXP(-LN(2)/25))/(LN(2)/25)*Calculateur!AQ123*Calculateur!AS123*VLOOKUP('Données projet'!$B$10,Paramètres!$A$1:$I$89,3,0)*0.475*44/12</f>
        <v>1.2591343805579172</v>
      </c>
      <c r="AW123" s="21">
        <f>EXP(-LN(2)/2)*AW122+(1-EXP(-LN(2)/2))/(LN(2)/2)*AQ123*AT123*VLOOKUP('Données projet'!$B$10,Paramètres!$A$1:$I$89,3,0)*0.475*44/12</f>
        <v>6.2355363383349334E-13</v>
      </c>
      <c r="AX123" s="21">
        <f t="shared" si="60"/>
        <v>1.6855403453619744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-1.8089849618263545E-13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314.94704727988847</v>
      </c>
      <c r="BJ123" s="59">
        <f t="shared" si="92"/>
        <v>366.49199094166454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0.65874890876062597</v>
      </c>
      <c r="BQ123" s="21">
        <f>EXP(-LN(2)/25)*BQ122+(1-EXP(-LN(2)/25))/(LN(2)/25)*Calculateur!BL123*Calculateur!BN123*VLOOKUP('Données projet'!$B$11,Paramètres!$A$1:$I$89,3,0)*0.475*44/12</f>
        <v>2.0952872589793516</v>
      </c>
      <c r="BR123" s="21">
        <f>EXP(-LN(2)/2)*BR122+(1-EXP(-LN(2)/2))/(LN(2)/2)*BL123*BO123*VLOOKUP('Données projet'!$B$11,Paramètres!$A$1:$I$89,3,0)*0.475*44/12</f>
        <v>8.2051305357581227E-13</v>
      </c>
      <c r="BS123" s="22">
        <f t="shared" si="63"/>
        <v>2.7540361677407983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-1.8089849618263545E-13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314.94704727988847</v>
      </c>
      <c r="CE123" s="59">
        <f t="shared" si="94"/>
        <v>366.49199094166454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0.65874890876062597</v>
      </c>
      <c r="CL123" s="21">
        <f>EXP(-LN(2)/25)*CL122+(1-EXP(-LN(2)/25))/(LN(2)/25)*Calculateur!CG123*Calculateur!CI123*VLOOKUP('Données projet'!$B$12,Paramètres!$A$1:$I$89,3,0)*0.475*44/12</f>
        <v>2.0952872589793516</v>
      </c>
      <c r="CM123" s="21">
        <f>EXP(-LN(2)/2)*CM122+(1-EXP(-LN(2)/2))/(LN(2)/2)*CG123*CJ123*VLOOKUP('Données projet'!$B$12,Paramètres!$A$1:$I$89,3,0)*0.475*44/12</f>
        <v>8.2051305357581227E-13</v>
      </c>
      <c r="CN123" s="22">
        <f t="shared" si="66"/>
        <v>2.7540361677407983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3.8301282051282044</v>
      </c>
      <c r="CT123" s="12">
        <f>IF('Données projet'!$A$140&gt;35,CT122+CS123-DB122,IF(A123&lt;'Données projet'!$A$140,$CQ$205^A123,IF(A123='Données projet'!$A$140,'Données projet'!$B$140,CT122+CS123-DB122)))</f>
        <v>211.14423076923114</v>
      </c>
      <c r="CU123" s="17">
        <f>CT123*VLOOKUP('Données projet'!$B$13,Paramètres!$A$1:$I$89,3,0)*VLOOKUP('Données projet'!$B$13,Paramètres!$A$1:$I$89,5,0)</f>
        <v>191.04330000000033</v>
      </c>
      <c r="CV123" s="13">
        <f t="shared" si="95"/>
        <v>47.770538104647549</v>
      </c>
      <c r="CW123" s="20">
        <f t="shared" si="67"/>
        <v>415.93410136559504</v>
      </c>
      <c r="CX123" s="59">
        <f t="shared" si="68"/>
        <v>709.26743469892835</v>
      </c>
      <c r="CY123" s="59">
        <f ca="1">AVERAGE(OFFSET($CX$3,0,0,'Données projet'!$E$13+1,1))-AVERAGE(OFFSET($H$3,0,0,'Données projet'!$E$13+1,1))</f>
        <v>221.7429870520005</v>
      </c>
      <c r="CZ123" s="59">
        <f t="shared" si="96"/>
        <v>182.2029938397186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-1.0345502232667058E-13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199.01551760562705</v>
      </c>
      <c r="T124" s="59">
        <f t="shared" si="88"/>
        <v>269.50915104901367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0.41484496208545651</v>
      </c>
      <c r="AA124" s="21">
        <f>EXP(-LN(2)/25)*AA123+(1-EXP(-LN(2)/25))/(LN(2)/25)*Calculateur!V124*Calculateur!X124*VLOOKUP('Données projet'!$B$9,Paramètres!$A$1:$I$89,3,0)*0.475*44/12</f>
        <v>1.0420542826831789</v>
      </c>
      <c r="AB124" s="21">
        <f>EXP(-LN(2)/2)*AB123+(1-EXP(-LN(2)/2))/(LN(2)/2)*V124*Y124*VLOOKUP('Données projet'!$B$9,Paramètres!$A$1:$I$89,3,0)*0.475*44/12</f>
        <v>2.7688694855268928E-14</v>
      </c>
      <c r="AC124" s="22">
        <f t="shared" si="57"/>
        <v>1.4568992447686633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553.99999999999955</v>
      </c>
      <c r="AJ124" s="13">
        <f>AI124*VLOOKUP('Données projet'!$B$10,Paramètres!$A$1:$I$89,3,0)*VLOOKUP('Données projet'!$B$10,Paramètres!$A$1:$I$89,5,0)</f>
        <v>331.29199999999975</v>
      </c>
      <c r="AK124" s="13">
        <f t="shared" si="89"/>
        <v>77.698110787752</v>
      </c>
      <c r="AL124" s="20">
        <f t="shared" si="58"/>
        <v>712.32444295533423</v>
      </c>
      <c r="AM124" s="59">
        <f t="shared" si="59"/>
        <v>1005.6577762886675</v>
      </c>
      <c r="AN124" s="59">
        <f ca="1">AVERAGE(OFFSET($AM$3,0,0,'Données projet'!$E$10+1,1))-AVERAGE(OFFSET($H$3,0,0,'Données projet'!$E$10+1,1))</f>
        <v>316.58509520829671</v>
      </c>
      <c r="AO124" s="59">
        <f t="shared" si="90"/>
        <v>240.71332110643596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0.418044403915596</v>
      </c>
      <c r="AV124" s="21">
        <f>EXP(-LN(2)/25)*AV123+(1-EXP(-LN(2)/25))/(LN(2)/25)*Calculateur!AQ124*Calculateur!AS124*VLOOKUP('Données projet'!$B$10,Paramètres!$A$1:$I$89,3,0)*0.475*44/12</f>
        <v>1.2247032847065615</v>
      </c>
      <c r="AW124" s="21">
        <f>EXP(-LN(2)/2)*AW123+(1-EXP(-LN(2)/2))/(LN(2)/2)*AQ124*AT124*VLOOKUP('Données projet'!$B$10,Paramètres!$A$1:$I$89,3,0)*0.475*44/12</f>
        <v>4.4091900291717656E-13</v>
      </c>
      <c r="AX124" s="21">
        <f t="shared" si="60"/>
        <v>1.6427476886225985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-1.8089849618263545E-13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314.94704727988847</v>
      </c>
      <c r="BJ124" s="59">
        <f t="shared" si="92"/>
        <v>366.49199094166454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0.64583124445699025</v>
      </c>
      <c r="BQ124" s="21">
        <f>EXP(-LN(2)/25)*BQ123+(1-EXP(-LN(2)/25))/(LN(2)/25)*Calculateur!BL124*Calculateur!BN124*VLOOKUP('Données projet'!$B$11,Paramètres!$A$1:$I$89,3,0)*0.475*44/12</f>
        <v>2.037991518696193</v>
      </c>
      <c r="BR124" s="21">
        <f>EXP(-LN(2)/2)*BR123+(1-EXP(-LN(2)/2))/(LN(2)/2)*BL124*BO124*VLOOKUP('Données projet'!$B$11,Paramètres!$A$1:$I$89,3,0)*0.475*44/12</f>
        <v>5.8019034423553782E-13</v>
      </c>
      <c r="BS124" s="22">
        <f t="shared" si="63"/>
        <v>2.6838227631537634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-1.8089849618263545E-13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314.94704727988847</v>
      </c>
      <c r="CE124" s="59">
        <f t="shared" si="94"/>
        <v>366.49199094166454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0.64583124445699025</v>
      </c>
      <c r="CL124" s="21">
        <f>EXP(-LN(2)/25)*CL123+(1-EXP(-LN(2)/25))/(LN(2)/25)*Calculateur!CG124*Calculateur!CI124*VLOOKUP('Données projet'!$B$12,Paramètres!$A$1:$I$89,3,0)*0.475*44/12</f>
        <v>2.037991518696193</v>
      </c>
      <c r="CM124" s="21">
        <f>EXP(-LN(2)/2)*CM123+(1-EXP(-LN(2)/2))/(LN(2)/2)*CG124*CJ124*VLOOKUP('Données projet'!$B$12,Paramètres!$A$1:$I$89,3,0)*0.475*44/12</f>
        <v>5.8019034423553782E-13</v>
      </c>
      <c r="CN124" s="22">
        <f t="shared" si="66"/>
        <v>2.6838227631537634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3.8301282051282044</v>
      </c>
      <c r="CT124" s="12">
        <f>IF('Données projet'!$A$140&gt;35,CT123+CS124-DB123,IF(A124&lt;'Données projet'!$A$140,$CQ$205^A124,IF(A124='Données projet'!$A$140,'Données projet'!$B$140,CT123+CS124-DB123)))</f>
        <v>214.97435897435935</v>
      </c>
      <c r="CU124" s="17">
        <f>CT124*VLOOKUP('Données projet'!$B$13,Paramètres!$A$1:$I$89,3,0)*VLOOKUP('Données projet'!$B$13,Paramètres!$A$1:$I$89,5,0)</f>
        <v>194.50880000000032</v>
      </c>
      <c r="CV124" s="13">
        <f t="shared" si="95"/>
        <v>48.535419780989194</v>
      </c>
      <c r="CW124" s="20">
        <f t="shared" si="67"/>
        <v>423.30201611855676</v>
      </c>
      <c r="CX124" s="59">
        <f t="shared" si="68"/>
        <v>716.63534945189008</v>
      </c>
      <c r="CY124" s="59">
        <f ca="1">AVERAGE(OFFSET($CX$3,0,0,'Données projet'!$E$13+1,1))-AVERAGE(OFFSET($H$3,0,0,'Données projet'!$E$13+1,1))</f>
        <v>221.7429870520005</v>
      </c>
      <c r="CZ124" s="59">
        <f t="shared" si="96"/>
        <v>182.2029938397186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-1.0345502232667058E-13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199.01551760562705</v>
      </c>
      <c r="T125" s="59">
        <f t="shared" si="88"/>
        <v>269.50915104901367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0.40671010540940289</v>
      </c>
      <c r="AA125" s="21">
        <f>EXP(-LN(2)/25)*AA124+(1-EXP(-LN(2)/25))/(LN(2)/25)*Calculateur!V125*Calculateur!X125*VLOOKUP('Données projet'!$B$9,Paramètres!$A$1:$I$89,3,0)*0.475*44/12</f>
        <v>1.0135592535239544</v>
      </c>
      <c r="AB125" s="21">
        <f>EXP(-LN(2)/2)*AB124+(1-EXP(-LN(2)/2))/(LN(2)/2)*V125*Y125*VLOOKUP('Données projet'!$B$9,Paramètres!$A$1:$I$89,3,0)*0.475*44/12</f>
        <v>1.9578863894365731E-14</v>
      </c>
      <c r="AC125" s="22">
        <f t="shared" si="57"/>
        <v>1.4202693589333768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553.99999999999955</v>
      </c>
      <c r="AJ125" s="13">
        <f>AI125*VLOOKUP('Données projet'!$B$10,Paramètres!$A$1:$I$89,3,0)*VLOOKUP('Données projet'!$B$10,Paramètres!$A$1:$I$89,5,0)</f>
        <v>331.29199999999975</v>
      </c>
      <c r="AK125" s="13">
        <f t="shared" si="89"/>
        <v>77.698110787752</v>
      </c>
      <c r="AL125" s="20">
        <f t="shared" si="58"/>
        <v>712.32444295533423</v>
      </c>
      <c r="AM125" s="59">
        <f t="shared" si="59"/>
        <v>1005.6577762886675</v>
      </c>
      <c r="AN125" s="59">
        <f ca="1">AVERAGE(OFFSET($AM$3,0,0,'Données projet'!$E$10+1,1))-AVERAGE(OFFSET($H$3,0,0,'Données projet'!$E$10+1,1))</f>
        <v>316.58509520829671</v>
      </c>
      <c r="AO125" s="59">
        <f t="shared" si="90"/>
        <v>240.71332110643596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0.4098468081367202</v>
      </c>
      <c r="AV125" s="21">
        <f>EXP(-LN(2)/25)*AV124+(1-EXP(-LN(2)/25))/(LN(2)/25)*Calculateur!AQ125*Calculateur!AS125*VLOOKUP('Données projet'!$B$10,Paramètres!$A$1:$I$89,3,0)*0.475*44/12</f>
        <v>1.1912137089819139</v>
      </c>
      <c r="AW125" s="21">
        <f>EXP(-LN(2)/2)*AW124+(1-EXP(-LN(2)/2))/(LN(2)/2)*AQ125*AT125*VLOOKUP('Données projet'!$B$10,Paramètres!$A$1:$I$89,3,0)*0.475*44/12</f>
        <v>3.1177681691674667E-13</v>
      </c>
      <c r="AX125" s="21">
        <f t="shared" si="60"/>
        <v>1.6010605171189458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-1.8089849618263545E-13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314.94704727988847</v>
      </c>
      <c r="BJ125" s="59">
        <f t="shared" si="92"/>
        <v>366.49199094166454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0.63316688767135165</v>
      </c>
      <c r="BQ125" s="21">
        <f>EXP(-LN(2)/25)*BQ124+(1-EXP(-LN(2)/25))/(LN(2)/25)*Calculateur!BL125*Calculateur!BN125*VLOOKUP('Données projet'!$B$11,Paramètres!$A$1:$I$89,3,0)*0.475*44/12</f>
        <v>1.9822625334441295</v>
      </c>
      <c r="BR125" s="21">
        <f>EXP(-LN(2)/2)*BR124+(1-EXP(-LN(2)/2))/(LN(2)/2)*BL125*BO125*VLOOKUP('Données projet'!$B$11,Paramètres!$A$1:$I$89,3,0)*0.475*44/12</f>
        <v>4.1025652678790614E-13</v>
      </c>
      <c r="BS125" s="22">
        <f t="shared" si="63"/>
        <v>2.6154294211158913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-1.8089849618263545E-13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314.94704727988847</v>
      </c>
      <c r="CE125" s="59">
        <f t="shared" si="94"/>
        <v>366.49199094166454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0.63316688767135165</v>
      </c>
      <c r="CL125" s="21">
        <f>EXP(-LN(2)/25)*CL124+(1-EXP(-LN(2)/25))/(LN(2)/25)*Calculateur!CG125*Calculateur!CI125*VLOOKUP('Données projet'!$B$12,Paramètres!$A$1:$I$89,3,0)*0.475*44/12</f>
        <v>1.9822625334441295</v>
      </c>
      <c r="CM125" s="21">
        <f>EXP(-LN(2)/2)*CM124+(1-EXP(-LN(2)/2))/(LN(2)/2)*CG125*CJ125*VLOOKUP('Données projet'!$B$12,Paramètres!$A$1:$I$89,3,0)*0.475*44/12</f>
        <v>4.1025652678790614E-13</v>
      </c>
      <c r="CN125" s="22">
        <f t="shared" si="66"/>
        <v>2.6154294211158913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3.8301282051282044</v>
      </c>
      <c r="CT125" s="12">
        <f>IF('Données projet'!$A$140&gt;35,CT124+CS125-DB124,IF(A125&lt;'Données projet'!$A$140,$CQ$205^A125,IF(A125='Données projet'!$A$140,'Données projet'!$B$140,CT124+CS125-DB124)))</f>
        <v>218.80448717948755</v>
      </c>
      <c r="CU125" s="17">
        <f>CT125*VLOOKUP('Données projet'!$B$13,Paramètres!$A$1:$I$89,3,0)*VLOOKUP('Données projet'!$B$13,Paramètres!$A$1:$I$89,5,0)</f>
        <v>197.97430000000034</v>
      </c>
      <c r="CV125" s="13">
        <f t="shared" si="95"/>
        <v>49.29871675417845</v>
      </c>
      <c r="CW125" s="20">
        <f t="shared" si="67"/>
        <v>430.66717084686138</v>
      </c>
      <c r="CX125" s="59">
        <f t="shared" si="68"/>
        <v>724.00050418019464</v>
      </c>
      <c r="CY125" s="59">
        <f ca="1">AVERAGE(OFFSET($CX$3,0,0,'Données projet'!$E$13+1,1))-AVERAGE(OFFSET($H$3,0,0,'Données projet'!$E$13+1,1))</f>
        <v>221.7429870520005</v>
      </c>
      <c r="CZ125" s="59">
        <f t="shared" si="96"/>
        <v>182.2029938397186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-1.0345502232667058E-13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199.01551760562705</v>
      </c>
      <c r="T126" s="59">
        <f t="shared" si="88"/>
        <v>269.50915104901367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0.39873476831099403</v>
      </c>
      <c r="AA126" s="21">
        <f>EXP(-LN(2)/25)*AA125+(1-EXP(-LN(2)/25))/(LN(2)/25)*Calculateur!V126*Calculateur!X126*VLOOKUP('Données projet'!$B$9,Paramètres!$A$1:$I$89,3,0)*0.475*44/12</f>
        <v>0.98584342243557721</v>
      </c>
      <c r="AB126" s="21">
        <f>EXP(-LN(2)/2)*AB125+(1-EXP(-LN(2)/2))/(LN(2)/2)*V126*Y126*VLOOKUP('Données projet'!$B$9,Paramètres!$A$1:$I$89,3,0)*0.475*44/12</f>
        <v>1.3844347427634466E-14</v>
      </c>
      <c r="AC126" s="22">
        <f t="shared" si="57"/>
        <v>1.3845781907465851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553.99999999999955</v>
      </c>
      <c r="AJ126" s="13">
        <f>AI126*VLOOKUP('Données projet'!$B$10,Paramètres!$A$1:$I$89,3,0)*VLOOKUP('Données projet'!$B$10,Paramètres!$A$1:$I$89,5,0)</f>
        <v>331.29199999999975</v>
      </c>
      <c r="AK126" s="13">
        <f t="shared" si="89"/>
        <v>77.698110787752</v>
      </c>
      <c r="AL126" s="20">
        <f t="shared" si="58"/>
        <v>712.32444295533423</v>
      </c>
      <c r="AM126" s="59">
        <f t="shared" si="59"/>
        <v>1005.6577762886675</v>
      </c>
      <c r="AN126" s="59">
        <f ca="1">AVERAGE(OFFSET($AM$3,0,0,'Données projet'!$E$10+1,1))-AVERAGE(OFFSET($H$3,0,0,'Données projet'!$E$10+1,1))</f>
        <v>316.58509520829671</v>
      </c>
      <c r="AO126" s="59">
        <f t="shared" si="90"/>
        <v>240.71332110643596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0.40180996221102844</v>
      </c>
      <c r="AV126" s="21">
        <f>EXP(-LN(2)/25)*AV125+(1-EXP(-LN(2)/25))/(LN(2)/25)*Calculateur!AQ126*Calculateur!AS126*VLOOKUP('Données projet'!$B$10,Paramètres!$A$1:$I$89,3,0)*0.475*44/12</f>
        <v>1.1586399074665972</v>
      </c>
      <c r="AW126" s="21">
        <f>EXP(-LN(2)/2)*AW125+(1-EXP(-LN(2)/2))/(LN(2)/2)*AQ126*AT126*VLOOKUP('Données projet'!$B$10,Paramètres!$A$1:$I$89,3,0)*0.475*44/12</f>
        <v>2.2045950145858828E-13</v>
      </c>
      <c r="AX126" s="21">
        <f t="shared" si="60"/>
        <v>1.5604498696778462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-1.8089849618263545E-13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314.94704727988847</v>
      </c>
      <c r="BJ126" s="59">
        <f t="shared" si="92"/>
        <v>366.49199094166454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0.62075087119778449</v>
      </c>
      <c r="BQ126" s="21">
        <f>EXP(-LN(2)/25)*BQ125+(1-EXP(-LN(2)/25))/(LN(2)/25)*Calculateur!BL126*Calculateur!BN126*VLOOKUP('Données projet'!$B$11,Paramètres!$A$1:$I$89,3,0)*0.475*44/12</f>
        <v>1.9280574602244436</v>
      </c>
      <c r="BR126" s="21">
        <f>EXP(-LN(2)/2)*BR125+(1-EXP(-LN(2)/2))/(LN(2)/2)*BL126*BO126*VLOOKUP('Données projet'!$B$11,Paramètres!$A$1:$I$89,3,0)*0.475*44/12</f>
        <v>2.9009517211776891E-13</v>
      </c>
      <c r="BS126" s="22">
        <f t="shared" si="63"/>
        <v>2.5488083314225181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-1.8089849618263545E-13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314.94704727988847</v>
      </c>
      <c r="CE126" s="59">
        <f t="shared" si="94"/>
        <v>366.49199094166454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0.62075087119778449</v>
      </c>
      <c r="CL126" s="21">
        <f>EXP(-LN(2)/25)*CL125+(1-EXP(-LN(2)/25))/(LN(2)/25)*Calculateur!CG126*Calculateur!CI126*VLOOKUP('Données projet'!$B$12,Paramètres!$A$1:$I$89,3,0)*0.475*44/12</f>
        <v>1.9280574602244436</v>
      </c>
      <c r="CM126" s="21">
        <f>EXP(-LN(2)/2)*CM125+(1-EXP(-LN(2)/2))/(LN(2)/2)*CG126*CJ126*VLOOKUP('Données projet'!$B$12,Paramètres!$A$1:$I$89,3,0)*0.475*44/12</f>
        <v>2.9009517211776891E-13</v>
      </c>
      <c r="CN126" s="22">
        <f t="shared" si="66"/>
        <v>2.5488083314225181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222.63461538461539</v>
      </c>
      <c r="CR126" s="12">
        <f>VLOOKUP(A126,'Données projet'!$A$139:$I$159,9,0)</f>
        <v>3.8301282051282044</v>
      </c>
      <c r="CS126" s="12">
        <f t="array" ref="CS126">INDEX(CR:CR,MIN(IF(ISNUMBER(CR126:CR322),ROW(CR126:CR322),"")))</f>
        <v>3.8301282051282044</v>
      </c>
      <c r="CT126" s="12">
        <f>IF('Données projet'!$A$140&gt;35,CT125+CS126-DB125,IF(A126&lt;'Données projet'!$A$140,$CQ$205^A126,IF(A126='Données projet'!$A$140,'Données projet'!$B$140,CT125+CS126-DB125)))</f>
        <v>222.63461538461576</v>
      </c>
      <c r="CU126" s="17">
        <f>CT126*VLOOKUP('Données projet'!$B$13,Paramètres!$A$1:$I$89,3,0)*VLOOKUP('Données projet'!$B$13,Paramètres!$A$1:$I$89,5,0)</f>
        <v>201.4398000000003</v>
      </c>
      <c r="CV126" s="13">
        <f t="shared" si="95"/>
        <v>50.06045996470457</v>
      </c>
      <c r="CW126" s="20">
        <f t="shared" si="67"/>
        <v>438.02961943852762</v>
      </c>
      <c r="CX126" s="59">
        <f t="shared" si="68"/>
        <v>731.36295277186093</v>
      </c>
      <c r="CY126" s="59">
        <f ca="1">AVERAGE(OFFSET($CX$3,0,0,'Données projet'!$E$13+1,1))-AVERAGE(OFFSET($H$3,0,0,'Données projet'!$E$13+1,1))</f>
        <v>221.7429870520005</v>
      </c>
      <c r="CZ126" s="59">
        <f t="shared" si="96"/>
        <v>182.2029938397186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77.17307692307692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-1.0345502232667058E-13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199.01551760562705</v>
      </c>
      <c r="T127" s="59">
        <f t="shared" si="88"/>
        <v>269.50915104901367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0.39091582270860969</v>
      </c>
      <c r="AA127" s="21">
        <f>EXP(-LN(2)/25)*AA126+(1-EXP(-LN(2)/25))/(LN(2)/25)*Calculateur!V127*Calculateur!X127*VLOOKUP('Données projet'!$B$9,Paramètres!$A$1:$I$89,3,0)*0.475*44/12</f>
        <v>0.95888548220582392</v>
      </c>
      <c r="AB127" s="21">
        <f>EXP(-LN(2)/2)*AB126+(1-EXP(-LN(2)/2))/(LN(2)/2)*V127*Y127*VLOOKUP('Données projet'!$B$9,Paramètres!$A$1:$I$89,3,0)*0.475*44/12</f>
        <v>9.7894319471828671E-15</v>
      </c>
      <c r="AC127" s="22">
        <f t="shared" si="57"/>
        <v>1.3498013049144433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553.99999999999955</v>
      </c>
      <c r="AJ127" s="13">
        <f>AI127*VLOOKUP('Données projet'!$B$10,Paramètres!$A$1:$I$89,3,0)*VLOOKUP('Données projet'!$B$10,Paramètres!$A$1:$I$89,5,0)</f>
        <v>331.29199999999975</v>
      </c>
      <c r="AK127" s="13">
        <f t="shared" si="89"/>
        <v>77.698110787752</v>
      </c>
      <c r="AL127" s="20">
        <f t="shared" si="58"/>
        <v>712.32444295533423</v>
      </c>
      <c r="AM127" s="59">
        <f t="shared" si="59"/>
        <v>1005.6577762886675</v>
      </c>
      <c r="AN127" s="59">
        <f ca="1">AVERAGE(OFFSET($AM$3,0,0,'Données projet'!$E$10+1,1))-AVERAGE(OFFSET($H$3,0,0,'Données projet'!$E$10+1,1))</f>
        <v>316.58509520829671</v>
      </c>
      <c r="AO127" s="59">
        <f t="shared" si="90"/>
        <v>240.71332110643596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0.39393071393194751</v>
      </c>
      <c r="AV127" s="21">
        <f>EXP(-LN(2)/25)*AV126+(1-EXP(-LN(2)/25))/(LN(2)/25)*Calculateur!AQ127*Calculateur!AS127*VLOOKUP('Données projet'!$B$10,Paramètres!$A$1:$I$89,3,0)*0.475*44/12</f>
        <v>1.1269568382666983</v>
      </c>
      <c r="AW127" s="21">
        <f>EXP(-LN(2)/2)*AW126+(1-EXP(-LN(2)/2))/(LN(2)/2)*AQ127*AT127*VLOOKUP('Données projet'!$B$10,Paramètres!$A$1:$I$89,3,0)*0.475*44/12</f>
        <v>1.5588840845837334E-13</v>
      </c>
      <c r="AX127" s="21">
        <f t="shared" si="60"/>
        <v>1.5208875521988017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-1.8089849618263545E-13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314.94704727988847</v>
      </c>
      <c r="BJ127" s="59">
        <f t="shared" si="92"/>
        <v>366.49199094166454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0.60857832523424171</v>
      </c>
      <c r="BQ127" s="21">
        <f>EXP(-LN(2)/25)*BQ126+(1-EXP(-LN(2)/25))/(LN(2)/25)*Calculateur!BL127*Calculateur!BN127*VLOOKUP('Données projet'!$B$11,Paramètres!$A$1:$I$89,3,0)*0.475*44/12</f>
        <v>1.8753346275824709</v>
      </c>
      <c r="BR127" s="21">
        <f>EXP(-LN(2)/2)*BR126+(1-EXP(-LN(2)/2))/(LN(2)/2)*BL127*BO127*VLOOKUP('Données projet'!$B$11,Paramètres!$A$1:$I$89,3,0)*0.475*44/12</f>
        <v>2.0512826339395307E-13</v>
      </c>
      <c r="BS127" s="22">
        <f t="shared" si="63"/>
        <v>2.4839129528169179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-1.8089849618263545E-13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314.94704727988847</v>
      </c>
      <c r="CE127" s="59">
        <f t="shared" si="94"/>
        <v>366.49199094166454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0.60857832523424171</v>
      </c>
      <c r="CL127" s="21">
        <f>EXP(-LN(2)/25)*CL126+(1-EXP(-LN(2)/25))/(LN(2)/25)*Calculateur!CG127*Calculateur!CI127*VLOOKUP('Données projet'!$B$12,Paramètres!$A$1:$I$89,3,0)*0.475*44/12</f>
        <v>1.8753346275824709</v>
      </c>
      <c r="CM127" s="21">
        <f>EXP(-LN(2)/2)*CM126+(1-EXP(-LN(2)/2))/(LN(2)/2)*CG127*CJ127*VLOOKUP('Données projet'!$B$12,Paramètres!$A$1:$I$89,3,0)*0.475*44/12</f>
        <v>2.0512826339395307E-13</v>
      </c>
      <c r="CN127" s="22">
        <f t="shared" si="66"/>
        <v>2.4839129528169179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2.3349358974358978</v>
      </c>
      <c r="CT127" s="12">
        <f>IF('Données projet'!$A$140&gt;35,CT126+CS127-DB126,IF(A127&lt;'Données projet'!$A$140,$CQ$205^A127,IF(A127='Données projet'!$A$140,'Données projet'!$B$140,CT126+CS127-DB126)))</f>
        <v>147.79647435897476</v>
      </c>
      <c r="CU127" s="17">
        <f>CT127*VLOOKUP('Données projet'!$B$13,Paramètres!$A$1:$I$89,3,0)*VLOOKUP('Données projet'!$B$13,Paramètres!$A$1:$I$89,5,0)</f>
        <v>133.72625000000036</v>
      </c>
      <c r="CV127" s="13">
        <f t="shared" si="95"/>
        <v>34.855965018185714</v>
      </c>
      <c r="CW127" s="20">
        <f t="shared" si="67"/>
        <v>293.61402449000741</v>
      </c>
      <c r="CX127" s="59">
        <f t="shared" si="68"/>
        <v>586.94735782334078</v>
      </c>
      <c r="CY127" s="59">
        <f ca="1">AVERAGE(OFFSET($CX$3,0,0,'Données projet'!$E$13+1,1))-AVERAGE(OFFSET($H$3,0,0,'Données projet'!$E$13+1,1))</f>
        <v>221.7429870520005</v>
      </c>
      <c r="CZ127" s="59">
        <f t="shared" si="96"/>
        <v>182.2029938397186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-1.0345502232667058E-13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199.01551760562705</v>
      </c>
      <c r="T128" s="59">
        <f t="shared" si="88"/>
        <v>269.50915104901367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0.38325020186040221</v>
      </c>
      <c r="AA128" s="21">
        <f>EXP(-LN(2)/25)*AA127+(1-EXP(-LN(2)/25))/(LN(2)/25)*Calculateur!V128*Calculateur!X128*VLOOKUP('Données projet'!$B$9,Paramètres!$A$1:$I$89,3,0)*0.475*44/12</f>
        <v>0.93266470826930969</v>
      </c>
      <c r="AB128" s="21">
        <f>EXP(-LN(2)/2)*AB127+(1-EXP(-LN(2)/2))/(LN(2)/2)*V128*Y128*VLOOKUP('Données projet'!$B$9,Paramètres!$A$1:$I$89,3,0)*0.475*44/12</f>
        <v>6.9221737138172336E-15</v>
      </c>
      <c r="AC128" s="22">
        <f t="shared" si="57"/>
        <v>1.3159149101297187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553.99999999999955</v>
      </c>
      <c r="AJ128" s="13">
        <f>AI128*VLOOKUP('Données projet'!$B$10,Paramètres!$A$1:$I$89,3,0)*VLOOKUP('Données projet'!$B$10,Paramètres!$A$1:$I$89,5,0)</f>
        <v>331.29199999999975</v>
      </c>
      <c r="AK128" s="13">
        <f t="shared" si="89"/>
        <v>77.698110787752</v>
      </c>
      <c r="AL128" s="20">
        <f t="shared" si="58"/>
        <v>712.32444295533423</v>
      </c>
      <c r="AM128" s="59">
        <f t="shared" si="59"/>
        <v>1005.6577762886675</v>
      </c>
      <c r="AN128" s="59">
        <f ca="1">AVERAGE(OFFSET($AM$3,0,0,'Données projet'!$E$10+1,1))-AVERAGE(OFFSET($H$3,0,0,'Données projet'!$E$10+1,1))</f>
        <v>316.58509520829671</v>
      </c>
      <c r="AO128" s="59">
        <f t="shared" si="90"/>
        <v>240.71332110643596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0.38620597290575243</v>
      </c>
      <c r="AV128" s="21">
        <f>EXP(-LN(2)/25)*AV127+(1-EXP(-LN(2)/25))/(LN(2)/25)*Calculateur!AQ128*Calculateur!AS128*VLOOKUP('Données projet'!$B$10,Paramètres!$A$1:$I$89,3,0)*0.475*44/12</f>
        <v>1.096140144260211</v>
      </c>
      <c r="AW128" s="21">
        <f>EXP(-LN(2)/2)*AW127+(1-EXP(-LN(2)/2))/(LN(2)/2)*AQ128*AT128*VLOOKUP('Données projet'!$B$10,Paramètres!$A$1:$I$89,3,0)*0.475*44/12</f>
        <v>1.1022975072929414E-13</v>
      </c>
      <c r="AX128" s="21">
        <f t="shared" si="60"/>
        <v>1.4823461171660735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-1.8089849618263545E-13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314.94704727988847</v>
      </c>
      <c r="BJ128" s="59">
        <f t="shared" si="92"/>
        <v>366.49199094166454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0.59664447547252408</v>
      </c>
      <c r="BQ128" s="21">
        <f>EXP(-LN(2)/25)*BQ127+(1-EXP(-LN(2)/25))/(LN(2)/25)*Calculateur!BL128*Calculateur!BN128*VLOOKUP('Données projet'!$B$11,Paramètres!$A$1:$I$89,3,0)*0.475*44/12</f>
        <v>1.8240535035716663</v>
      </c>
      <c r="BR128" s="21">
        <f>EXP(-LN(2)/2)*BR127+(1-EXP(-LN(2)/2))/(LN(2)/2)*BL128*BO128*VLOOKUP('Données projet'!$B$11,Paramètres!$A$1:$I$89,3,0)*0.475*44/12</f>
        <v>1.4504758605888446E-13</v>
      </c>
      <c r="BS128" s="22">
        <f t="shared" si="63"/>
        <v>2.4206979790443355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-1.8089849618263545E-13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314.94704727988847</v>
      </c>
      <c r="CE128" s="59">
        <f t="shared" si="94"/>
        <v>366.49199094166454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0.59664447547252408</v>
      </c>
      <c r="CL128" s="21">
        <f>EXP(-LN(2)/25)*CL127+(1-EXP(-LN(2)/25))/(LN(2)/25)*Calculateur!CG128*Calculateur!CI128*VLOOKUP('Données projet'!$B$12,Paramètres!$A$1:$I$89,3,0)*0.475*44/12</f>
        <v>1.8240535035716663</v>
      </c>
      <c r="CM128" s="21">
        <f>EXP(-LN(2)/2)*CM127+(1-EXP(-LN(2)/2))/(LN(2)/2)*CG128*CJ128*VLOOKUP('Données projet'!$B$12,Paramètres!$A$1:$I$89,3,0)*0.475*44/12</f>
        <v>1.4504758605888446E-13</v>
      </c>
      <c r="CN128" s="22">
        <f t="shared" si="66"/>
        <v>2.4206979790443355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2.3349358974358978</v>
      </c>
      <c r="CT128" s="12">
        <f>IF('Données projet'!$A$140&gt;35,CT127+CS128-DB127,IF(A128&lt;'Données projet'!$A$140,$CQ$205^A128,IF(A128='Données projet'!$A$140,'Données projet'!$B$140,CT127+CS128-DB127)))</f>
        <v>150.13141025641067</v>
      </c>
      <c r="CU128" s="17">
        <f>CT128*VLOOKUP('Données projet'!$B$13,Paramètres!$A$1:$I$89,3,0)*VLOOKUP('Données projet'!$B$13,Paramètres!$A$1:$I$89,5,0)</f>
        <v>135.83890000000036</v>
      </c>
      <c r="CV128" s="13">
        <f t="shared" si="95"/>
        <v>35.342088427890417</v>
      </c>
      <c r="CW128" s="20">
        <f t="shared" si="67"/>
        <v>298.14022151190977</v>
      </c>
      <c r="CX128" s="59">
        <f t="shared" si="68"/>
        <v>591.47355484524314</v>
      </c>
      <c r="CY128" s="59">
        <f ca="1">AVERAGE(OFFSET($CX$3,0,0,'Données projet'!$E$13+1,1))-AVERAGE(OFFSET($H$3,0,0,'Données projet'!$E$13+1,1))</f>
        <v>221.7429870520005</v>
      </c>
      <c r="CZ128" s="59">
        <f t="shared" si="96"/>
        <v>182.2029938397186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-1.0345502232667058E-13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199.01551760562705</v>
      </c>
      <c r="T129" s="59">
        <f t="shared" si="88"/>
        <v>269.50915104901367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0.37573489916146102</v>
      </c>
      <c r="AA129" s="21">
        <f>EXP(-LN(2)/25)*AA128+(1-EXP(-LN(2)/25))/(LN(2)/25)*Calculateur!V129*Calculateur!X129*VLOOKUP('Données projet'!$B$9,Paramètres!$A$1:$I$89,3,0)*0.475*44/12</f>
        <v>0.90716094277498005</v>
      </c>
      <c r="AB129" s="21">
        <f>EXP(-LN(2)/2)*AB128+(1-EXP(-LN(2)/2))/(LN(2)/2)*V129*Y129*VLOOKUP('Données projet'!$B$9,Paramètres!$A$1:$I$89,3,0)*0.475*44/12</f>
        <v>4.8947159735914343E-15</v>
      </c>
      <c r="AC129" s="22">
        <f t="shared" si="57"/>
        <v>1.282895841936446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553.99999999999955</v>
      </c>
      <c r="AJ129" s="13">
        <f>AI129*VLOOKUP('Données projet'!$B$10,Paramètres!$A$1:$I$89,3,0)*VLOOKUP('Données projet'!$B$10,Paramètres!$A$1:$I$89,5,0)</f>
        <v>331.29199999999975</v>
      </c>
      <c r="AK129" s="13">
        <f t="shared" si="89"/>
        <v>77.698110787752</v>
      </c>
      <c r="AL129" s="20">
        <f t="shared" si="58"/>
        <v>712.32444295533423</v>
      </c>
      <c r="AM129" s="59">
        <f t="shared" si="59"/>
        <v>1005.6577762886675</v>
      </c>
      <c r="AN129" s="59">
        <f ca="1">AVERAGE(OFFSET($AM$3,0,0,'Données projet'!$E$10+1,1))-AVERAGE(OFFSET($H$3,0,0,'Données projet'!$E$10+1,1))</f>
        <v>316.58509520829671</v>
      </c>
      <c r="AO129" s="59">
        <f t="shared" si="90"/>
        <v>240.71332110643596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0.37863270933945425</v>
      </c>
      <c r="AV129" s="21">
        <f>EXP(-LN(2)/25)*AV128+(1-EXP(-LN(2)/25))/(LN(2)/25)*Calculateur!AQ129*Calculateur!AS129*VLOOKUP('Données projet'!$B$10,Paramètres!$A$1:$I$89,3,0)*0.475*44/12</f>
        <v>1.0661661343719107</v>
      </c>
      <c r="AW129" s="21">
        <f>EXP(-LN(2)/2)*AW128+(1-EXP(-LN(2)/2))/(LN(2)/2)*AQ129*AT129*VLOOKUP('Données projet'!$B$10,Paramètres!$A$1:$I$89,3,0)*0.475*44/12</f>
        <v>7.7944204229186668E-14</v>
      </c>
      <c r="AX129" s="21">
        <f t="shared" si="60"/>
        <v>1.4447988437114427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-1.8089849618263545E-13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314.94704727988847</v>
      </c>
      <c r="BJ129" s="59">
        <f t="shared" si="92"/>
        <v>366.49199094166454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0.58494464122570411</v>
      </c>
      <c r="BQ129" s="21">
        <f>EXP(-LN(2)/25)*BQ128+(1-EXP(-LN(2)/25))/(LN(2)/25)*Calculateur!BL129*Calculateur!BN129*VLOOKUP('Données projet'!$B$11,Paramètres!$A$1:$I$89,3,0)*0.475*44/12</f>
        <v>1.7741746645936942</v>
      </c>
      <c r="BR129" s="21">
        <f>EXP(-LN(2)/2)*BR128+(1-EXP(-LN(2)/2))/(LN(2)/2)*BL129*BO129*VLOOKUP('Données projet'!$B$11,Paramètres!$A$1:$I$89,3,0)*0.475*44/12</f>
        <v>1.0256413169697653E-13</v>
      </c>
      <c r="BS129" s="22">
        <f t="shared" si="63"/>
        <v>2.359119305819501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-1.8089849618263545E-13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314.94704727988847</v>
      </c>
      <c r="CE129" s="59">
        <f t="shared" si="94"/>
        <v>366.49199094166454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0.58494464122570411</v>
      </c>
      <c r="CL129" s="21">
        <f>EXP(-LN(2)/25)*CL128+(1-EXP(-LN(2)/25))/(LN(2)/25)*Calculateur!CG129*Calculateur!CI129*VLOOKUP('Données projet'!$B$12,Paramètres!$A$1:$I$89,3,0)*0.475*44/12</f>
        <v>1.7741746645936942</v>
      </c>
      <c r="CM129" s="21">
        <f>EXP(-LN(2)/2)*CM128+(1-EXP(-LN(2)/2))/(LN(2)/2)*CG129*CJ129*VLOOKUP('Données projet'!$B$12,Paramètres!$A$1:$I$89,3,0)*0.475*44/12</f>
        <v>1.0256413169697653E-13</v>
      </c>
      <c r="CN129" s="22">
        <f t="shared" si="66"/>
        <v>2.359119305819501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2.3349358974358978</v>
      </c>
      <c r="CT129" s="12">
        <f>IF('Données projet'!$A$140&gt;35,CT128+CS129-DB128,IF(A129&lt;'Données projet'!$A$140,$CQ$205^A129,IF(A129='Données projet'!$A$140,'Données projet'!$B$140,CT128+CS129-DB128)))</f>
        <v>152.46634615384659</v>
      </c>
      <c r="CU129" s="17">
        <f>CT129*VLOOKUP('Données projet'!$B$13,Paramètres!$A$1:$I$89,3,0)*VLOOKUP('Données projet'!$B$13,Paramètres!$A$1:$I$89,5,0)</f>
        <v>137.9515500000004</v>
      </c>
      <c r="CV129" s="13">
        <f t="shared" si="95"/>
        <v>35.827332555199952</v>
      </c>
      <c r="CW129" s="20">
        <f t="shared" si="67"/>
        <v>302.66488711697389</v>
      </c>
      <c r="CX129" s="59">
        <f t="shared" si="68"/>
        <v>595.99822045030714</v>
      </c>
      <c r="CY129" s="59">
        <f ca="1">AVERAGE(OFFSET($CX$3,0,0,'Données projet'!$E$13+1,1))-AVERAGE(OFFSET($H$3,0,0,'Données projet'!$E$13+1,1))</f>
        <v>221.7429870520005</v>
      </c>
      <c r="CZ129" s="59">
        <f t="shared" si="96"/>
        <v>182.2029938397186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-1.0345502232667058E-13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199.01551760562705</v>
      </c>
      <c r="T130" s="59">
        <f t="shared" si="88"/>
        <v>269.50915104901367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0.36836696696456406</v>
      </c>
      <c r="AA130" s="21">
        <f>EXP(-LN(2)/25)*AA129+(1-EXP(-LN(2)/25))/(LN(2)/25)*Calculateur!V130*Calculateur!X130*VLOOKUP('Données projet'!$B$9,Paramètres!$A$1:$I$89,3,0)*0.475*44/12</f>
        <v>0.88235457908927761</v>
      </c>
      <c r="AB130" s="21">
        <f>EXP(-LN(2)/2)*AB129+(1-EXP(-LN(2)/2))/(LN(2)/2)*V130*Y130*VLOOKUP('Données projet'!$B$9,Paramètres!$A$1:$I$89,3,0)*0.475*44/12</f>
        <v>3.4610868569086176E-15</v>
      </c>
      <c r="AC130" s="22">
        <f t="shared" si="57"/>
        <v>1.2507215460538452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553.99999999999955</v>
      </c>
      <c r="AJ130" s="13">
        <f>AI130*VLOOKUP('Données projet'!$B$10,Paramètres!$A$1:$I$89,3,0)*VLOOKUP('Données projet'!$B$10,Paramètres!$A$1:$I$89,5,0)</f>
        <v>331.29199999999975</v>
      </c>
      <c r="AK130" s="13">
        <f t="shared" si="89"/>
        <v>77.698110787752</v>
      </c>
      <c r="AL130" s="20">
        <f t="shared" si="58"/>
        <v>712.32444295533423</v>
      </c>
      <c r="AM130" s="59">
        <f t="shared" si="59"/>
        <v>1005.6577762886675</v>
      </c>
      <c r="AN130" s="59">
        <f ca="1">AVERAGE(OFFSET($AM$3,0,0,'Données projet'!$E$10+1,1))-AVERAGE(OFFSET($H$3,0,0,'Données projet'!$E$10+1,1))</f>
        <v>316.58509520829671</v>
      </c>
      <c r="AO130" s="59">
        <f t="shared" si="90"/>
        <v>240.71332110643596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0.3712079528524565</v>
      </c>
      <c r="AV130" s="21">
        <f>EXP(-LN(2)/25)*AV129+(1-EXP(-LN(2)/25))/(LN(2)/25)*Calculateur!AQ130*Calculateur!AS130*VLOOKUP('Données projet'!$B$10,Paramètres!$A$1:$I$89,3,0)*0.475*44/12</f>
        <v>1.0370117653602704</v>
      </c>
      <c r="AW130" s="21">
        <f>EXP(-LN(2)/2)*AW129+(1-EXP(-LN(2)/2))/(LN(2)/2)*AQ130*AT130*VLOOKUP('Données projet'!$B$10,Paramètres!$A$1:$I$89,3,0)*0.475*44/12</f>
        <v>5.511487536464707E-14</v>
      </c>
      <c r="AX130" s="21">
        <f t="shared" si="60"/>
        <v>1.408219718212782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-1.8089849618263545E-13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314.94704727988847</v>
      </c>
      <c r="BJ130" s="59">
        <f t="shared" si="92"/>
        <v>366.49199094166454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0.57347423359227001</v>
      </c>
      <c r="BQ130" s="21">
        <f>EXP(-LN(2)/25)*BQ129+(1-EXP(-LN(2)/25))/(LN(2)/25)*Calculateur!BL130*Calculateur!BN130*VLOOKUP('Données projet'!$B$11,Paramètres!$A$1:$I$89,3,0)*0.475*44/12</f>
        <v>1.7256597650905889</v>
      </c>
      <c r="BR130" s="21">
        <f>EXP(-LN(2)/2)*BR129+(1-EXP(-LN(2)/2))/(LN(2)/2)*BL130*BO130*VLOOKUP('Données projet'!$B$11,Paramètres!$A$1:$I$89,3,0)*0.475*44/12</f>
        <v>7.2523793029442228E-14</v>
      </c>
      <c r="BS130" s="22">
        <f t="shared" si="63"/>
        <v>2.2991339986829313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-1.8089849618263545E-13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314.94704727988847</v>
      </c>
      <c r="CE130" s="59">
        <f t="shared" si="94"/>
        <v>366.49199094166454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0.57347423359227001</v>
      </c>
      <c r="CL130" s="21">
        <f>EXP(-LN(2)/25)*CL129+(1-EXP(-LN(2)/25))/(LN(2)/25)*Calculateur!CG130*Calculateur!CI130*VLOOKUP('Données projet'!$B$12,Paramètres!$A$1:$I$89,3,0)*0.475*44/12</f>
        <v>1.7256597650905889</v>
      </c>
      <c r="CM130" s="21">
        <f>EXP(-LN(2)/2)*CM129+(1-EXP(-LN(2)/2))/(LN(2)/2)*CG130*CJ130*VLOOKUP('Données projet'!$B$12,Paramètres!$A$1:$I$89,3,0)*0.475*44/12</f>
        <v>7.2523793029442228E-14</v>
      </c>
      <c r="CN130" s="22">
        <f t="shared" si="66"/>
        <v>2.2991339986829313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154.80128205128204</v>
      </c>
      <c r="CR130" s="12">
        <f>VLOOKUP(A130,'Données projet'!$A$139:$I$159,9,0)</f>
        <v>2.3349358974358978</v>
      </c>
      <c r="CS130" s="12">
        <f t="array" ref="CS130">INDEX(CR:CR,MIN(IF(ISNUMBER(CR130:CR326),ROW(CR130:CR326),"")))</f>
        <v>2.3349358974358978</v>
      </c>
      <c r="CT130" s="12">
        <f>IF('Données projet'!$A$140&gt;35,CT129+CS130-DB129,IF(A130&lt;'Données projet'!$A$140,$CQ$205^A130,IF(A130='Données projet'!$A$140,'Données projet'!$B$140,CT129+CS130-DB129)))</f>
        <v>154.8012820512825</v>
      </c>
      <c r="CU130" s="17">
        <f>CT130*VLOOKUP('Données projet'!$B$13,Paramètres!$A$1:$I$89,3,0)*VLOOKUP('Données projet'!$B$13,Paramètres!$A$1:$I$89,5,0)</f>
        <v>140.0642000000004</v>
      </c>
      <c r="CV130" s="13">
        <f t="shared" si="95"/>
        <v>36.311712421027494</v>
      </c>
      <c r="CW130" s="20">
        <f t="shared" si="67"/>
        <v>307.18804746662357</v>
      </c>
      <c r="CX130" s="59">
        <f t="shared" si="68"/>
        <v>600.52138079995689</v>
      </c>
      <c r="CY130" s="59">
        <f ca="1">AVERAGE(OFFSET($CX$3,0,0,'Données projet'!$E$13+1,1))-AVERAGE(OFFSET($H$3,0,0,'Données projet'!$E$13+1,1))</f>
        <v>221.7429870520005</v>
      </c>
      <c r="CZ130" s="59">
        <f t="shared" si="96"/>
        <v>182.2029938397186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49.916666666666671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-1.0345502232667058E-13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199.01551760562705</v>
      </c>
      <c r="T131" s="59">
        <f t="shared" si="88"/>
        <v>269.50915104901367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0.36114351542405332</v>
      </c>
      <c r="AA131" s="21">
        <f>EXP(-LN(2)/25)*AA130+(1-EXP(-LN(2)/25))/(LN(2)/25)*Calculateur!V131*Calculateur!X131*VLOOKUP('Données projet'!$B$9,Paramètres!$A$1:$I$89,3,0)*0.475*44/12</f>
        <v>0.85822654672307064</v>
      </c>
      <c r="AB131" s="21">
        <f>EXP(-LN(2)/2)*AB130+(1-EXP(-LN(2)/2))/(LN(2)/2)*V131*Y131*VLOOKUP('Données projet'!$B$9,Paramètres!$A$1:$I$89,3,0)*0.475*44/12</f>
        <v>2.4473579867957176E-15</v>
      </c>
      <c r="AC131" s="22">
        <f t="shared" si="57"/>
        <v>1.2193700621471264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553.99999999999955</v>
      </c>
      <c r="AJ131" s="13">
        <f>AI131*VLOOKUP('Données projet'!$B$10,Paramètres!$A$1:$I$89,3,0)*VLOOKUP('Données projet'!$B$10,Paramètres!$A$1:$I$89,5,0)</f>
        <v>331.29199999999975</v>
      </c>
      <c r="AK131" s="13">
        <f t="shared" si="89"/>
        <v>77.698110787752</v>
      </c>
      <c r="AL131" s="20">
        <f t="shared" si="58"/>
        <v>712.32444295533423</v>
      </c>
      <c r="AM131" s="59">
        <f t="shared" si="59"/>
        <v>1005.6577762886675</v>
      </c>
      <c r="AN131" s="59">
        <f ca="1">AVERAGE(OFFSET($AM$3,0,0,'Données projet'!$E$10+1,1))-AVERAGE(OFFSET($H$3,0,0,'Données projet'!$E$10+1,1))</f>
        <v>316.58509520829671</v>
      </c>
      <c r="AO131" s="59">
        <f t="shared" si="90"/>
        <v>240.71332110643596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0.36392879131151451</v>
      </c>
      <c r="AV131" s="21">
        <f>EXP(-LN(2)/25)*AV130+(1-EXP(-LN(2)/25))/(LN(2)/25)*Calculateur!AQ131*Calculateur!AS131*VLOOKUP('Données projet'!$B$10,Paramètres!$A$1:$I$89,3,0)*0.475*44/12</f>
        <v>1.0086546241024152</v>
      </c>
      <c r="AW131" s="21">
        <f>EXP(-LN(2)/2)*AW130+(1-EXP(-LN(2)/2))/(LN(2)/2)*AQ131*AT131*VLOOKUP('Données projet'!$B$10,Paramètres!$A$1:$I$89,3,0)*0.475*44/12</f>
        <v>3.8972102114593334E-14</v>
      </c>
      <c r="AX131" s="21">
        <f t="shared" si="60"/>
        <v>1.3725834154139689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-1.8089849618263545E-13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314.94704727988847</v>
      </c>
      <c r="BJ131" s="59">
        <f t="shared" si="92"/>
        <v>366.49199094166454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0.56222875365626968</v>
      </c>
      <c r="BQ131" s="21">
        <f>EXP(-LN(2)/25)*BQ130+(1-EXP(-LN(2)/25))/(LN(2)/25)*Calculateur!BL131*Calculateur!BN131*VLOOKUP('Données projet'!$B$11,Paramètres!$A$1:$I$89,3,0)*0.475*44/12</f>
        <v>1.6784715080656838</v>
      </c>
      <c r="BR131" s="21">
        <f>EXP(-LN(2)/2)*BR130+(1-EXP(-LN(2)/2))/(LN(2)/2)*BL131*BO131*VLOOKUP('Données projet'!$B$11,Paramètres!$A$1:$I$89,3,0)*0.475*44/12</f>
        <v>5.1282065848488267E-14</v>
      </c>
      <c r="BS131" s="22">
        <f t="shared" si="63"/>
        <v>2.2407002617220044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-1.8089849618263545E-13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314.94704727988847</v>
      </c>
      <c r="CE131" s="59">
        <f t="shared" si="94"/>
        <v>366.49199094166454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0.56222875365626968</v>
      </c>
      <c r="CL131" s="21">
        <f>EXP(-LN(2)/25)*CL130+(1-EXP(-LN(2)/25))/(LN(2)/25)*Calculateur!CG131*Calculateur!CI131*VLOOKUP('Données projet'!$B$12,Paramètres!$A$1:$I$89,3,0)*0.475*44/12</f>
        <v>1.6784715080656838</v>
      </c>
      <c r="CM131" s="21">
        <f>EXP(-LN(2)/2)*CM130+(1-EXP(-LN(2)/2))/(LN(2)/2)*CG131*CJ131*VLOOKUP('Données projet'!$B$12,Paramètres!$A$1:$I$89,3,0)*0.475*44/12</f>
        <v>5.1282065848488267E-14</v>
      </c>
      <c r="CN131" s="22">
        <f t="shared" si="66"/>
        <v>2.2407002617220044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1.5064102564102591</v>
      </c>
      <c r="CT131" s="12">
        <f>IF('Données projet'!$A$140&gt;35,CT130+CS131-DB130,IF(A131&lt;'Données projet'!$A$140,$CQ$205^A131,IF(A131='Données projet'!$A$140,'Données projet'!$B$140,CT130+CS131-DB130)))</f>
        <v>106.39102564102608</v>
      </c>
      <c r="CU131" s="17">
        <f>CT131*VLOOKUP('Données projet'!$B$13,Paramètres!$A$1:$I$89,3,0)*VLOOKUP('Données projet'!$B$13,Paramètres!$A$1:$I$89,5,0)</f>
        <v>96.26260000000039</v>
      </c>
      <c r="CV131" s="13">
        <f t="shared" si="95"/>
        <v>26.069649320395914</v>
      </c>
      <c r="CW131" s="20">
        <f t="shared" si="67"/>
        <v>213.06200089969022</v>
      </c>
      <c r="CX131" s="59">
        <f t="shared" si="68"/>
        <v>506.3953342330235</v>
      </c>
      <c r="CY131" s="59">
        <f ca="1">AVERAGE(OFFSET($CX$3,0,0,'Données projet'!$E$13+1,1))-AVERAGE(OFFSET($H$3,0,0,'Données projet'!$E$13+1,1))</f>
        <v>221.7429870520005</v>
      </c>
      <c r="CZ131" s="59">
        <f t="shared" si="96"/>
        <v>182.2029938397186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-1.0345502232667058E-13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199.01551760562705</v>
      </c>
      <c r="T132" s="59">
        <f t="shared" si="88"/>
        <v>269.50915104901367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0.35406171136238163</v>
      </c>
      <c r="AA132" s="21">
        <f>EXP(-LN(2)/25)*AA131+(1-EXP(-LN(2)/25))/(LN(2)/25)*Calculateur!V132*Calculateur!X132*VLOOKUP('Données projet'!$B$9,Paramètres!$A$1:$I$89,3,0)*0.475*44/12</f>
        <v>0.83475829667075563</v>
      </c>
      <c r="AB132" s="21">
        <f>EXP(-LN(2)/2)*AB131+(1-EXP(-LN(2)/2))/(LN(2)/2)*V132*Y132*VLOOKUP('Données projet'!$B$9,Paramètres!$A$1:$I$89,3,0)*0.475*44/12</f>
        <v>1.730543428454309E-15</v>
      </c>
      <c r="AC132" s="22">
        <f t="shared" ref="AC132:AC153" si="111">SUM(Z132:AB132)</f>
        <v>1.188820008033139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553.99999999999955</v>
      </c>
      <c r="AJ132" s="13">
        <f>AI132*VLOOKUP('Données projet'!$B$10,Paramètres!$A$1:$I$89,3,0)*VLOOKUP('Données projet'!$B$10,Paramètres!$A$1:$I$89,5,0)</f>
        <v>331.29199999999975</v>
      </c>
      <c r="AK132" s="13">
        <f t="shared" si="89"/>
        <v>77.698110787752</v>
      </c>
      <c r="AL132" s="20">
        <f t="shared" ref="AL132:AL153" si="112">(AJ132+AK132)*0.475*44/12</f>
        <v>712.32444295533423</v>
      </c>
      <c r="AM132" s="59">
        <f t="shared" ref="AM132:AM195" si="113">AL132+(AD132+AE132)*44/12</f>
        <v>1005.6577762886675</v>
      </c>
      <c r="AN132" s="59">
        <f ca="1">AVERAGE(OFFSET($AM$3,0,0,'Données projet'!$E$10+1,1))-AVERAGE(OFFSET($H$3,0,0,'Données projet'!$E$10+1,1))</f>
        <v>316.58509520829671</v>
      </c>
      <c r="AO132" s="59">
        <f t="shared" si="90"/>
        <v>240.71332110643596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0.35679236968854022</v>
      </c>
      <c r="AV132" s="21">
        <f>EXP(-LN(2)/25)*AV131+(1-EXP(-LN(2)/25))/(LN(2)/25)*Calculateur!AQ132*Calculateur!AS132*VLOOKUP('Données projet'!$B$10,Paramètres!$A$1:$I$89,3,0)*0.475*44/12</f>
        <v>0.98107291036349331</v>
      </c>
      <c r="AW132" s="21">
        <f>EXP(-LN(2)/2)*AW131+(1-EXP(-LN(2)/2))/(LN(2)/2)*AQ132*AT132*VLOOKUP('Données projet'!$B$10,Paramètres!$A$1:$I$89,3,0)*0.475*44/12</f>
        <v>2.7557437682323535E-14</v>
      </c>
      <c r="AX132" s="21">
        <f t="shared" ref="AX132:AX153" si="114">SUM(AU132:AW132)</f>
        <v>1.337865280052061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-1.8089849618263545E-13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314.94704727988847</v>
      </c>
      <c r="BJ132" s="59">
        <f t="shared" si="92"/>
        <v>366.49199094166454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0.55120379072274883</v>
      </c>
      <c r="BQ132" s="21">
        <f>EXP(-LN(2)/25)*BQ131+(1-EXP(-LN(2)/25))/(LN(2)/25)*Calculateur!BL132*Calculateur!BN132*VLOOKUP('Données projet'!$B$11,Paramètres!$A$1:$I$89,3,0)*0.475*44/12</f>
        <v>1.6325736164106472</v>
      </c>
      <c r="BR132" s="21">
        <f>EXP(-LN(2)/2)*BR131+(1-EXP(-LN(2)/2))/(LN(2)/2)*BL132*BO132*VLOOKUP('Données projet'!$B$11,Paramètres!$A$1:$I$89,3,0)*0.475*44/12</f>
        <v>3.6261896514721114E-14</v>
      </c>
      <c r="BS132" s="22">
        <f t="shared" ref="BS132:BS153" si="117">SUM(BP132:BR132)</f>
        <v>2.1837774071334324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-1.8089849618263545E-13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314.94704727988847</v>
      </c>
      <c r="CE132" s="59">
        <f t="shared" si="94"/>
        <v>366.49199094166454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0.55120379072274883</v>
      </c>
      <c r="CL132" s="21">
        <f>EXP(-LN(2)/25)*CL131+(1-EXP(-LN(2)/25))/(LN(2)/25)*Calculateur!CG132*Calculateur!CI132*VLOOKUP('Données projet'!$B$12,Paramètres!$A$1:$I$89,3,0)*0.475*44/12</f>
        <v>1.6325736164106472</v>
      </c>
      <c r="CM132" s="21">
        <f>EXP(-LN(2)/2)*CM131+(1-EXP(-LN(2)/2))/(LN(2)/2)*CG132*CJ132*VLOOKUP('Données projet'!$B$12,Paramètres!$A$1:$I$89,3,0)*0.475*44/12</f>
        <v>3.6261896514721114E-14</v>
      </c>
      <c r="CN132" s="22">
        <f t="shared" ref="CN132:CN153" si="120">SUM(CK132:CM132)</f>
        <v>2.1837774071334324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1.5064102564102591</v>
      </c>
      <c r="CT132" s="12">
        <f>IF('Données projet'!$A$140&gt;35,CT131+CS132-DB131,IF(A132&lt;'Données projet'!$A$140,$CQ$205^A132,IF(A132='Données projet'!$A$140,'Données projet'!$B$140,CT131+CS132-DB131)))</f>
        <v>107.89743589743634</v>
      </c>
      <c r="CU132" s="17">
        <f>CT132*VLOOKUP('Données projet'!$B$13,Paramètres!$A$1:$I$89,3,0)*VLOOKUP('Données projet'!$B$13,Paramètres!$A$1:$I$89,5,0)</f>
        <v>97.625600000000389</v>
      </c>
      <c r="CV132" s="13">
        <f t="shared" si="95"/>
        <v>26.395540798282429</v>
      </c>
      <c r="CW132" s="20">
        <f t="shared" ref="CW132:CW153" si="121">(CU132+CV132)*0.475*44/12</f>
        <v>216.00348689034254</v>
      </c>
      <c r="CX132" s="59">
        <f t="shared" ref="CX132:CX195" si="122">CW132+(CO132+CP132)*44/12</f>
        <v>509.33682022367589</v>
      </c>
      <c r="CY132" s="59">
        <f ca="1">AVERAGE(OFFSET($CX$3,0,0,'Données projet'!$E$13+1,1))-AVERAGE(OFFSET($H$3,0,0,'Données projet'!$E$13+1,1))</f>
        <v>221.7429870520005</v>
      </c>
      <c r="CZ132" s="59">
        <f t="shared" si="96"/>
        <v>182.2029938397186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-1.0345502232667058E-13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199.01551760562705</v>
      </c>
      <c r="T133" s="59">
        <f t="shared" ref="T133:T196" si="142">$T$3</f>
        <v>269.50915104901367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0.34711877715888534</v>
      </c>
      <c r="AA133" s="21">
        <f>EXP(-LN(2)/25)*AA132+(1-EXP(-LN(2)/25))/(LN(2)/25)*Calculateur!V133*Calculateur!X133*VLOOKUP('Données projet'!$B$9,Paramètres!$A$1:$I$89,3,0)*0.475*44/12</f>
        <v>0.81193178715026282</v>
      </c>
      <c r="AB133" s="21">
        <f>EXP(-LN(2)/2)*AB132+(1-EXP(-LN(2)/2))/(LN(2)/2)*V133*Y133*VLOOKUP('Données projet'!$B$9,Paramètres!$A$1:$I$89,3,0)*0.475*44/12</f>
        <v>1.223678993397859E-15</v>
      </c>
      <c r="AC133" s="22">
        <f t="shared" si="111"/>
        <v>1.1590505643091495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553.99999999999955</v>
      </c>
      <c r="AJ133" s="13">
        <f>AI133*VLOOKUP('Données projet'!$B$10,Paramètres!$A$1:$I$89,3,0)*VLOOKUP('Données projet'!$B$10,Paramètres!$A$1:$I$89,5,0)</f>
        <v>331.29199999999975</v>
      </c>
      <c r="AK133" s="13">
        <f t="shared" ref="AK133:AK153" si="143">EXP(-1.0587+0.8836*LN(AJ133)+0.284)</f>
        <v>77.698110787752</v>
      </c>
      <c r="AL133" s="20">
        <f t="shared" si="112"/>
        <v>712.32444295533423</v>
      </c>
      <c r="AM133" s="59">
        <f t="shared" si="113"/>
        <v>1005.6577762886675</v>
      </c>
      <c r="AN133" s="59">
        <f ca="1">AVERAGE(OFFSET($AM$3,0,0,'Données projet'!$E$10+1,1))-AVERAGE(OFFSET($H$3,0,0,'Données projet'!$E$10+1,1))</f>
        <v>316.58509520829671</v>
      </c>
      <c r="AO133" s="59">
        <f t="shared" ref="AO133:AO196" si="144">$AO$3</f>
        <v>240.71332110643596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0.3497958889408051</v>
      </c>
      <c r="AV133" s="21">
        <f>EXP(-LN(2)/25)*AV132+(1-EXP(-LN(2)/25))/(LN(2)/25)*Calculateur!AQ133*Calculateur!AS133*VLOOKUP('Données projet'!$B$10,Paramètres!$A$1:$I$89,3,0)*0.475*44/12</f>
        <v>0.95424542003722146</v>
      </c>
      <c r="AW133" s="21">
        <f>EXP(-LN(2)/2)*AW132+(1-EXP(-LN(2)/2))/(LN(2)/2)*AQ133*AT133*VLOOKUP('Données projet'!$B$10,Paramètres!$A$1:$I$89,3,0)*0.475*44/12</f>
        <v>1.9486051057296667E-14</v>
      </c>
      <c r="AX133" s="21">
        <f t="shared" si="114"/>
        <v>1.304041308978046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-1.8089849618263545E-13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314.94704727988847</v>
      </c>
      <c r="BJ133" s="59">
        <f t="shared" ref="BJ133:BJ196" si="146">$BJ$3</f>
        <v>366.49199094166454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0.54039502058779099</v>
      </c>
      <c r="BQ133" s="21">
        <f>EXP(-LN(2)/25)*BQ132+(1-EXP(-LN(2)/25))/(LN(2)/25)*Calculateur!BL133*Calculateur!BN133*VLOOKUP('Données projet'!$B$11,Paramètres!$A$1:$I$89,3,0)*0.475*44/12</f>
        <v>1.587930805016583</v>
      </c>
      <c r="BR133" s="21">
        <f>EXP(-LN(2)/2)*BR132+(1-EXP(-LN(2)/2))/(LN(2)/2)*BL133*BO133*VLOOKUP('Données projet'!$B$11,Paramètres!$A$1:$I$89,3,0)*0.475*44/12</f>
        <v>2.5641032924244134E-14</v>
      </c>
      <c r="BS133" s="22">
        <f t="shared" si="117"/>
        <v>2.1283258256043998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-1.8089849618263545E-13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314.94704727988847</v>
      </c>
      <c r="CE133" s="59">
        <f t="shared" ref="CE133:CE196" si="148">$CE$3</f>
        <v>366.49199094166454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0.54039502058779099</v>
      </c>
      <c r="CL133" s="21">
        <f>EXP(-LN(2)/25)*CL132+(1-EXP(-LN(2)/25))/(LN(2)/25)*Calculateur!CG133*Calculateur!CI133*VLOOKUP('Données projet'!$B$12,Paramètres!$A$1:$I$89,3,0)*0.475*44/12</f>
        <v>1.587930805016583</v>
      </c>
      <c r="CM133" s="21">
        <f>EXP(-LN(2)/2)*CM132+(1-EXP(-LN(2)/2))/(LN(2)/2)*CG133*CJ133*VLOOKUP('Données projet'!$B$12,Paramètres!$A$1:$I$89,3,0)*0.475*44/12</f>
        <v>2.5641032924244134E-14</v>
      </c>
      <c r="CN133" s="22">
        <f t="shared" si="120"/>
        <v>2.1283258256043998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1.5064102564102591</v>
      </c>
      <c r="CT133" s="12">
        <f>IF('Données projet'!$A$140&gt;35,CT132+CS133-DB132,IF(A133&lt;'Données projet'!$A$140,$CQ$205^A133,IF(A133='Données projet'!$A$140,'Données projet'!$B$140,CT132+CS133-DB132)))</f>
        <v>109.4038461538466</v>
      </c>
      <c r="CU133" s="17">
        <f>CT133*VLOOKUP('Données projet'!$B$13,Paramètres!$A$1:$I$89,3,0)*VLOOKUP('Données projet'!$B$13,Paramètres!$A$1:$I$89,5,0)</f>
        <v>98.988600000000403</v>
      </c>
      <c r="CV133" s="13">
        <f t="shared" ref="CV133:CV153" si="149">EXP(-1.0587+0.8836*LN(CU133)+0.284)</f>
        <v>26.720903075724081</v>
      </c>
      <c r="CW133" s="20">
        <f t="shared" si="121"/>
        <v>218.94405119022016</v>
      </c>
      <c r="CX133" s="59">
        <f t="shared" si="122"/>
        <v>512.27738452355345</v>
      </c>
      <c r="CY133" s="59">
        <f ca="1">AVERAGE(OFFSET($CX$3,0,0,'Données projet'!$E$13+1,1))-AVERAGE(OFFSET($H$3,0,0,'Données projet'!$E$13+1,1))</f>
        <v>221.7429870520005</v>
      </c>
      <c r="CZ133" s="59">
        <f t="shared" ref="CZ133:CZ196" si="150">$CZ$3</f>
        <v>182.2029938397186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-1.0345502232667058E-13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199.01551760562705</v>
      </c>
      <c r="T134" s="59">
        <f t="shared" si="142"/>
        <v>269.50915104901367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0.34031198966034792</v>
      </c>
      <c r="AA134" s="21">
        <f>EXP(-LN(2)/25)*AA133+(1-EXP(-LN(2)/25))/(LN(2)/25)*Calculateur!V134*Calculateur!X134*VLOOKUP('Données projet'!$B$9,Paramètres!$A$1:$I$89,3,0)*0.475*44/12</f>
        <v>0.78972946973300184</v>
      </c>
      <c r="AB134" s="21">
        <f>EXP(-LN(2)/2)*AB133+(1-EXP(-LN(2)/2))/(LN(2)/2)*V134*Y134*VLOOKUP('Données projet'!$B$9,Paramètres!$A$1:$I$89,3,0)*0.475*44/12</f>
        <v>8.6527171422715469E-16</v>
      </c>
      <c r="AC134" s="22">
        <f t="shared" si="111"/>
        <v>1.1300414593933508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553.99999999999955</v>
      </c>
      <c r="AJ134" s="13">
        <f>AI134*VLOOKUP('Données projet'!$B$10,Paramètres!$A$1:$I$89,3,0)*VLOOKUP('Données projet'!$B$10,Paramètres!$A$1:$I$89,5,0)</f>
        <v>331.29199999999975</v>
      </c>
      <c r="AK134" s="13">
        <f t="shared" si="143"/>
        <v>77.698110787752</v>
      </c>
      <c r="AL134" s="20">
        <f t="shared" si="112"/>
        <v>712.32444295533423</v>
      </c>
      <c r="AM134" s="59">
        <f t="shared" si="113"/>
        <v>1005.6577762886675</v>
      </c>
      <c r="AN134" s="59">
        <f ca="1">AVERAGE(OFFSET($AM$3,0,0,'Données projet'!$E$10+1,1))-AVERAGE(OFFSET($H$3,0,0,'Données projet'!$E$10+1,1))</f>
        <v>316.58509520829671</v>
      </c>
      <c r="AO134" s="59">
        <f t="shared" si="144"/>
        <v>240.71332110643596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0.34293660491310118</v>
      </c>
      <c r="AV134" s="21">
        <f>EXP(-LN(2)/25)*AV133+(1-EXP(-LN(2)/25))/(LN(2)/25)*Calculateur!AQ134*Calculateur!AS134*VLOOKUP('Données projet'!$B$10,Paramètres!$A$1:$I$89,3,0)*0.475*44/12</f>
        <v>0.92815152884471797</v>
      </c>
      <c r="AW134" s="21">
        <f>EXP(-LN(2)/2)*AW133+(1-EXP(-LN(2)/2))/(LN(2)/2)*AQ134*AT134*VLOOKUP('Données projet'!$B$10,Paramètres!$A$1:$I$89,3,0)*0.475*44/12</f>
        <v>1.3778718841161767E-14</v>
      </c>
      <c r="AX134" s="21">
        <f t="shared" si="114"/>
        <v>1.271088133757833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-1.8089849618263545E-13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314.94704727988847</v>
      </c>
      <c r="BJ134" s="59">
        <f t="shared" si="146"/>
        <v>366.49199094166454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0.52979820384248089</v>
      </c>
      <c r="BQ134" s="21">
        <f>EXP(-LN(2)/25)*BQ133+(1-EXP(-LN(2)/25))/(LN(2)/25)*Calculateur!BL134*Calculateur!BN134*VLOOKUP('Données projet'!$B$11,Paramètres!$A$1:$I$89,3,0)*0.475*44/12</f>
        <v>1.5445087536477529</v>
      </c>
      <c r="BR134" s="21">
        <f>EXP(-LN(2)/2)*BR133+(1-EXP(-LN(2)/2))/(LN(2)/2)*BL134*BO134*VLOOKUP('Données projet'!$B$11,Paramètres!$A$1:$I$89,3,0)*0.475*44/12</f>
        <v>1.8130948257360557E-14</v>
      </c>
      <c r="BS134" s="22">
        <f t="shared" si="117"/>
        <v>2.074306957490252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-1.8089849618263545E-13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314.94704727988847</v>
      </c>
      <c r="CE134" s="59">
        <f t="shared" si="148"/>
        <v>366.49199094166454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0.52979820384248089</v>
      </c>
      <c r="CL134" s="21">
        <f>EXP(-LN(2)/25)*CL133+(1-EXP(-LN(2)/25))/(LN(2)/25)*Calculateur!CG134*Calculateur!CI134*VLOOKUP('Données projet'!$B$12,Paramètres!$A$1:$I$89,3,0)*0.475*44/12</f>
        <v>1.5445087536477529</v>
      </c>
      <c r="CM134" s="21">
        <f>EXP(-LN(2)/2)*CM133+(1-EXP(-LN(2)/2))/(LN(2)/2)*CG134*CJ134*VLOOKUP('Données projet'!$B$12,Paramètres!$A$1:$I$89,3,0)*0.475*44/12</f>
        <v>1.8130948257360557E-14</v>
      </c>
      <c r="CN134" s="22">
        <f t="shared" si="120"/>
        <v>2.074306957490252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110.91025641025641</v>
      </c>
      <c r="CR134" s="12">
        <f>VLOOKUP(A134,'Données projet'!$A$139:$I$159,9,0)</f>
        <v>1.5064102564102591</v>
      </c>
      <c r="CS134" s="12">
        <f t="array" ref="CS134">INDEX(CR:CR,MIN(IF(ISNUMBER(CR134:CR330),ROW(CR134:CR330),"")))</f>
        <v>1.5064102564102591</v>
      </c>
      <c r="CT134" s="12">
        <f>IF('Données projet'!$A$140&gt;35,CT133+CS134-DB133,IF(A134&lt;'Données projet'!$A$140,$CQ$205^A134,IF(A134='Données projet'!$A$140,'Données projet'!$B$140,CT133+CS134-DB133)))</f>
        <v>110.91025641025686</v>
      </c>
      <c r="CU134" s="17">
        <f>CT134*VLOOKUP('Données projet'!$B$13,Paramètres!$A$1:$I$89,3,0)*VLOOKUP('Données projet'!$B$13,Paramètres!$A$1:$I$89,5,0)</f>
        <v>100.3516000000004</v>
      </c>
      <c r="CV134" s="13">
        <f t="shared" si="149"/>
        <v>27.045744281593805</v>
      </c>
      <c r="CW134" s="20">
        <f t="shared" si="121"/>
        <v>221.88370795710989</v>
      </c>
      <c r="CX134" s="59">
        <f t="shared" si="122"/>
        <v>515.21704129044315</v>
      </c>
      <c r="CY134" s="59">
        <f ca="1">AVERAGE(OFFSET($CX$3,0,0,'Données projet'!$E$13+1,1))-AVERAGE(OFFSET($H$3,0,0,'Données projet'!$E$13+1,1))</f>
        <v>221.7429870520005</v>
      </c>
      <c r="CZ134" s="59">
        <f t="shared" si="150"/>
        <v>182.2029938397186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110.91025641025641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-1.0345502232667058E-13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199.01551760562705</v>
      </c>
      <c r="T135" s="59">
        <f t="shared" si="142"/>
        <v>269.50915104901367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0.33363867911292638</v>
      </c>
      <c r="AA135" s="21">
        <f>EXP(-LN(2)/25)*AA134+(1-EXP(-LN(2)/25))/(LN(2)/25)*Calculateur!V135*Calculateur!X135*VLOOKUP('Données projet'!$B$9,Paramètres!$A$1:$I$89,3,0)*0.475*44/12</f>
        <v>0.76813427585308502</v>
      </c>
      <c r="AB135" s="21">
        <f>EXP(-LN(2)/2)*AB134+(1-EXP(-LN(2)/2))/(LN(2)/2)*V135*Y135*VLOOKUP('Données projet'!$B$9,Paramètres!$A$1:$I$89,3,0)*0.475*44/12</f>
        <v>6.1183949669892959E-16</v>
      </c>
      <c r="AC135" s="22">
        <f t="shared" si="111"/>
        <v>1.101772954966012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553.99999999999955</v>
      </c>
      <c r="AJ135" s="13">
        <f>AI135*VLOOKUP('Données projet'!$B$10,Paramètres!$A$1:$I$89,3,0)*VLOOKUP('Données projet'!$B$10,Paramètres!$A$1:$I$89,5,0)</f>
        <v>331.29199999999975</v>
      </c>
      <c r="AK135" s="13">
        <f t="shared" si="143"/>
        <v>77.698110787752</v>
      </c>
      <c r="AL135" s="20">
        <f t="shared" si="112"/>
        <v>712.32444295533423</v>
      </c>
      <c r="AM135" s="59">
        <f t="shared" si="113"/>
        <v>1005.6577762886675</v>
      </c>
      <c r="AN135" s="59">
        <f ca="1">AVERAGE(OFFSET($AM$3,0,0,'Données projet'!$E$10+1,1))-AVERAGE(OFFSET($H$3,0,0,'Données projet'!$E$10+1,1))</f>
        <v>316.58509520829671</v>
      </c>
      <c r="AO135" s="59">
        <f t="shared" si="144"/>
        <v>240.71332110643596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0.3362118272614304</v>
      </c>
      <c r="AV135" s="21">
        <f>EXP(-LN(2)/25)*AV134+(1-EXP(-LN(2)/25))/(LN(2)/25)*Calculateur!AQ135*Calculateur!AS135*VLOOKUP('Données projet'!$B$10,Paramètres!$A$1:$I$89,3,0)*0.475*44/12</f>
        <v>0.90277117647909155</v>
      </c>
      <c r="AW135" s="21">
        <f>EXP(-LN(2)/2)*AW134+(1-EXP(-LN(2)/2))/(LN(2)/2)*AQ135*AT135*VLOOKUP('Données projet'!$B$10,Paramètres!$A$1:$I$89,3,0)*0.475*44/12</f>
        <v>9.7430255286483335E-15</v>
      </c>
      <c r="AX135" s="21">
        <f t="shared" si="114"/>
        <v>1.2389830037405316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-1.8089849618263545E-13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314.94704727988847</v>
      </c>
      <c r="BJ135" s="59">
        <f t="shared" si="146"/>
        <v>366.49199094166454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0.51940918421012627</v>
      </c>
      <c r="BQ135" s="21">
        <f>EXP(-LN(2)/25)*BQ134+(1-EXP(-LN(2)/25))/(LN(2)/25)*Calculateur!BL135*Calculateur!BN135*VLOOKUP('Données projet'!$B$11,Paramètres!$A$1:$I$89,3,0)*0.475*44/12</f>
        <v>1.5022740805570698</v>
      </c>
      <c r="BR135" s="21">
        <f>EXP(-LN(2)/2)*BR134+(1-EXP(-LN(2)/2))/(LN(2)/2)*BL135*BO135*VLOOKUP('Données projet'!$B$11,Paramètres!$A$1:$I$89,3,0)*0.475*44/12</f>
        <v>1.2820516462122067E-14</v>
      </c>
      <c r="BS135" s="22">
        <f t="shared" si="117"/>
        <v>2.0216832647672089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-1.8089849618263545E-13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314.94704727988847</v>
      </c>
      <c r="CE135" s="59">
        <f t="shared" si="148"/>
        <v>366.49199094166454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0.51940918421012627</v>
      </c>
      <c r="CL135" s="21">
        <f>EXP(-LN(2)/25)*CL134+(1-EXP(-LN(2)/25))/(LN(2)/25)*Calculateur!CG135*Calculateur!CI135*VLOOKUP('Données projet'!$B$12,Paramètres!$A$1:$I$89,3,0)*0.475*44/12</f>
        <v>1.5022740805570698</v>
      </c>
      <c r="CM135" s="21">
        <f>EXP(-LN(2)/2)*CM134+(1-EXP(-LN(2)/2))/(LN(2)/2)*CG135*CJ135*VLOOKUP('Données projet'!$B$12,Paramètres!$A$1:$I$89,3,0)*0.475*44/12</f>
        <v>1.2820516462122067E-14</v>
      </c>
      <c r="CN135" s="22">
        <f t="shared" si="120"/>
        <v>2.0216832647672089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4.5474735088646412E-13</v>
      </c>
      <c r="CU135" s="17">
        <f>CT135*VLOOKUP('Données projet'!$B$13,Paramètres!$A$1:$I$89,3,0)*VLOOKUP('Données projet'!$B$13,Paramètres!$A$1:$I$89,5,0)</f>
        <v>4.1145540308207271E-13</v>
      </c>
      <c r="CV135" s="13">
        <f t="shared" si="149"/>
        <v>5.2428527960910789E-12</v>
      </c>
      <c r="CW135" s="20">
        <f t="shared" si="121"/>
        <v>9.8479201135599071E-12</v>
      </c>
      <c r="CX135" s="59">
        <f t="shared" si="122"/>
        <v>293.33333333334315</v>
      </c>
      <c r="CY135" s="59">
        <f ca="1">AVERAGE(OFFSET($CX$3,0,0,'Données projet'!$E$13+1,1))-AVERAGE(OFFSET($H$3,0,0,'Données projet'!$E$13+1,1))</f>
        <v>221.7429870520005</v>
      </c>
      <c r="CZ135" s="59">
        <f t="shared" si="150"/>
        <v>182.2029938397186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-1.0345502232667058E-13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199.01551760562705</v>
      </c>
      <c r="T136" s="59">
        <f t="shared" si="142"/>
        <v>269.50915104901367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0.32709622811502226</v>
      </c>
      <c r="AA136" s="21">
        <f>EXP(-LN(2)/25)*AA135+(1-EXP(-LN(2)/25))/(LN(2)/25)*Calculateur!V136*Calculateur!X136*VLOOKUP('Données projet'!$B$9,Paramètres!$A$1:$I$89,3,0)*0.475*44/12</f>
        <v>0.74712960368545644</v>
      </c>
      <c r="AB136" s="21">
        <f>EXP(-LN(2)/2)*AB135+(1-EXP(-LN(2)/2))/(LN(2)/2)*V136*Y136*VLOOKUP('Données projet'!$B$9,Paramètres!$A$1:$I$89,3,0)*0.475*44/12</f>
        <v>4.3263585711357739E-16</v>
      </c>
      <c r="AC136" s="22">
        <f t="shared" si="111"/>
        <v>1.0742258318004791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553.99999999999955</v>
      </c>
      <c r="AJ136" s="13">
        <f>AI136*VLOOKUP('Données projet'!$B$10,Paramètres!$A$1:$I$89,3,0)*VLOOKUP('Données projet'!$B$10,Paramètres!$A$1:$I$89,5,0)</f>
        <v>331.29199999999975</v>
      </c>
      <c r="AK136" s="13">
        <f t="shared" si="143"/>
        <v>77.698110787752</v>
      </c>
      <c r="AL136" s="20">
        <f t="shared" si="112"/>
        <v>712.32444295533423</v>
      </c>
      <c r="AM136" s="59">
        <f t="shared" si="113"/>
        <v>1005.6577762886675</v>
      </c>
      <c r="AN136" s="59">
        <f ca="1">AVERAGE(OFFSET($AM$3,0,0,'Données projet'!$E$10+1,1))-AVERAGE(OFFSET($H$3,0,0,'Données projet'!$E$10+1,1))</f>
        <v>316.58509520829671</v>
      </c>
      <c r="AO136" s="59">
        <f t="shared" si="144"/>
        <v>240.71332110643596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0.3296189183977995</v>
      </c>
      <c r="AV136" s="21">
        <f>EXP(-LN(2)/25)*AV135+(1-EXP(-LN(2)/25))/(LN(2)/25)*Calculateur!AQ136*Calculateur!AS136*VLOOKUP('Données projet'!$B$10,Paramètres!$A$1:$I$89,3,0)*0.475*44/12</f>
        <v>0.87808485118359791</v>
      </c>
      <c r="AW136" s="21">
        <f>EXP(-LN(2)/2)*AW135+(1-EXP(-LN(2)/2))/(LN(2)/2)*AQ136*AT136*VLOOKUP('Données projet'!$B$10,Paramètres!$A$1:$I$89,3,0)*0.475*44/12</f>
        <v>6.8893594205808837E-15</v>
      </c>
      <c r="AX136" s="21">
        <f t="shared" si="114"/>
        <v>1.2077037695814044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-1.8089849618263545E-13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314.94704727988847</v>
      </c>
      <c r="BJ136" s="59">
        <f t="shared" si="146"/>
        <v>366.49199094166454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0.50922388691608589</v>
      </c>
      <c r="BQ136" s="21">
        <f>EXP(-LN(2)/25)*BQ135+(1-EXP(-LN(2)/25))/(LN(2)/25)*Calculateur!BL136*Calculateur!BN136*VLOOKUP('Données projet'!$B$11,Paramètres!$A$1:$I$89,3,0)*0.475*44/12</f>
        <v>1.4611943168230763</v>
      </c>
      <c r="BR136" s="21">
        <f>EXP(-LN(2)/2)*BR135+(1-EXP(-LN(2)/2))/(LN(2)/2)*BL136*BO136*VLOOKUP('Données projet'!$B$11,Paramètres!$A$1:$I$89,3,0)*0.475*44/12</f>
        <v>9.0654741286802785E-15</v>
      </c>
      <c r="BS136" s="22">
        <f t="shared" si="117"/>
        <v>1.9704182037391713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-1.8089849618263545E-13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314.94704727988847</v>
      </c>
      <c r="CE136" s="59">
        <f t="shared" si="148"/>
        <v>366.49199094166454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0.50922388691608589</v>
      </c>
      <c r="CL136" s="21">
        <f>EXP(-LN(2)/25)*CL135+(1-EXP(-LN(2)/25))/(LN(2)/25)*Calculateur!CG136*Calculateur!CI136*VLOOKUP('Données projet'!$B$12,Paramètres!$A$1:$I$89,3,0)*0.475*44/12</f>
        <v>1.4611943168230763</v>
      </c>
      <c r="CM136" s="21">
        <f>EXP(-LN(2)/2)*CM135+(1-EXP(-LN(2)/2))/(LN(2)/2)*CG136*CJ136*VLOOKUP('Données projet'!$B$12,Paramètres!$A$1:$I$89,3,0)*0.475*44/12</f>
        <v>9.0654741286802785E-15</v>
      </c>
      <c r="CN136" s="22">
        <f t="shared" si="120"/>
        <v>1.9704182037391713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4.5474735088646412E-13</v>
      </c>
      <c r="CU136" s="17">
        <f>CT136*VLOOKUP('Données projet'!$B$13,Paramètres!$A$1:$I$89,3,0)*VLOOKUP('Données projet'!$B$13,Paramètres!$A$1:$I$89,5,0)</f>
        <v>4.1145540308207271E-13</v>
      </c>
      <c r="CV136" s="13">
        <f t="shared" si="149"/>
        <v>5.2428527960910789E-12</v>
      </c>
      <c r="CW136" s="20">
        <f t="shared" si="121"/>
        <v>9.8479201135599071E-12</v>
      </c>
      <c r="CX136" s="59">
        <f t="shared" si="122"/>
        <v>293.33333333334315</v>
      </c>
      <c r="CY136" s="59">
        <f ca="1">AVERAGE(OFFSET($CX$3,0,0,'Données projet'!$E$13+1,1))-AVERAGE(OFFSET($H$3,0,0,'Données projet'!$E$13+1,1))</f>
        <v>221.7429870520005</v>
      </c>
      <c r="CZ136" s="59">
        <f t="shared" si="150"/>
        <v>182.2029938397186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-1.0345502232667058E-13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199.01551760562705</v>
      </c>
      <c r="T137" s="59">
        <f t="shared" si="142"/>
        <v>269.50915104901367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0.32068207059068593</v>
      </c>
      <c r="AA137" s="21">
        <f>EXP(-LN(2)/25)*AA136+(1-EXP(-LN(2)/25))/(LN(2)/25)*Calculateur!V137*Calculateur!X137*VLOOKUP('Données projet'!$B$9,Paramètres!$A$1:$I$89,3,0)*0.475*44/12</f>
        <v>0.72669930538283933</v>
      </c>
      <c r="AB137" s="21">
        <f>EXP(-LN(2)/2)*AB136+(1-EXP(-LN(2)/2))/(LN(2)/2)*V137*Y137*VLOOKUP('Données projet'!$B$9,Paramètres!$A$1:$I$89,3,0)*0.475*44/12</f>
        <v>3.0591974834946484E-16</v>
      </c>
      <c r="AC137" s="22">
        <f t="shared" si="111"/>
        <v>1.0473813759735255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553.99999999999955</v>
      </c>
      <c r="AJ137" s="13">
        <f>AI137*VLOOKUP('Données projet'!$B$10,Paramètres!$A$1:$I$89,3,0)*VLOOKUP('Données projet'!$B$10,Paramètres!$A$1:$I$89,5,0)</f>
        <v>331.29199999999975</v>
      </c>
      <c r="AK137" s="13">
        <f t="shared" si="143"/>
        <v>77.698110787752</v>
      </c>
      <c r="AL137" s="20">
        <f t="shared" si="112"/>
        <v>712.32444295533423</v>
      </c>
      <c r="AM137" s="59">
        <f t="shared" si="113"/>
        <v>1005.6577762886675</v>
      </c>
      <c r="AN137" s="59">
        <f ca="1">AVERAGE(OFFSET($AM$3,0,0,'Données projet'!$E$10+1,1))-AVERAGE(OFFSET($H$3,0,0,'Données projet'!$E$10+1,1))</f>
        <v>316.58509520829671</v>
      </c>
      <c r="AO137" s="59">
        <f t="shared" si="144"/>
        <v>240.71332110643596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0.32315529245570707</v>
      </c>
      <c r="AV137" s="21">
        <f>EXP(-LN(2)/25)*AV136+(1-EXP(-LN(2)/25))/(LN(2)/25)*Calculateur!AQ137*Calculateur!AS137*VLOOKUP('Données projet'!$B$10,Paramètres!$A$1:$I$89,3,0)*0.475*44/12</f>
        <v>0.85407357475150703</v>
      </c>
      <c r="AW137" s="21">
        <f>EXP(-LN(2)/2)*AW136+(1-EXP(-LN(2)/2))/(LN(2)/2)*AQ137*AT137*VLOOKUP('Données projet'!$B$10,Paramètres!$A$1:$I$89,3,0)*0.475*44/12</f>
        <v>4.8715127643241667E-15</v>
      </c>
      <c r="AX137" s="21">
        <f t="shared" si="114"/>
        <v>1.1772288672072189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-1.8089849618263545E-13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314.94704727988847</v>
      </c>
      <c r="BJ137" s="59">
        <f t="shared" si="146"/>
        <v>366.49199094166454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0.49923831708956368</v>
      </c>
      <c r="BQ137" s="21">
        <f>EXP(-LN(2)/25)*BQ136+(1-EXP(-LN(2)/25))/(LN(2)/25)*Calculateur!BL137*Calculateur!BN137*VLOOKUP('Données projet'!$B$11,Paramètres!$A$1:$I$89,3,0)*0.475*44/12</f>
        <v>1.4212378813886797</v>
      </c>
      <c r="BR137" s="21">
        <f>EXP(-LN(2)/2)*BR136+(1-EXP(-LN(2)/2))/(LN(2)/2)*BL137*BO137*VLOOKUP('Données projet'!$B$11,Paramètres!$A$1:$I$89,3,0)*0.475*44/12</f>
        <v>6.4102582310610334E-15</v>
      </c>
      <c r="BS137" s="22">
        <f t="shared" si="117"/>
        <v>1.9204761984782499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-1.8089849618263545E-13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314.94704727988847</v>
      </c>
      <c r="CE137" s="59">
        <f t="shared" si="148"/>
        <v>366.49199094166454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0.49923831708956368</v>
      </c>
      <c r="CL137" s="21">
        <f>EXP(-LN(2)/25)*CL136+(1-EXP(-LN(2)/25))/(LN(2)/25)*Calculateur!CG137*Calculateur!CI137*VLOOKUP('Données projet'!$B$12,Paramètres!$A$1:$I$89,3,0)*0.475*44/12</f>
        <v>1.4212378813886797</v>
      </c>
      <c r="CM137" s="21">
        <f>EXP(-LN(2)/2)*CM136+(1-EXP(-LN(2)/2))/(LN(2)/2)*CG137*CJ137*VLOOKUP('Données projet'!$B$12,Paramètres!$A$1:$I$89,3,0)*0.475*44/12</f>
        <v>6.4102582310610334E-15</v>
      </c>
      <c r="CN137" s="22">
        <f t="shared" si="120"/>
        <v>1.9204761984782499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4.5474735088646412E-13</v>
      </c>
      <c r="CU137" s="17">
        <f>CT137*VLOOKUP('Données projet'!$B$13,Paramètres!$A$1:$I$89,3,0)*VLOOKUP('Données projet'!$B$13,Paramètres!$A$1:$I$89,5,0)</f>
        <v>4.1145540308207271E-13</v>
      </c>
      <c r="CV137" s="13">
        <f t="shared" si="149"/>
        <v>5.2428527960910789E-12</v>
      </c>
      <c r="CW137" s="20">
        <f t="shared" si="121"/>
        <v>9.8479201135599071E-12</v>
      </c>
      <c r="CX137" s="59">
        <f t="shared" si="122"/>
        <v>293.33333333334315</v>
      </c>
      <c r="CY137" s="59">
        <f ca="1">AVERAGE(OFFSET($CX$3,0,0,'Données projet'!$E$13+1,1))-AVERAGE(OFFSET($H$3,0,0,'Données projet'!$E$13+1,1))</f>
        <v>221.7429870520005</v>
      </c>
      <c r="CZ137" s="59">
        <f t="shared" si="150"/>
        <v>182.2029938397186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-1.0345502232667058E-13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199.01551760562705</v>
      </c>
      <c r="T138" s="59">
        <f t="shared" si="142"/>
        <v>269.50915104901367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0.31439369078315205</v>
      </c>
      <c r="AA138" s="21">
        <f>EXP(-LN(2)/25)*AA137+(1-EXP(-LN(2)/25))/(LN(2)/25)*Calculateur!V138*Calculateur!X138*VLOOKUP('Données projet'!$B$9,Paramètres!$A$1:$I$89,3,0)*0.475*44/12</f>
        <v>0.70682767466169005</v>
      </c>
      <c r="AB138" s="21">
        <f>EXP(-LN(2)/2)*AB137+(1-EXP(-LN(2)/2))/(LN(2)/2)*V138*Y138*VLOOKUP('Données projet'!$B$9,Paramètres!$A$1:$I$89,3,0)*0.475*44/12</f>
        <v>2.1631792855678875E-16</v>
      </c>
      <c r="AC138" s="22">
        <f t="shared" si="111"/>
        <v>1.0212213654448423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553.99999999999955</v>
      </c>
      <c r="AJ138" s="13">
        <f>AI138*VLOOKUP('Données projet'!$B$10,Paramètres!$A$1:$I$89,3,0)*VLOOKUP('Données projet'!$B$10,Paramètres!$A$1:$I$89,5,0)</f>
        <v>331.29199999999975</v>
      </c>
      <c r="AK138" s="13">
        <f t="shared" si="143"/>
        <v>77.698110787752</v>
      </c>
      <c r="AL138" s="20">
        <f t="shared" si="112"/>
        <v>712.32444295533423</v>
      </c>
      <c r="AM138" s="59">
        <f t="shared" si="113"/>
        <v>1005.6577762886675</v>
      </c>
      <c r="AN138" s="59">
        <f ca="1">AVERAGE(OFFSET($AM$3,0,0,'Données projet'!$E$10+1,1))-AVERAGE(OFFSET($H$3,0,0,'Données projet'!$E$10+1,1))</f>
        <v>316.58509520829671</v>
      </c>
      <c r="AO138" s="59">
        <f t="shared" si="144"/>
        <v>240.71332110643596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0.3168184142759165</v>
      </c>
      <c r="AV138" s="21">
        <f>EXP(-LN(2)/25)*AV137+(1-EXP(-LN(2)/25))/(LN(2)/25)*Calculateur!AQ138*Calculateur!AS138*VLOOKUP('Données projet'!$B$10,Paramètres!$A$1:$I$89,3,0)*0.475*44/12</f>
        <v>0.83071888793614979</v>
      </c>
      <c r="AW138" s="21">
        <f>EXP(-LN(2)/2)*AW137+(1-EXP(-LN(2)/2))/(LN(2)/2)*AQ138*AT138*VLOOKUP('Données projet'!$B$10,Paramètres!$A$1:$I$89,3,0)*0.475*44/12</f>
        <v>3.4446797102904419E-15</v>
      </c>
      <c r="AX138" s="21">
        <f t="shared" si="114"/>
        <v>1.1475373022120698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-1.8089849618263545E-13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314.94704727988847</v>
      </c>
      <c r="BJ138" s="59">
        <f t="shared" si="146"/>
        <v>366.49199094166454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0.48944855819674338</v>
      </c>
      <c r="BQ138" s="21">
        <f>EXP(-LN(2)/25)*BQ137+(1-EXP(-LN(2)/25))/(LN(2)/25)*Calculateur!BL138*Calculateur!BN138*VLOOKUP('Données projet'!$B$11,Paramètres!$A$1:$I$89,3,0)*0.475*44/12</f>
        <v>1.3823740567824543</v>
      </c>
      <c r="BR138" s="21">
        <f>EXP(-LN(2)/2)*BR137+(1-EXP(-LN(2)/2))/(LN(2)/2)*BL138*BO138*VLOOKUP('Données projet'!$B$11,Paramètres!$A$1:$I$89,3,0)*0.475*44/12</f>
        <v>4.5327370643401393E-15</v>
      </c>
      <c r="BS138" s="22">
        <f t="shared" si="117"/>
        <v>1.8718226149792021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-1.8089849618263545E-13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314.94704727988847</v>
      </c>
      <c r="CE138" s="59">
        <f t="shared" si="148"/>
        <v>366.49199094166454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0.48944855819674338</v>
      </c>
      <c r="CL138" s="21">
        <f>EXP(-LN(2)/25)*CL137+(1-EXP(-LN(2)/25))/(LN(2)/25)*Calculateur!CG138*Calculateur!CI138*VLOOKUP('Données projet'!$B$12,Paramètres!$A$1:$I$89,3,0)*0.475*44/12</f>
        <v>1.3823740567824543</v>
      </c>
      <c r="CM138" s="21">
        <f>EXP(-LN(2)/2)*CM137+(1-EXP(-LN(2)/2))/(LN(2)/2)*CG138*CJ138*VLOOKUP('Données projet'!$B$12,Paramètres!$A$1:$I$89,3,0)*0.475*44/12</f>
        <v>4.5327370643401393E-15</v>
      </c>
      <c r="CN138" s="22">
        <f t="shared" si="120"/>
        <v>1.8718226149792021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4.5474735088646412E-13</v>
      </c>
      <c r="CU138" s="17">
        <f>CT138*VLOOKUP('Données projet'!$B$13,Paramètres!$A$1:$I$89,3,0)*VLOOKUP('Données projet'!$B$13,Paramètres!$A$1:$I$89,5,0)</f>
        <v>4.1145540308207271E-13</v>
      </c>
      <c r="CV138" s="13">
        <f t="shared" si="149"/>
        <v>5.2428527960910789E-12</v>
      </c>
      <c r="CW138" s="20">
        <f t="shared" si="121"/>
        <v>9.8479201135599071E-12</v>
      </c>
      <c r="CX138" s="59">
        <f t="shared" si="122"/>
        <v>293.33333333334315</v>
      </c>
      <c r="CY138" s="59">
        <f ca="1">AVERAGE(OFFSET($CX$3,0,0,'Données projet'!$E$13+1,1))-AVERAGE(OFFSET($H$3,0,0,'Données projet'!$E$13+1,1))</f>
        <v>221.7429870520005</v>
      </c>
      <c r="CZ138" s="59">
        <f t="shared" si="150"/>
        <v>182.2029938397186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-1.0345502232667058E-13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199.01551760562705</v>
      </c>
      <c r="T139" s="59">
        <f t="shared" si="142"/>
        <v>269.50915104901367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0.30822862226811099</v>
      </c>
      <c r="AA139" s="21">
        <f>EXP(-LN(2)/25)*AA138+(1-EXP(-LN(2)/25))/(LN(2)/25)*Calculateur!V139*Calculateur!X139*VLOOKUP('Données projet'!$B$9,Paramètres!$A$1:$I$89,3,0)*0.475*44/12</f>
        <v>0.68749943472761421</v>
      </c>
      <c r="AB139" s="21">
        <f>EXP(-LN(2)/2)*AB138+(1-EXP(-LN(2)/2))/(LN(2)/2)*V139*Y139*VLOOKUP('Données projet'!$B$9,Paramètres!$A$1:$I$89,3,0)*0.475*44/12</f>
        <v>1.5295987417473245E-16</v>
      </c>
      <c r="AC139" s="22">
        <f t="shared" si="111"/>
        <v>0.99572805699572531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553.99999999999955</v>
      </c>
      <c r="AJ139" s="13">
        <f>AI139*VLOOKUP('Données projet'!$B$10,Paramètres!$A$1:$I$89,3,0)*VLOOKUP('Données projet'!$B$10,Paramètres!$A$1:$I$89,5,0)</f>
        <v>331.29199999999975</v>
      </c>
      <c r="AK139" s="13">
        <f t="shared" si="143"/>
        <v>77.698110787752</v>
      </c>
      <c r="AL139" s="20">
        <f t="shared" si="112"/>
        <v>712.32444295533423</v>
      </c>
      <c r="AM139" s="59">
        <f t="shared" si="113"/>
        <v>1005.6577762886675</v>
      </c>
      <c r="AN139" s="59">
        <f ca="1">AVERAGE(OFFSET($AM$3,0,0,'Données projet'!$E$10+1,1))-AVERAGE(OFFSET($H$3,0,0,'Données projet'!$E$10+1,1))</f>
        <v>316.58509520829671</v>
      </c>
      <c r="AO139" s="59">
        <f t="shared" si="144"/>
        <v>240.71332110643596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0.31060579841211761</v>
      </c>
      <c r="AV139" s="21">
        <f>EXP(-LN(2)/25)*AV138+(1-EXP(-LN(2)/25))/(LN(2)/25)*Calculateur!AQ139*Calculateur!AS139*VLOOKUP('Données projet'!$B$10,Paramètres!$A$1:$I$89,3,0)*0.475*44/12</f>
        <v>0.80800283625992808</v>
      </c>
      <c r="AW139" s="21">
        <f>EXP(-LN(2)/2)*AW138+(1-EXP(-LN(2)/2))/(LN(2)/2)*AQ139*AT139*VLOOKUP('Données projet'!$B$10,Paramètres!$A$1:$I$89,3,0)*0.475*44/12</f>
        <v>2.4357563821620834E-15</v>
      </c>
      <c r="AX139" s="21">
        <f t="shared" si="114"/>
        <v>1.1186086346720481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-1.8089849618263545E-13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314.94704727988847</v>
      </c>
      <c r="BJ139" s="59">
        <f t="shared" si="146"/>
        <v>366.49199094166454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0.47985077050464792</v>
      </c>
      <c r="BQ139" s="21">
        <f>EXP(-LN(2)/25)*BQ138+(1-EXP(-LN(2)/25))/(LN(2)/25)*Calculateur!BL139*Calculateur!BN139*VLOOKUP('Données projet'!$B$11,Paramètres!$A$1:$I$89,3,0)*0.475*44/12</f>
        <v>1.3445729655038459</v>
      </c>
      <c r="BR139" s="21">
        <f>EXP(-LN(2)/2)*BR138+(1-EXP(-LN(2)/2))/(LN(2)/2)*BL139*BO139*VLOOKUP('Données projet'!$B$11,Paramètres!$A$1:$I$89,3,0)*0.475*44/12</f>
        <v>3.2051291155305167E-15</v>
      </c>
      <c r="BS139" s="22">
        <f t="shared" si="117"/>
        <v>1.8244237360084969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-1.8089849618263545E-13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314.94704727988847</v>
      </c>
      <c r="CE139" s="59">
        <f t="shared" si="148"/>
        <v>366.49199094166454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0.47985077050464792</v>
      </c>
      <c r="CL139" s="21">
        <f>EXP(-LN(2)/25)*CL138+(1-EXP(-LN(2)/25))/(LN(2)/25)*Calculateur!CG139*Calculateur!CI139*VLOOKUP('Données projet'!$B$12,Paramètres!$A$1:$I$89,3,0)*0.475*44/12</f>
        <v>1.3445729655038459</v>
      </c>
      <c r="CM139" s="21">
        <f>EXP(-LN(2)/2)*CM138+(1-EXP(-LN(2)/2))/(LN(2)/2)*CG139*CJ139*VLOOKUP('Données projet'!$B$12,Paramètres!$A$1:$I$89,3,0)*0.475*44/12</f>
        <v>3.2051291155305167E-15</v>
      </c>
      <c r="CN139" s="22">
        <f t="shared" si="120"/>
        <v>1.8244237360084969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4.5474735088646412E-13</v>
      </c>
      <c r="CU139" s="17">
        <f>CT139*VLOOKUP('Données projet'!$B$13,Paramètres!$A$1:$I$89,3,0)*VLOOKUP('Données projet'!$B$13,Paramètres!$A$1:$I$89,5,0)</f>
        <v>4.1145540308207271E-13</v>
      </c>
      <c r="CV139" s="13">
        <f t="shared" si="149"/>
        <v>5.2428527960910789E-12</v>
      </c>
      <c r="CW139" s="20">
        <f t="shared" si="121"/>
        <v>9.8479201135599071E-12</v>
      </c>
      <c r="CX139" s="59">
        <f t="shared" si="122"/>
        <v>293.33333333334315</v>
      </c>
      <c r="CY139" s="59">
        <f ca="1">AVERAGE(OFFSET($CX$3,0,0,'Données projet'!$E$13+1,1))-AVERAGE(OFFSET($H$3,0,0,'Données projet'!$E$13+1,1))</f>
        <v>221.7429870520005</v>
      </c>
      <c r="CZ139" s="59">
        <f t="shared" si="150"/>
        <v>182.2029938397186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-1.0345502232667058E-13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199.01551760562705</v>
      </c>
      <c r="T140" s="59">
        <f t="shared" si="142"/>
        <v>269.50915104901367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0.30218444698632935</v>
      </c>
      <c r="AA140" s="21">
        <f>EXP(-LN(2)/25)*AA139+(1-EXP(-LN(2)/25))/(LN(2)/25)*Calculateur!V140*Calculateur!X140*VLOOKUP('Données projet'!$B$9,Paramètres!$A$1:$I$89,3,0)*0.475*44/12</f>
        <v>0.66869972653096366</v>
      </c>
      <c r="AB140" s="21">
        <f>EXP(-LN(2)/2)*AB139+(1-EXP(-LN(2)/2))/(LN(2)/2)*V140*Y140*VLOOKUP('Données projet'!$B$9,Paramètres!$A$1:$I$89,3,0)*0.475*44/12</f>
        <v>1.0815896427839439E-16</v>
      </c>
      <c r="AC140" s="22">
        <f t="shared" si="111"/>
        <v>0.97088417351729317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553.99999999999955</v>
      </c>
      <c r="AJ140" s="13">
        <f>AI140*VLOOKUP('Données projet'!$B$10,Paramètres!$A$1:$I$89,3,0)*VLOOKUP('Données projet'!$B$10,Paramètres!$A$1:$I$89,5,0)</f>
        <v>331.29199999999975</v>
      </c>
      <c r="AK140" s="13">
        <f t="shared" si="143"/>
        <v>77.698110787752</v>
      </c>
      <c r="AL140" s="20">
        <f t="shared" si="112"/>
        <v>712.32444295533423</v>
      </c>
      <c r="AM140" s="59">
        <f t="shared" si="113"/>
        <v>1005.6577762886675</v>
      </c>
      <c r="AN140" s="59">
        <f ca="1">AVERAGE(OFFSET($AM$3,0,0,'Données projet'!$E$10+1,1))-AVERAGE(OFFSET($H$3,0,0,'Données projet'!$E$10+1,1))</f>
        <v>316.58509520829671</v>
      </c>
      <c r="AO140" s="59">
        <f t="shared" si="144"/>
        <v>240.71332110643596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0.30451500815608629</v>
      </c>
      <c r="AV140" s="21">
        <f>EXP(-LN(2)/25)*AV139+(1-EXP(-LN(2)/25))/(LN(2)/25)*Calculateur!AQ140*Calculateur!AS140*VLOOKUP('Données projet'!$B$10,Paramètres!$A$1:$I$89,3,0)*0.475*44/12</f>
        <v>0.78590795621137788</v>
      </c>
      <c r="AW140" s="21">
        <f>EXP(-LN(2)/2)*AW139+(1-EXP(-LN(2)/2))/(LN(2)/2)*AQ140*AT140*VLOOKUP('Données projet'!$B$10,Paramètres!$A$1:$I$89,3,0)*0.475*44/12</f>
        <v>1.7223398551452209E-15</v>
      </c>
      <c r="AX140" s="21">
        <f t="shared" si="114"/>
        <v>1.0904229643674659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-1.8089849618263545E-13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314.94704727988847</v>
      </c>
      <c r="BJ140" s="59">
        <f t="shared" si="146"/>
        <v>366.49199094166454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0.47044118957512204</v>
      </c>
      <c r="BQ140" s="21">
        <f>EXP(-LN(2)/25)*BQ139+(1-EXP(-LN(2)/25))/(LN(2)/25)*Calculateur!BL140*Calculateur!BN140*VLOOKUP('Données projet'!$B$11,Paramètres!$A$1:$I$89,3,0)*0.475*44/12</f>
        <v>1.3078055470541241</v>
      </c>
      <c r="BR140" s="21">
        <f>EXP(-LN(2)/2)*BR139+(1-EXP(-LN(2)/2))/(LN(2)/2)*BL140*BO140*VLOOKUP('Données projet'!$B$11,Paramètres!$A$1:$I$89,3,0)*0.475*44/12</f>
        <v>2.2663685321700696E-15</v>
      </c>
      <c r="BS140" s="22">
        <f t="shared" si="117"/>
        <v>1.7782467366292485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-1.8089849618263545E-13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314.94704727988847</v>
      </c>
      <c r="CE140" s="59">
        <f t="shared" si="148"/>
        <v>366.49199094166454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0.47044118957512204</v>
      </c>
      <c r="CL140" s="21">
        <f>EXP(-LN(2)/25)*CL139+(1-EXP(-LN(2)/25))/(LN(2)/25)*Calculateur!CG140*Calculateur!CI140*VLOOKUP('Données projet'!$B$12,Paramètres!$A$1:$I$89,3,0)*0.475*44/12</f>
        <v>1.3078055470541241</v>
      </c>
      <c r="CM140" s="21">
        <f>EXP(-LN(2)/2)*CM139+(1-EXP(-LN(2)/2))/(LN(2)/2)*CG140*CJ140*VLOOKUP('Données projet'!$B$12,Paramètres!$A$1:$I$89,3,0)*0.475*44/12</f>
        <v>2.2663685321700696E-15</v>
      </c>
      <c r="CN140" s="22">
        <f t="shared" si="120"/>
        <v>1.7782467366292485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4.5474735088646412E-13</v>
      </c>
      <c r="CU140" s="17">
        <f>CT140*VLOOKUP('Données projet'!$B$13,Paramètres!$A$1:$I$89,3,0)*VLOOKUP('Données projet'!$B$13,Paramètres!$A$1:$I$89,5,0)</f>
        <v>4.1145540308207271E-13</v>
      </c>
      <c r="CV140" s="13">
        <f t="shared" si="149"/>
        <v>5.2428527960910789E-12</v>
      </c>
      <c r="CW140" s="20">
        <f t="shared" si="121"/>
        <v>9.8479201135599071E-12</v>
      </c>
      <c r="CX140" s="59">
        <f t="shared" si="122"/>
        <v>293.33333333334315</v>
      </c>
      <c r="CY140" s="59">
        <f ca="1">AVERAGE(OFFSET($CX$3,0,0,'Données projet'!$E$13+1,1))-AVERAGE(OFFSET($H$3,0,0,'Données projet'!$E$13+1,1))</f>
        <v>221.7429870520005</v>
      </c>
      <c r="CZ140" s="59">
        <f t="shared" si="150"/>
        <v>182.2029938397186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-1.0345502232667058E-13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199.01551760562705</v>
      </c>
      <c r="T141" s="59">
        <f t="shared" si="142"/>
        <v>269.50915104901367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0.29625879429524055</v>
      </c>
      <c r="AA141" s="21">
        <f>EXP(-LN(2)/25)*AA140+(1-EXP(-LN(2)/25))/(LN(2)/25)*Calculateur!V141*Calculateur!X141*VLOOKUP('Données projet'!$B$9,Paramètres!$A$1:$I$89,3,0)*0.475*44/12</f>
        <v>0.65041409734358413</v>
      </c>
      <c r="AB141" s="21">
        <f>EXP(-LN(2)/2)*AB140+(1-EXP(-LN(2)/2))/(LN(2)/2)*V141*Y141*VLOOKUP('Données projet'!$B$9,Paramètres!$A$1:$I$89,3,0)*0.475*44/12</f>
        <v>7.6479937087366236E-17</v>
      </c>
      <c r="AC141" s="22">
        <f t="shared" si="111"/>
        <v>0.94667289163882484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553.99999999999955</v>
      </c>
      <c r="AJ141" s="13">
        <f>AI141*VLOOKUP('Données projet'!$B$10,Paramètres!$A$1:$I$89,3,0)*VLOOKUP('Données projet'!$B$10,Paramètres!$A$1:$I$89,5,0)</f>
        <v>331.29199999999975</v>
      </c>
      <c r="AK141" s="13">
        <f t="shared" si="143"/>
        <v>77.698110787752</v>
      </c>
      <c r="AL141" s="20">
        <f t="shared" si="112"/>
        <v>712.32444295533423</v>
      </c>
      <c r="AM141" s="59">
        <f t="shared" si="113"/>
        <v>1005.6577762886675</v>
      </c>
      <c r="AN141" s="59">
        <f ca="1">AVERAGE(OFFSET($AM$3,0,0,'Données projet'!$E$10+1,1))-AVERAGE(OFFSET($H$3,0,0,'Données projet'!$E$10+1,1))</f>
        <v>316.58509520829671</v>
      </c>
      <c r="AO141" s="59">
        <f t="shared" si="144"/>
        <v>240.71332110643596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0.29854365458196053</v>
      </c>
      <c r="AV141" s="21">
        <f>EXP(-LN(2)/25)*AV140+(1-EXP(-LN(2)/25))/(LN(2)/25)*Calculateur!AQ141*Calculateur!AS141*VLOOKUP('Données projet'!$B$10,Paramètres!$A$1:$I$89,3,0)*0.475*44/12</f>
        <v>0.76441726181967451</v>
      </c>
      <c r="AW141" s="21">
        <f>EXP(-LN(2)/2)*AW140+(1-EXP(-LN(2)/2))/(LN(2)/2)*AQ141*AT141*VLOOKUP('Données projet'!$B$10,Paramètres!$A$1:$I$89,3,0)*0.475*44/12</f>
        <v>1.2178781910810417E-15</v>
      </c>
      <c r="AX141" s="21">
        <f t="shared" si="114"/>
        <v>1.062960916401636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-1.8089849618263545E-13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314.94704727988847</v>
      </c>
      <c r="BJ141" s="59">
        <f t="shared" si="146"/>
        <v>366.49199094166454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0.4612161247883465</v>
      </c>
      <c r="BQ141" s="21">
        <f>EXP(-LN(2)/25)*BQ140+(1-EXP(-LN(2)/25))/(LN(2)/25)*Calculateur!BL141*Calculateur!BN141*VLOOKUP('Données projet'!$B$11,Paramètres!$A$1:$I$89,3,0)*0.475*44/12</f>
        <v>1.2720435355954245</v>
      </c>
      <c r="BR141" s="21">
        <f>EXP(-LN(2)/2)*BR140+(1-EXP(-LN(2)/2))/(LN(2)/2)*BL141*BO141*VLOOKUP('Données projet'!$B$11,Paramètres!$A$1:$I$89,3,0)*0.475*44/12</f>
        <v>1.6025645577652583E-15</v>
      </c>
      <c r="BS141" s="22">
        <f t="shared" si="117"/>
        <v>1.7332596603837727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-1.8089849618263545E-13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314.94704727988847</v>
      </c>
      <c r="CE141" s="59">
        <f t="shared" si="148"/>
        <v>366.49199094166454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0.4612161247883465</v>
      </c>
      <c r="CL141" s="21">
        <f>EXP(-LN(2)/25)*CL140+(1-EXP(-LN(2)/25))/(LN(2)/25)*Calculateur!CG141*Calculateur!CI141*VLOOKUP('Données projet'!$B$12,Paramètres!$A$1:$I$89,3,0)*0.475*44/12</f>
        <v>1.2720435355954245</v>
      </c>
      <c r="CM141" s="21">
        <f>EXP(-LN(2)/2)*CM140+(1-EXP(-LN(2)/2))/(LN(2)/2)*CG141*CJ141*VLOOKUP('Données projet'!$B$12,Paramètres!$A$1:$I$89,3,0)*0.475*44/12</f>
        <v>1.6025645577652583E-15</v>
      </c>
      <c r="CN141" s="22">
        <f t="shared" si="120"/>
        <v>1.7332596603837727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4.5474735088646412E-13</v>
      </c>
      <c r="CU141" s="17">
        <f>CT141*VLOOKUP('Données projet'!$B$13,Paramètres!$A$1:$I$89,3,0)*VLOOKUP('Données projet'!$B$13,Paramètres!$A$1:$I$89,5,0)</f>
        <v>4.1145540308207271E-13</v>
      </c>
      <c r="CV141" s="13">
        <f t="shared" si="149"/>
        <v>5.2428527960910789E-12</v>
      </c>
      <c r="CW141" s="20">
        <f t="shared" si="121"/>
        <v>9.8479201135599071E-12</v>
      </c>
      <c r="CX141" s="59">
        <f t="shared" si="122"/>
        <v>293.33333333334315</v>
      </c>
      <c r="CY141" s="59">
        <f ca="1">AVERAGE(OFFSET($CX$3,0,0,'Données projet'!$E$13+1,1))-AVERAGE(OFFSET($H$3,0,0,'Données projet'!$E$13+1,1))</f>
        <v>221.7429870520005</v>
      </c>
      <c r="CZ141" s="59">
        <f t="shared" si="150"/>
        <v>182.2029938397186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-1.0345502232667058E-13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199.01551760562705</v>
      </c>
      <c r="T142" s="59">
        <f t="shared" si="142"/>
        <v>269.50915104901367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0.29044934003913275</v>
      </c>
      <c r="AA142" s="21">
        <f>EXP(-LN(2)/25)*AA141+(1-EXP(-LN(2)/25))/(LN(2)/25)*Calculateur!V142*Calculateur!X142*VLOOKUP('Données projet'!$B$9,Paramètres!$A$1:$I$89,3,0)*0.475*44/12</f>
        <v>0.63262848964793295</v>
      </c>
      <c r="AB142" s="21">
        <f>EXP(-LN(2)/2)*AB141+(1-EXP(-LN(2)/2))/(LN(2)/2)*V142*Y142*VLOOKUP('Données projet'!$B$9,Paramètres!$A$1:$I$89,3,0)*0.475*44/12</f>
        <v>5.4079482139197199E-17</v>
      </c>
      <c r="AC142" s="22">
        <f t="shared" si="111"/>
        <v>0.92307782968706564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553.99999999999955</v>
      </c>
      <c r="AJ142" s="13">
        <f>AI142*VLOOKUP('Données projet'!$B$10,Paramètres!$A$1:$I$89,3,0)*VLOOKUP('Données projet'!$B$10,Paramètres!$A$1:$I$89,5,0)</f>
        <v>331.29199999999975</v>
      </c>
      <c r="AK142" s="13">
        <f t="shared" si="143"/>
        <v>77.698110787752</v>
      </c>
      <c r="AL142" s="20">
        <f t="shared" si="112"/>
        <v>712.32444295533423</v>
      </c>
      <c r="AM142" s="59">
        <f t="shared" si="113"/>
        <v>1005.6577762886675</v>
      </c>
      <c r="AN142" s="59">
        <f ca="1">AVERAGE(OFFSET($AM$3,0,0,'Données projet'!$E$10+1,1))-AVERAGE(OFFSET($H$3,0,0,'Données projet'!$E$10+1,1))</f>
        <v>316.58509520829671</v>
      </c>
      <c r="AO142" s="59">
        <f t="shared" si="144"/>
        <v>240.71332110643596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0.29268939560925733</v>
      </c>
      <c r="AV142" s="21">
        <f>EXP(-LN(2)/25)*AV141+(1-EXP(-LN(2)/25))/(LN(2)/25)*Calculateur!AQ142*Calculateur!AS142*VLOOKUP('Données projet'!$B$10,Paramètres!$A$1:$I$89,3,0)*0.475*44/12</f>
        <v>0.74351423159625885</v>
      </c>
      <c r="AW142" s="21">
        <f>EXP(-LN(2)/2)*AW141+(1-EXP(-LN(2)/2))/(LN(2)/2)*AQ142*AT142*VLOOKUP('Données projet'!$B$10,Paramètres!$A$1:$I$89,3,0)*0.475*44/12</f>
        <v>8.6116992757261047E-16</v>
      </c>
      <c r="AX142" s="21">
        <f t="shared" si="114"/>
        <v>1.0362036272055171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-1.8089849618263545E-13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314.94704727988847</v>
      </c>
      <c r="BJ142" s="59">
        <f t="shared" si="146"/>
        <v>366.49199094166454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0.45217195789530568</v>
      </c>
      <c r="BQ142" s="21">
        <f>EXP(-LN(2)/25)*BQ141+(1-EXP(-LN(2)/25))/(LN(2)/25)*Calculateur!BL142*Calculateur!BN142*VLOOKUP('Données projet'!$B$11,Paramètres!$A$1:$I$89,3,0)*0.475*44/12</f>
        <v>1.2372594382207054</v>
      </c>
      <c r="BR142" s="21">
        <f>EXP(-LN(2)/2)*BR141+(1-EXP(-LN(2)/2))/(LN(2)/2)*BL142*BO142*VLOOKUP('Données projet'!$B$11,Paramètres!$A$1:$I$89,3,0)*0.475*44/12</f>
        <v>1.1331842660850348E-15</v>
      </c>
      <c r="BS142" s="22">
        <f t="shared" si="117"/>
        <v>1.6894313961160121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-1.8089849618263545E-13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314.94704727988847</v>
      </c>
      <c r="CE142" s="59">
        <f t="shared" si="148"/>
        <v>366.49199094166454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0.45217195789530568</v>
      </c>
      <c r="CL142" s="21">
        <f>EXP(-LN(2)/25)*CL141+(1-EXP(-LN(2)/25))/(LN(2)/25)*Calculateur!CG142*Calculateur!CI142*VLOOKUP('Données projet'!$B$12,Paramètres!$A$1:$I$89,3,0)*0.475*44/12</f>
        <v>1.2372594382207054</v>
      </c>
      <c r="CM142" s="21">
        <f>EXP(-LN(2)/2)*CM141+(1-EXP(-LN(2)/2))/(LN(2)/2)*CG142*CJ142*VLOOKUP('Données projet'!$B$12,Paramètres!$A$1:$I$89,3,0)*0.475*44/12</f>
        <v>1.1331842660850348E-15</v>
      </c>
      <c r="CN142" s="22">
        <f t="shared" si="120"/>
        <v>1.6894313961160121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4.5474735088646412E-13</v>
      </c>
      <c r="CU142" s="17">
        <f>CT142*VLOOKUP('Données projet'!$B$13,Paramètres!$A$1:$I$89,3,0)*VLOOKUP('Données projet'!$B$13,Paramètres!$A$1:$I$89,5,0)</f>
        <v>4.1145540308207271E-13</v>
      </c>
      <c r="CV142" s="13">
        <f t="shared" si="149"/>
        <v>5.2428527960910789E-12</v>
      </c>
      <c r="CW142" s="20">
        <f t="shared" si="121"/>
        <v>9.8479201135599071E-12</v>
      </c>
      <c r="CX142" s="59">
        <f t="shared" si="122"/>
        <v>293.33333333334315</v>
      </c>
      <c r="CY142" s="59">
        <f ca="1">AVERAGE(OFFSET($CX$3,0,0,'Données projet'!$E$13+1,1))-AVERAGE(OFFSET($H$3,0,0,'Données projet'!$E$13+1,1))</f>
        <v>221.7429870520005</v>
      </c>
      <c r="CZ142" s="59">
        <f t="shared" si="150"/>
        <v>182.2029938397186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-1.0345502232667058E-13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199.01551760562705</v>
      </c>
      <c r="T143" s="59">
        <f t="shared" si="142"/>
        <v>269.50915104901367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0.28475380563757002</v>
      </c>
      <c r="AA143" s="21">
        <f>EXP(-LN(2)/25)*AA142+(1-EXP(-LN(2)/25))/(LN(2)/25)*Calculateur!V143*Calculateur!X143*VLOOKUP('Données projet'!$B$9,Paramètres!$A$1:$I$89,3,0)*0.475*44/12</f>
        <v>0.61532923033002385</v>
      </c>
      <c r="AB143" s="21">
        <f>EXP(-LN(2)/2)*AB142+(1-EXP(-LN(2)/2))/(LN(2)/2)*V143*Y143*VLOOKUP('Données projet'!$B$9,Paramètres!$A$1:$I$89,3,0)*0.475*44/12</f>
        <v>3.8239968543683124E-17</v>
      </c>
      <c r="AC143" s="22">
        <f t="shared" si="111"/>
        <v>0.90008303596759387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553.99999999999955</v>
      </c>
      <c r="AJ143" s="13">
        <f>AI143*VLOOKUP('Données projet'!$B$10,Paramètres!$A$1:$I$89,3,0)*VLOOKUP('Données projet'!$B$10,Paramètres!$A$1:$I$89,5,0)</f>
        <v>331.29199999999975</v>
      </c>
      <c r="AK143" s="13">
        <f t="shared" si="143"/>
        <v>77.698110787752</v>
      </c>
      <c r="AL143" s="20">
        <f t="shared" si="112"/>
        <v>712.32444295533423</v>
      </c>
      <c r="AM143" s="59">
        <f t="shared" si="113"/>
        <v>1005.6577762886675</v>
      </c>
      <c r="AN143" s="59">
        <f ca="1">AVERAGE(OFFSET($AM$3,0,0,'Données projet'!$E$10+1,1))-AVERAGE(OFFSET($H$3,0,0,'Données projet'!$E$10+1,1))</f>
        <v>316.58509520829671</v>
      </c>
      <c r="AO143" s="59">
        <f t="shared" si="144"/>
        <v>240.71332110643596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0.28694993508426342</v>
      </c>
      <c r="AV143" s="21">
        <f>EXP(-LN(2)/25)*AV142+(1-EXP(-LN(2)/25))/(LN(2)/25)*Calculateur!AQ143*Calculateur!AS143*VLOOKUP('Données projet'!$B$10,Paramètres!$A$1:$I$89,3,0)*0.475*44/12</f>
        <v>0.72318279583354506</v>
      </c>
      <c r="AW143" s="21">
        <f>EXP(-LN(2)/2)*AW142+(1-EXP(-LN(2)/2))/(LN(2)/2)*AQ143*AT143*VLOOKUP('Données projet'!$B$10,Paramètres!$A$1:$I$89,3,0)*0.475*44/12</f>
        <v>6.0893909554052084E-16</v>
      </c>
      <c r="AX143" s="21">
        <f t="shared" si="114"/>
        <v>1.0101327309178092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-1.8089849618263545E-13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314.94704727988847</v>
      </c>
      <c r="BJ143" s="59">
        <f t="shared" si="146"/>
        <v>366.49199094166454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0.44330514159864032</v>
      </c>
      <c r="BQ143" s="21">
        <f>EXP(-LN(2)/25)*BQ142+(1-EXP(-LN(2)/25))/(LN(2)/25)*Calculateur!BL143*Calculateur!BN143*VLOOKUP('Données projet'!$B$11,Paramètres!$A$1:$I$89,3,0)*0.475*44/12</f>
        <v>1.2034265138179141</v>
      </c>
      <c r="BR143" s="21">
        <f>EXP(-LN(2)/2)*BR142+(1-EXP(-LN(2)/2))/(LN(2)/2)*BL143*BO143*VLOOKUP('Données projet'!$B$11,Paramètres!$A$1:$I$89,3,0)*0.475*44/12</f>
        <v>8.0128227888262917E-16</v>
      </c>
      <c r="BS143" s="22">
        <f t="shared" si="117"/>
        <v>1.6467316554165552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-1.8089849618263545E-13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314.94704727988847</v>
      </c>
      <c r="CE143" s="59">
        <f t="shared" si="148"/>
        <v>366.49199094166454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0.44330514159864032</v>
      </c>
      <c r="CL143" s="21">
        <f>EXP(-LN(2)/25)*CL142+(1-EXP(-LN(2)/25))/(LN(2)/25)*Calculateur!CG143*Calculateur!CI143*VLOOKUP('Données projet'!$B$12,Paramètres!$A$1:$I$89,3,0)*0.475*44/12</f>
        <v>1.2034265138179141</v>
      </c>
      <c r="CM143" s="21">
        <f>EXP(-LN(2)/2)*CM142+(1-EXP(-LN(2)/2))/(LN(2)/2)*CG143*CJ143*VLOOKUP('Données projet'!$B$12,Paramètres!$A$1:$I$89,3,0)*0.475*44/12</f>
        <v>8.0128227888262917E-16</v>
      </c>
      <c r="CN143" s="22">
        <f t="shared" si="120"/>
        <v>1.6467316554165552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4.5474735088646412E-13</v>
      </c>
      <c r="CU143" s="17">
        <f>CT143*VLOOKUP('Données projet'!$B$13,Paramètres!$A$1:$I$89,3,0)*VLOOKUP('Données projet'!$B$13,Paramètres!$A$1:$I$89,5,0)</f>
        <v>4.1145540308207271E-13</v>
      </c>
      <c r="CV143" s="13">
        <f t="shared" si="149"/>
        <v>5.2428527960910789E-12</v>
      </c>
      <c r="CW143" s="20">
        <f t="shared" si="121"/>
        <v>9.8479201135599071E-12</v>
      </c>
      <c r="CX143" s="59">
        <f t="shared" si="122"/>
        <v>293.33333333334315</v>
      </c>
      <c r="CY143" s="59">
        <f ca="1">AVERAGE(OFFSET($CX$3,0,0,'Données projet'!$E$13+1,1))-AVERAGE(OFFSET($H$3,0,0,'Données projet'!$E$13+1,1))</f>
        <v>221.7429870520005</v>
      </c>
      <c r="CZ143" s="59">
        <f t="shared" si="150"/>
        <v>182.2029938397186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-1.0345502232667058E-13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199.01551760562705</v>
      </c>
      <c r="T144" s="59">
        <f t="shared" si="142"/>
        <v>269.50915104901367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0.27916995719168897</v>
      </c>
      <c r="AA144" s="21">
        <f>EXP(-LN(2)/25)*AA143+(1-EXP(-LN(2)/25))/(LN(2)/25)*Calculateur!V144*Calculateur!X144*VLOOKUP('Données projet'!$B$9,Paramètres!$A$1:$I$89,3,0)*0.475*44/12</f>
        <v>0.59850302016789148</v>
      </c>
      <c r="AB144" s="21">
        <f>EXP(-LN(2)/2)*AB143+(1-EXP(-LN(2)/2))/(LN(2)/2)*V144*Y144*VLOOKUP('Données projet'!$B$9,Paramètres!$A$1:$I$89,3,0)*0.475*44/12</f>
        <v>2.7039741069598606E-17</v>
      </c>
      <c r="AC144" s="22">
        <f t="shared" si="111"/>
        <v>0.87767297735958039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553.99999999999955</v>
      </c>
      <c r="AJ144" s="13">
        <f>AI144*VLOOKUP('Données projet'!$B$10,Paramètres!$A$1:$I$89,3,0)*VLOOKUP('Données projet'!$B$10,Paramètres!$A$1:$I$89,5,0)</f>
        <v>331.29199999999975</v>
      </c>
      <c r="AK144" s="13">
        <f t="shared" si="143"/>
        <v>77.698110787752</v>
      </c>
      <c r="AL144" s="20">
        <f t="shared" si="112"/>
        <v>712.32444295533423</v>
      </c>
      <c r="AM144" s="59">
        <f t="shared" si="113"/>
        <v>1005.6577762886675</v>
      </c>
      <c r="AN144" s="59">
        <f ca="1">AVERAGE(OFFSET($AM$3,0,0,'Données projet'!$E$10+1,1))-AVERAGE(OFFSET($H$3,0,0,'Données projet'!$E$10+1,1))</f>
        <v>316.58509520829671</v>
      </c>
      <c r="AO144" s="59">
        <f t="shared" si="144"/>
        <v>240.71332110643596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0.28132302187943942</v>
      </c>
      <c r="AV144" s="21">
        <f>EXP(-LN(2)/25)*AV143+(1-EXP(-LN(2)/25))/(LN(2)/25)*Calculateur!AQ144*Calculateur!AS144*VLOOKUP('Données projet'!$B$10,Paramètres!$A$1:$I$89,3,0)*0.475*44/12</f>
        <v>0.70340732425094643</v>
      </c>
      <c r="AW144" s="21">
        <f>EXP(-LN(2)/2)*AW143+(1-EXP(-LN(2)/2))/(LN(2)/2)*AQ144*AT144*VLOOKUP('Données projet'!$B$10,Paramètres!$A$1:$I$89,3,0)*0.475*44/12</f>
        <v>4.3058496378630523E-16</v>
      </c>
      <c r="AX144" s="21">
        <f t="shared" si="114"/>
        <v>0.98473034613038624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-1.8089849618263545E-13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314.94704727988847</v>
      </c>
      <c r="BJ144" s="59">
        <f t="shared" si="146"/>
        <v>366.49199094166454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0.43461219816132862</v>
      </c>
      <c r="BQ144" s="21">
        <f>EXP(-LN(2)/25)*BQ143+(1-EXP(-LN(2)/25))/(LN(2)/25)*Calculateur!BL144*Calculateur!BN144*VLOOKUP('Données projet'!$B$11,Paramètres!$A$1:$I$89,3,0)*0.475*44/12</f>
        <v>1.1705187525121132</v>
      </c>
      <c r="BR144" s="21">
        <f>EXP(-LN(2)/2)*BR143+(1-EXP(-LN(2)/2))/(LN(2)/2)*BL144*BO144*VLOOKUP('Données projet'!$B$11,Paramètres!$A$1:$I$89,3,0)*0.475*44/12</f>
        <v>5.6659213304251741E-16</v>
      </c>
      <c r="BS144" s="22">
        <f t="shared" si="117"/>
        <v>1.6051309506734426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-1.8089849618263545E-13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314.94704727988847</v>
      </c>
      <c r="CE144" s="59">
        <f t="shared" si="148"/>
        <v>366.49199094166454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0.43461219816132862</v>
      </c>
      <c r="CL144" s="21">
        <f>EXP(-LN(2)/25)*CL143+(1-EXP(-LN(2)/25))/(LN(2)/25)*Calculateur!CG144*Calculateur!CI144*VLOOKUP('Données projet'!$B$12,Paramètres!$A$1:$I$89,3,0)*0.475*44/12</f>
        <v>1.1705187525121132</v>
      </c>
      <c r="CM144" s="21">
        <f>EXP(-LN(2)/2)*CM143+(1-EXP(-LN(2)/2))/(LN(2)/2)*CG144*CJ144*VLOOKUP('Données projet'!$B$12,Paramètres!$A$1:$I$89,3,0)*0.475*44/12</f>
        <v>5.6659213304251741E-16</v>
      </c>
      <c r="CN144" s="22">
        <f t="shared" si="120"/>
        <v>1.6051309506734426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4.5474735088646412E-13</v>
      </c>
      <c r="CU144" s="17">
        <f>CT144*VLOOKUP('Données projet'!$B$13,Paramètres!$A$1:$I$89,3,0)*VLOOKUP('Données projet'!$B$13,Paramètres!$A$1:$I$89,5,0)</f>
        <v>4.1145540308207271E-13</v>
      </c>
      <c r="CV144" s="13">
        <f t="shared" si="149"/>
        <v>5.2428527960910789E-12</v>
      </c>
      <c r="CW144" s="20">
        <f t="shared" si="121"/>
        <v>9.8479201135599071E-12</v>
      </c>
      <c r="CX144" s="59">
        <f t="shared" si="122"/>
        <v>293.33333333334315</v>
      </c>
      <c r="CY144" s="59">
        <f ca="1">AVERAGE(OFFSET($CX$3,0,0,'Données projet'!$E$13+1,1))-AVERAGE(OFFSET($H$3,0,0,'Données projet'!$E$13+1,1))</f>
        <v>221.7429870520005</v>
      </c>
      <c r="CZ144" s="59">
        <f t="shared" si="150"/>
        <v>182.2029938397186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-1.0345502232667058E-13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199.01551760562705</v>
      </c>
      <c r="T145" s="59">
        <f t="shared" si="142"/>
        <v>269.50915104901367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0.27369560460802039</v>
      </c>
      <c r="AA145" s="21">
        <f>EXP(-LN(2)/25)*AA144+(1-EXP(-LN(2)/25))/(LN(2)/25)*Calculateur!V145*Calculateur!X145*VLOOKUP('Données projet'!$B$9,Paramètres!$A$1:$I$89,3,0)*0.475*44/12</f>
        <v>0.58213692360749458</v>
      </c>
      <c r="AB145" s="21">
        <f>EXP(-LN(2)/2)*AB144+(1-EXP(-LN(2)/2))/(LN(2)/2)*V145*Y145*VLOOKUP('Données projet'!$B$9,Paramètres!$A$1:$I$89,3,0)*0.475*44/12</f>
        <v>1.9119984271841565E-17</v>
      </c>
      <c r="AC145" s="22">
        <f t="shared" si="111"/>
        <v>0.85583252821551503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553.99999999999955</v>
      </c>
      <c r="AJ145" s="13">
        <f>AI145*VLOOKUP('Données projet'!$B$10,Paramètres!$A$1:$I$89,3,0)*VLOOKUP('Données projet'!$B$10,Paramètres!$A$1:$I$89,5,0)</f>
        <v>331.29199999999975</v>
      </c>
      <c r="AK145" s="13">
        <f t="shared" si="143"/>
        <v>77.698110787752</v>
      </c>
      <c r="AL145" s="20">
        <f t="shared" si="112"/>
        <v>712.32444295533423</v>
      </c>
      <c r="AM145" s="59">
        <f t="shared" si="113"/>
        <v>1005.6577762886675</v>
      </c>
      <c r="AN145" s="59">
        <f ca="1">AVERAGE(OFFSET($AM$3,0,0,'Données projet'!$E$10+1,1))-AVERAGE(OFFSET($H$3,0,0,'Données projet'!$E$10+1,1))</f>
        <v>316.58509520829671</v>
      </c>
      <c r="AO145" s="59">
        <f t="shared" si="144"/>
        <v>240.71332110643596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0.27580644901048385</v>
      </c>
      <c r="AV145" s="21">
        <f>EXP(-LN(2)/25)*AV144+(1-EXP(-LN(2)/25))/(LN(2)/25)*Calculateur!AQ145*Calculateur!AS145*VLOOKUP('Données projet'!$B$10,Paramètres!$A$1:$I$89,3,0)*0.475*44/12</f>
        <v>0.68417261397872076</v>
      </c>
      <c r="AW145" s="21">
        <f>EXP(-LN(2)/2)*AW144+(1-EXP(-LN(2)/2))/(LN(2)/2)*AQ145*AT145*VLOOKUP('Données projet'!$B$10,Paramètres!$A$1:$I$89,3,0)*0.475*44/12</f>
        <v>3.0446954777026042E-16</v>
      </c>
      <c r="AX145" s="21">
        <f t="shared" si="114"/>
        <v>0.95997906298920499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-1.8089849618263545E-13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314.94704727988847</v>
      </c>
      <c r="BJ145" s="59">
        <f t="shared" si="146"/>
        <v>366.49199094166454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0.42608971804265067</v>
      </c>
      <c r="BQ145" s="21">
        <f>EXP(-LN(2)/25)*BQ144+(1-EXP(-LN(2)/25))/(LN(2)/25)*Calculateur!BL145*Calculateur!BN145*VLOOKUP('Données projet'!$B$11,Paramètres!$A$1:$I$89,3,0)*0.475*44/12</f>
        <v>1.1385108556697636</v>
      </c>
      <c r="BR145" s="21">
        <f>EXP(-LN(2)/2)*BR144+(1-EXP(-LN(2)/2))/(LN(2)/2)*BL145*BO145*VLOOKUP('Données projet'!$B$11,Paramètres!$A$1:$I$89,3,0)*0.475*44/12</f>
        <v>4.0064113944131459E-16</v>
      </c>
      <c r="BS145" s="22">
        <f t="shared" si="117"/>
        <v>1.5646005737124147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-1.8089849618263545E-13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314.94704727988847</v>
      </c>
      <c r="CE145" s="59">
        <f t="shared" si="148"/>
        <v>366.49199094166454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0.42608971804265067</v>
      </c>
      <c r="CL145" s="21">
        <f>EXP(-LN(2)/25)*CL144+(1-EXP(-LN(2)/25))/(LN(2)/25)*Calculateur!CG145*Calculateur!CI145*VLOOKUP('Données projet'!$B$12,Paramètres!$A$1:$I$89,3,0)*0.475*44/12</f>
        <v>1.1385108556697636</v>
      </c>
      <c r="CM145" s="21">
        <f>EXP(-LN(2)/2)*CM144+(1-EXP(-LN(2)/2))/(LN(2)/2)*CG145*CJ145*VLOOKUP('Données projet'!$B$12,Paramètres!$A$1:$I$89,3,0)*0.475*44/12</f>
        <v>4.0064113944131459E-16</v>
      </c>
      <c r="CN145" s="22">
        <f t="shared" si="120"/>
        <v>1.5646005737124147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4.5474735088646412E-13</v>
      </c>
      <c r="CU145" s="17">
        <f>CT145*VLOOKUP('Données projet'!$B$13,Paramètres!$A$1:$I$89,3,0)*VLOOKUP('Données projet'!$B$13,Paramètres!$A$1:$I$89,5,0)</f>
        <v>4.1145540308207271E-13</v>
      </c>
      <c r="CV145" s="13">
        <f t="shared" si="149"/>
        <v>5.2428527960910789E-12</v>
      </c>
      <c r="CW145" s="20">
        <f t="shared" si="121"/>
        <v>9.8479201135599071E-12</v>
      </c>
      <c r="CX145" s="59">
        <f t="shared" si="122"/>
        <v>293.33333333334315</v>
      </c>
      <c r="CY145" s="59">
        <f ca="1">AVERAGE(OFFSET($CX$3,0,0,'Données projet'!$E$13+1,1))-AVERAGE(OFFSET($H$3,0,0,'Données projet'!$E$13+1,1))</f>
        <v>221.7429870520005</v>
      </c>
      <c r="CZ145" s="59">
        <f t="shared" si="150"/>
        <v>182.2029938397186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-1.0345502232667058E-13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199.01551760562705</v>
      </c>
      <c r="T146" s="59">
        <f t="shared" si="142"/>
        <v>269.50915104901367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0.26832860073949216</v>
      </c>
      <c r="AA146" s="21">
        <f>EXP(-LN(2)/25)*AA145+(1-EXP(-LN(2)/25))/(LN(2)/25)*Calculateur!V146*Calculateur!X146*VLOOKUP('Données projet'!$B$9,Paramètres!$A$1:$I$89,3,0)*0.475*44/12</f>
        <v>0.56621835881819738</v>
      </c>
      <c r="AB146" s="21">
        <f>EXP(-LN(2)/2)*AB145+(1-EXP(-LN(2)/2))/(LN(2)/2)*V146*Y146*VLOOKUP('Données projet'!$B$9,Paramètres!$A$1:$I$89,3,0)*0.475*44/12</f>
        <v>1.3519870534799304E-17</v>
      </c>
      <c r="AC146" s="22">
        <f t="shared" si="111"/>
        <v>0.83454695955768954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553.99999999999955</v>
      </c>
      <c r="AJ146" s="13">
        <f>AI146*VLOOKUP('Données projet'!$B$10,Paramètres!$A$1:$I$89,3,0)*VLOOKUP('Données projet'!$B$10,Paramètres!$A$1:$I$89,5,0)</f>
        <v>331.29199999999975</v>
      </c>
      <c r="AK146" s="13">
        <f t="shared" si="143"/>
        <v>77.698110787752</v>
      </c>
      <c r="AL146" s="20">
        <f t="shared" si="112"/>
        <v>712.32444295533423</v>
      </c>
      <c r="AM146" s="59">
        <f t="shared" si="113"/>
        <v>1005.6577762886675</v>
      </c>
      <c r="AN146" s="59">
        <f ca="1">AVERAGE(OFFSET($AM$3,0,0,'Données projet'!$E$10+1,1))-AVERAGE(OFFSET($H$3,0,0,'Données projet'!$E$10+1,1))</f>
        <v>316.58509520829671</v>
      </c>
      <c r="AO146" s="59">
        <f t="shared" si="144"/>
        <v>240.71332110643596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0.27039805277071127</v>
      </c>
      <c r="AV146" s="21">
        <f>EXP(-LN(2)/25)*AV145+(1-EXP(-LN(2)/25))/(LN(2)/25)*Calculateur!AQ146*Calculateur!AS146*VLOOKUP('Données projet'!$B$10,Paramètres!$A$1:$I$89,3,0)*0.475*44/12</f>
        <v>0.66546387787039851</v>
      </c>
      <c r="AW146" s="21">
        <f>EXP(-LN(2)/2)*AW145+(1-EXP(-LN(2)/2))/(LN(2)/2)*AQ146*AT146*VLOOKUP('Données projet'!$B$10,Paramètres!$A$1:$I$89,3,0)*0.475*44/12</f>
        <v>2.1529248189315262E-16</v>
      </c>
      <c r="AX146" s="21">
        <f t="shared" si="114"/>
        <v>0.93586193064111001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-1.8089849618263545E-13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314.94704727988847</v>
      </c>
      <c r="BJ146" s="59">
        <f t="shared" si="146"/>
        <v>366.49199094166454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0.41773435856090035</v>
      </c>
      <c r="BQ146" s="21">
        <f>EXP(-LN(2)/25)*BQ145+(1-EXP(-LN(2)/25))/(LN(2)/25)*Calculateur!BL146*Calculateur!BN146*VLOOKUP('Données projet'!$B$11,Paramètres!$A$1:$I$89,3,0)*0.475*44/12</f>
        <v>1.1073782164497901</v>
      </c>
      <c r="BR146" s="21">
        <f>EXP(-LN(2)/2)*BR145+(1-EXP(-LN(2)/2))/(LN(2)/2)*BL146*BO146*VLOOKUP('Données projet'!$B$11,Paramètres!$A$1:$I$89,3,0)*0.475*44/12</f>
        <v>2.832960665212587E-16</v>
      </c>
      <c r="BS146" s="22">
        <f t="shared" si="117"/>
        <v>1.5251125750106906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-1.8089849618263545E-13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314.94704727988847</v>
      </c>
      <c r="CE146" s="59">
        <f t="shared" si="148"/>
        <v>366.49199094166454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0.41773435856090035</v>
      </c>
      <c r="CL146" s="21">
        <f>EXP(-LN(2)/25)*CL145+(1-EXP(-LN(2)/25))/(LN(2)/25)*Calculateur!CG146*Calculateur!CI146*VLOOKUP('Données projet'!$B$12,Paramètres!$A$1:$I$89,3,0)*0.475*44/12</f>
        <v>1.1073782164497901</v>
      </c>
      <c r="CM146" s="21">
        <f>EXP(-LN(2)/2)*CM145+(1-EXP(-LN(2)/2))/(LN(2)/2)*CG146*CJ146*VLOOKUP('Données projet'!$B$12,Paramètres!$A$1:$I$89,3,0)*0.475*44/12</f>
        <v>2.832960665212587E-16</v>
      </c>
      <c r="CN146" s="22">
        <f t="shared" si="120"/>
        <v>1.5251125750106906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4.5474735088646412E-13</v>
      </c>
      <c r="CU146" s="17">
        <f>CT146*VLOOKUP('Données projet'!$B$13,Paramètres!$A$1:$I$89,3,0)*VLOOKUP('Données projet'!$B$13,Paramètres!$A$1:$I$89,5,0)</f>
        <v>4.1145540308207271E-13</v>
      </c>
      <c r="CV146" s="13">
        <f t="shared" si="149"/>
        <v>5.2428527960910789E-12</v>
      </c>
      <c r="CW146" s="20">
        <f t="shared" si="121"/>
        <v>9.8479201135599071E-12</v>
      </c>
      <c r="CX146" s="59">
        <f t="shared" si="122"/>
        <v>293.33333333334315</v>
      </c>
      <c r="CY146" s="59">
        <f ca="1">AVERAGE(OFFSET($CX$3,0,0,'Données projet'!$E$13+1,1))-AVERAGE(OFFSET($H$3,0,0,'Données projet'!$E$13+1,1))</f>
        <v>221.7429870520005</v>
      </c>
      <c r="CZ146" s="59">
        <f t="shared" si="150"/>
        <v>182.2029938397186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-1.0345502232667058E-13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199.01551760562705</v>
      </c>
      <c r="T147" s="59">
        <f t="shared" si="142"/>
        <v>269.50915104901367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0.26306684054327667</v>
      </c>
      <c r="AA147" s="21">
        <f>EXP(-LN(2)/25)*AA146+(1-EXP(-LN(2)/25))/(LN(2)/25)*Calculateur!V147*Calculateur!X147*VLOOKUP('Données projet'!$B$9,Paramètres!$A$1:$I$89,3,0)*0.475*44/12</f>
        <v>0.55073508802018434</v>
      </c>
      <c r="AB147" s="21">
        <f>EXP(-LN(2)/2)*AB146+(1-EXP(-LN(2)/2))/(LN(2)/2)*V147*Y147*VLOOKUP('Données projet'!$B$9,Paramètres!$A$1:$I$89,3,0)*0.475*44/12</f>
        <v>9.5599921359207841E-18</v>
      </c>
      <c r="AC147" s="22">
        <f t="shared" si="111"/>
        <v>0.81380192856346101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553.99999999999955</v>
      </c>
      <c r="AJ147" s="13">
        <f>AI147*VLOOKUP('Données projet'!$B$10,Paramètres!$A$1:$I$89,3,0)*VLOOKUP('Données projet'!$B$10,Paramètres!$A$1:$I$89,5,0)</f>
        <v>331.29199999999975</v>
      </c>
      <c r="AK147" s="13">
        <f t="shared" si="143"/>
        <v>77.698110787752</v>
      </c>
      <c r="AL147" s="20">
        <f t="shared" si="112"/>
        <v>712.32444295533423</v>
      </c>
      <c r="AM147" s="59">
        <f t="shared" si="113"/>
        <v>1005.6577762886675</v>
      </c>
      <c r="AN147" s="59">
        <f ca="1">AVERAGE(OFFSET($AM$3,0,0,'Données projet'!$E$10+1,1))-AVERAGE(OFFSET($H$3,0,0,'Données projet'!$E$10+1,1))</f>
        <v>316.58509520829671</v>
      </c>
      <c r="AO147" s="59">
        <f t="shared" si="144"/>
        <v>240.71332110643596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0.26509571188240466</v>
      </c>
      <c r="AV147" s="21">
        <f>EXP(-LN(2)/25)*AV146+(1-EXP(-LN(2)/25))/(LN(2)/25)*Calculateur!AQ147*Calculateur!AS147*VLOOKUP('Données projet'!$B$10,Paramètres!$A$1:$I$89,3,0)*0.475*44/12</f>
        <v>0.64726673313480809</v>
      </c>
      <c r="AW147" s="21">
        <f>EXP(-LN(2)/2)*AW146+(1-EXP(-LN(2)/2))/(LN(2)/2)*AQ147*AT147*VLOOKUP('Données projet'!$B$10,Paramètres!$A$1:$I$89,3,0)*0.475*44/12</f>
        <v>1.5223477388513021E-16</v>
      </c>
      <c r="AX147" s="21">
        <f t="shared" si="114"/>
        <v>0.91236244501721286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-1.8089849618263545E-13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314.94704727988847</v>
      </c>
      <c r="BJ147" s="59">
        <f t="shared" si="146"/>
        <v>366.49199094166454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0.4095428425823211</v>
      </c>
      <c r="BQ147" s="21">
        <f>EXP(-LN(2)/25)*BQ146+(1-EXP(-LN(2)/25))/(LN(2)/25)*Calculateur!BL147*Calculateur!BN147*VLOOKUP('Données projet'!$B$11,Paramètres!$A$1:$I$89,3,0)*0.475*44/12</f>
        <v>1.077096900886481</v>
      </c>
      <c r="BR147" s="21">
        <f>EXP(-LN(2)/2)*BR146+(1-EXP(-LN(2)/2))/(LN(2)/2)*BL147*BO147*VLOOKUP('Données projet'!$B$11,Paramètres!$A$1:$I$89,3,0)*0.475*44/12</f>
        <v>2.0032056972065729E-16</v>
      </c>
      <c r="BS147" s="22">
        <f t="shared" si="117"/>
        <v>1.4866397434688023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-1.8089849618263545E-13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314.94704727988847</v>
      </c>
      <c r="CE147" s="59">
        <f t="shared" si="148"/>
        <v>366.49199094166454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0.4095428425823211</v>
      </c>
      <c r="CL147" s="21">
        <f>EXP(-LN(2)/25)*CL146+(1-EXP(-LN(2)/25))/(LN(2)/25)*Calculateur!CG147*Calculateur!CI147*VLOOKUP('Données projet'!$B$12,Paramètres!$A$1:$I$89,3,0)*0.475*44/12</f>
        <v>1.077096900886481</v>
      </c>
      <c r="CM147" s="21">
        <f>EXP(-LN(2)/2)*CM146+(1-EXP(-LN(2)/2))/(LN(2)/2)*CG147*CJ147*VLOOKUP('Données projet'!$B$12,Paramètres!$A$1:$I$89,3,0)*0.475*44/12</f>
        <v>2.0032056972065729E-16</v>
      </c>
      <c r="CN147" s="22">
        <f t="shared" si="120"/>
        <v>1.4866397434688023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4.5474735088646412E-13</v>
      </c>
      <c r="CU147" s="17">
        <f>CT147*VLOOKUP('Données projet'!$B$13,Paramètres!$A$1:$I$89,3,0)*VLOOKUP('Données projet'!$B$13,Paramètres!$A$1:$I$89,5,0)</f>
        <v>4.1145540308207271E-13</v>
      </c>
      <c r="CV147" s="13">
        <f t="shared" si="149"/>
        <v>5.2428527960910789E-12</v>
      </c>
      <c r="CW147" s="20">
        <f t="shared" si="121"/>
        <v>9.8479201135599071E-12</v>
      </c>
      <c r="CX147" s="59">
        <f t="shared" si="122"/>
        <v>293.33333333334315</v>
      </c>
      <c r="CY147" s="59">
        <f ca="1">AVERAGE(OFFSET($CX$3,0,0,'Données projet'!$E$13+1,1))-AVERAGE(OFFSET($H$3,0,0,'Données projet'!$E$13+1,1))</f>
        <v>221.7429870520005</v>
      </c>
      <c r="CZ147" s="59">
        <f t="shared" si="150"/>
        <v>182.2029938397186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-1.0345502232667058E-13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199.01551760562705</v>
      </c>
      <c r="T148" s="59">
        <f t="shared" si="142"/>
        <v>269.50915104901367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0.25790826025515212</v>
      </c>
      <c r="AA148" s="21">
        <f>EXP(-LN(2)/25)*AA147+(1-EXP(-LN(2)/25))/(LN(2)/25)*Calculateur!V148*Calculateur!X148*VLOOKUP('Données projet'!$B$9,Paramètres!$A$1:$I$89,3,0)*0.475*44/12</f>
        <v>0.53567520807637281</v>
      </c>
      <c r="AB148" s="21">
        <f>EXP(-LN(2)/2)*AB147+(1-EXP(-LN(2)/2))/(LN(2)/2)*V148*Y148*VLOOKUP('Données projet'!$B$9,Paramètres!$A$1:$I$89,3,0)*0.475*44/12</f>
        <v>6.7599352673996537E-18</v>
      </c>
      <c r="AC148" s="22">
        <f t="shared" si="111"/>
        <v>0.79358346833152493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553.99999999999955</v>
      </c>
      <c r="AJ148" s="13">
        <f>AI148*VLOOKUP('Données projet'!$B$10,Paramètres!$A$1:$I$89,3,0)*VLOOKUP('Données projet'!$B$10,Paramètres!$A$1:$I$89,5,0)</f>
        <v>331.29199999999975</v>
      </c>
      <c r="AK148" s="13">
        <f t="shared" si="143"/>
        <v>77.698110787752</v>
      </c>
      <c r="AL148" s="20">
        <f t="shared" si="112"/>
        <v>712.32444295533423</v>
      </c>
      <c r="AM148" s="59">
        <f t="shared" si="113"/>
        <v>1005.6577762886675</v>
      </c>
      <c r="AN148" s="59">
        <f ca="1">AVERAGE(OFFSET($AM$3,0,0,'Données projet'!$E$10+1,1))-AVERAGE(OFFSET($H$3,0,0,'Données projet'!$E$10+1,1))</f>
        <v>316.58509520829671</v>
      </c>
      <c r="AO148" s="59">
        <f t="shared" si="144"/>
        <v>240.71332110643596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0.25989734666480918</v>
      </c>
      <c r="AV148" s="21">
        <f>EXP(-LN(2)/25)*AV147+(1-EXP(-LN(2)/25))/(LN(2)/25)*Calculateur!AQ148*Calculateur!AS148*VLOOKUP('Données projet'!$B$10,Paramètres!$A$1:$I$89,3,0)*0.475*44/12</f>
        <v>0.62956719027895858</v>
      </c>
      <c r="AW148" s="21">
        <f>EXP(-LN(2)/2)*AW147+(1-EXP(-LN(2)/2))/(LN(2)/2)*AQ148*AT148*VLOOKUP('Données projet'!$B$10,Paramètres!$A$1:$I$89,3,0)*0.475*44/12</f>
        <v>1.0764624094657631E-16</v>
      </c>
      <c r="AX148" s="21">
        <f t="shared" si="114"/>
        <v>0.88946453694376781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-1.8089849618263545E-13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314.94704727988847</v>
      </c>
      <c r="BJ148" s="59">
        <f t="shared" si="146"/>
        <v>366.49199094166454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0.40151195723575039</v>
      </c>
      <c r="BQ148" s="21">
        <f>EXP(-LN(2)/25)*BQ147+(1-EXP(-LN(2)/25))/(LN(2)/25)*Calculateur!BL148*Calculateur!BN148*VLOOKUP('Données projet'!$B$11,Paramètres!$A$1:$I$89,3,0)*0.475*44/12</f>
        <v>1.0476436294896758</v>
      </c>
      <c r="BR148" s="21">
        <f>EXP(-LN(2)/2)*BR147+(1-EXP(-LN(2)/2))/(LN(2)/2)*BL148*BO148*VLOOKUP('Données projet'!$B$11,Paramètres!$A$1:$I$89,3,0)*0.475*44/12</f>
        <v>1.4164803326062935E-16</v>
      </c>
      <c r="BS148" s="22">
        <f t="shared" si="117"/>
        <v>1.4491555867254264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-1.8089849618263545E-13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314.94704727988847</v>
      </c>
      <c r="CE148" s="59">
        <f t="shared" si="148"/>
        <v>366.49199094166454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0.40151195723575039</v>
      </c>
      <c r="CL148" s="21">
        <f>EXP(-LN(2)/25)*CL147+(1-EXP(-LN(2)/25))/(LN(2)/25)*Calculateur!CG148*Calculateur!CI148*VLOOKUP('Données projet'!$B$12,Paramètres!$A$1:$I$89,3,0)*0.475*44/12</f>
        <v>1.0476436294896758</v>
      </c>
      <c r="CM148" s="21">
        <f>EXP(-LN(2)/2)*CM147+(1-EXP(-LN(2)/2))/(LN(2)/2)*CG148*CJ148*VLOOKUP('Données projet'!$B$12,Paramètres!$A$1:$I$89,3,0)*0.475*44/12</f>
        <v>1.4164803326062935E-16</v>
      </c>
      <c r="CN148" s="22">
        <f t="shared" si="120"/>
        <v>1.4491555867254264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4.5474735088646412E-13</v>
      </c>
      <c r="CU148" s="17">
        <f>CT148*VLOOKUP('Données projet'!$B$13,Paramètres!$A$1:$I$89,3,0)*VLOOKUP('Données projet'!$B$13,Paramètres!$A$1:$I$89,5,0)</f>
        <v>4.1145540308207271E-13</v>
      </c>
      <c r="CV148" s="13">
        <f t="shared" si="149"/>
        <v>5.2428527960910789E-12</v>
      </c>
      <c r="CW148" s="20">
        <f t="shared" si="121"/>
        <v>9.8479201135599071E-12</v>
      </c>
      <c r="CX148" s="59">
        <f t="shared" si="122"/>
        <v>293.33333333334315</v>
      </c>
      <c r="CY148" s="59">
        <f ca="1">AVERAGE(OFFSET($CX$3,0,0,'Données projet'!$E$13+1,1))-AVERAGE(OFFSET($H$3,0,0,'Données projet'!$E$13+1,1))</f>
        <v>221.7429870520005</v>
      </c>
      <c r="CZ148" s="59">
        <f t="shared" si="150"/>
        <v>182.2029938397186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-1.0345502232667058E-13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199.01551760562705</v>
      </c>
      <c r="T149" s="59">
        <f t="shared" si="142"/>
        <v>269.50915104901367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0.25285083658005442</v>
      </c>
      <c r="AA149" s="21">
        <f>EXP(-LN(2)/25)*AA148+(1-EXP(-LN(2)/25))/(LN(2)/25)*Calculateur!V149*Calculateur!X149*VLOOKUP('Données projet'!$B$9,Paramètres!$A$1:$I$89,3,0)*0.475*44/12</f>
        <v>0.52102714134158945</v>
      </c>
      <c r="AB149" s="21">
        <f>EXP(-LN(2)/2)*AB148+(1-EXP(-LN(2)/2))/(LN(2)/2)*V149*Y149*VLOOKUP('Données projet'!$B$9,Paramètres!$A$1:$I$89,3,0)*0.475*44/12</f>
        <v>4.7799960679603928E-18</v>
      </c>
      <c r="AC149" s="22">
        <f t="shared" si="111"/>
        <v>0.77387797792164381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553.99999999999955</v>
      </c>
      <c r="AJ149" s="13">
        <f>AI149*VLOOKUP('Données projet'!$B$10,Paramètres!$A$1:$I$89,3,0)*VLOOKUP('Données projet'!$B$10,Paramètres!$A$1:$I$89,5,0)</f>
        <v>331.29199999999975</v>
      </c>
      <c r="AK149" s="13">
        <f t="shared" si="143"/>
        <v>77.698110787752</v>
      </c>
      <c r="AL149" s="20">
        <f t="shared" si="112"/>
        <v>712.32444295533423</v>
      </c>
      <c r="AM149" s="59">
        <f t="shared" si="113"/>
        <v>1005.6577762886675</v>
      </c>
      <c r="AN149" s="59">
        <f ca="1">AVERAGE(OFFSET($AM$3,0,0,'Données projet'!$E$10+1,1))-AVERAGE(OFFSET($H$3,0,0,'Données projet'!$E$10+1,1))</f>
        <v>316.58509520829671</v>
      </c>
      <c r="AO149" s="59">
        <f t="shared" si="144"/>
        <v>240.71332110643596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0.25480091821844103</v>
      </c>
      <c r="AV149" s="21">
        <f>EXP(-LN(2)/25)*AV148+(1-EXP(-LN(2)/25))/(LN(2)/25)*Calculateur!AQ149*Calculateur!AS149*VLOOKUP('Données projet'!$B$10,Paramètres!$A$1:$I$89,3,0)*0.475*44/12</f>
        <v>0.61235164235328077</v>
      </c>
      <c r="AW149" s="21">
        <f>EXP(-LN(2)/2)*AW148+(1-EXP(-LN(2)/2))/(LN(2)/2)*AQ149*AT149*VLOOKUP('Données projet'!$B$10,Paramètres!$A$1:$I$89,3,0)*0.475*44/12</f>
        <v>7.6117386942565105E-17</v>
      </c>
      <c r="AX149" s="21">
        <f t="shared" si="114"/>
        <v>0.86715256057172196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-1.8089849618263545E-13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314.94704727988847</v>
      </c>
      <c r="BJ149" s="59">
        <f t="shared" si="146"/>
        <v>366.49199094166454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0.39363855265246955</v>
      </c>
      <c r="BQ149" s="21">
        <f>EXP(-LN(2)/25)*BQ148+(1-EXP(-LN(2)/25))/(LN(2)/25)*Calculateur!BL149*Calculateur!BN149*VLOOKUP('Données projet'!$B$11,Paramètres!$A$1:$I$89,3,0)*0.475*44/12</f>
        <v>1.0189957593480965</v>
      </c>
      <c r="BR149" s="21">
        <f>EXP(-LN(2)/2)*BR148+(1-EXP(-LN(2)/2))/(LN(2)/2)*BL149*BO149*VLOOKUP('Données projet'!$B$11,Paramètres!$A$1:$I$89,3,0)*0.475*44/12</f>
        <v>1.0016028486032865E-16</v>
      </c>
      <c r="BS149" s="22">
        <f t="shared" si="117"/>
        <v>1.412634312000566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-1.8089849618263545E-13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314.94704727988847</v>
      </c>
      <c r="CE149" s="59">
        <f t="shared" si="148"/>
        <v>366.49199094166454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0.39363855265246955</v>
      </c>
      <c r="CL149" s="21">
        <f>EXP(-LN(2)/25)*CL148+(1-EXP(-LN(2)/25))/(LN(2)/25)*Calculateur!CG149*Calculateur!CI149*VLOOKUP('Données projet'!$B$12,Paramètres!$A$1:$I$89,3,0)*0.475*44/12</f>
        <v>1.0189957593480965</v>
      </c>
      <c r="CM149" s="21">
        <f>EXP(-LN(2)/2)*CM148+(1-EXP(-LN(2)/2))/(LN(2)/2)*CG149*CJ149*VLOOKUP('Données projet'!$B$12,Paramètres!$A$1:$I$89,3,0)*0.475*44/12</f>
        <v>1.0016028486032865E-16</v>
      </c>
      <c r="CN149" s="22">
        <f t="shared" si="120"/>
        <v>1.412634312000566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4.5474735088646412E-13</v>
      </c>
      <c r="CU149" s="17">
        <f>CT149*VLOOKUP('Données projet'!$B$13,Paramètres!$A$1:$I$89,3,0)*VLOOKUP('Données projet'!$B$13,Paramètres!$A$1:$I$89,5,0)</f>
        <v>4.1145540308207271E-13</v>
      </c>
      <c r="CV149" s="13">
        <f t="shared" si="149"/>
        <v>5.2428527960910789E-12</v>
      </c>
      <c r="CW149" s="20">
        <f t="shared" si="121"/>
        <v>9.8479201135599071E-12</v>
      </c>
      <c r="CX149" s="59">
        <f t="shared" si="122"/>
        <v>293.33333333334315</v>
      </c>
      <c r="CY149" s="59">
        <f ca="1">AVERAGE(OFFSET($CX$3,0,0,'Données projet'!$E$13+1,1))-AVERAGE(OFFSET($H$3,0,0,'Données projet'!$E$13+1,1))</f>
        <v>221.7429870520005</v>
      </c>
      <c r="CZ149" s="59">
        <f t="shared" si="150"/>
        <v>182.2029938397186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-1.0345502232667058E-13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199.01551760562705</v>
      </c>
      <c r="T150" s="59">
        <f t="shared" si="142"/>
        <v>269.50915104901367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0.24789258589850152</v>
      </c>
      <c r="AA150" s="21">
        <f>EXP(-LN(2)/25)*AA149+(1-EXP(-LN(2)/25))/(LN(2)/25)*Calculateur!V150*Calculateur!X150*VLOOKUP('Données projet'!$B$9,Paramètres!$A$1:$I$89,3,0)*0.475*44/12</f>
        <v>0.50677962676197719</v>
      </c>
      <c r="AB150" s="21">
        <f>EXP(-LN(2)/2)*AB149+(1-EXP(-LN(2)/2))/(LN(2)/2)*V150*Y150*VLOOKUP('Données projet'!$B$9,Paramètres!$A$1:$I$89,3,0)*0.475*44/12</f>
        <v>3.3799676336998272E-18</v>
      </c>
      <c r="AC150" s="22">
        <f t="shared" si="111"/>
        <v>0.75467221266047868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553.99999999999955</v>
      </c>
      <c r="AJ150" s="13">
        <f>AI150*VLOOKUP('Données projet'!$B$10,Paramètres!$A$1:$I$89,3,0)*VLOOKUP('Données projet'!$B$10,Paramètres!$A$1:$I$89,5,0)</f>
        <v>331.29199999999975</v>
      </c>
      <c r="AK150" s="13">
        <f t="shared" si="143"/>
        <v>77.698110787752</v>
      </c>
      <c r="AL150" s="20">
        <f t="shared" si="112"/>
        <v>712.32444295533423</v>
      </c>
      <c r="AM150" s="59">
        <f t="shared" si="113"/>
        <v>1005.6577762886675</v>
      </c>
      <c r="AN150" s="59">
        <f ca="1">AVERAGE(OFFSET($AM$3,0,0,'Données projet'!$E$10+1,1))-AVERAGE(OFFSET($H$3,0,0,'Données projet'!$E$10+1,1))</f>
        <v>316.58509520829671</v>
      </c>
      <c r="AO150" s="59">
        <f t="shared" si="144"/>
        <v>240.71332110643596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0.24980442762539173</v>
      </c>
      <c r="AV150" s="21">
        <f>EXP(-LN(2)/25)*AV149+(1-EXP(-LN(2)/25))/(LN(2)/25)*Calculateur!AQ150*Calculateur!AS150*VLOOKUP('Données projet'!$B$10,Paramètres!$A$1:$I$89,3,0)*0.475*44/12</f>
        <v>0.59560685449095696</v>
      </c>
      <c r="AW150" s="21">
        <f>EXP(-LN(2)/2)*AW149+(1-EXP(-LN(2)/2))/(LN(2)/2)*AQ150*AT150*VLOOKUP('Données projet'!$B$10,Paramètres!$A$1:$I$89,3,0)*0.475*44/12</f>
        <v>5.3823120473288154E-17</v>
      </c>
      <c r="AX150" s="21">
        <f t="shared" si="114"/>
        <v>0.84541128211634864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-1.8089849618263545E-13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314.94704727988847</v>
      </c>
      <c r="BJ150" s="59">
        <f t="shared" si="146"/>
        <v>366.49199094166454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0.38591954073076423</v>
      </c>
      <c r="BQ150" s="21">
        <f>EXP(-LN(2)/25)*BQ149+(1-EXP(-LN(2)/25))/(LN(2)/25)*Calculateur!BL150*Calculateur!BN150*VLOOKUP('Données projet'!$B$11,Paramètres!$A$1:$I$89,3,0)*0.475*44/12</f>
        <v>0.99113126672206475</v>
      </c>
      <c r="BR150" s="21">
        <f>EXP(-LN(2)/2)*BR149+(1-EXP(-LN(2)/2))/(LN(2)/2)*BL150*BO150*VLOOKUP('Données projet'!$B$11,Paramètres!$A$1:$I$89,3,0)*0.475*44/12</f>
        <v>7.0824016630314676E-17</v>
      </c>
      <c r="BS150" s="22">
        <f t="shared" si="117"/>
        <v>1.3770508074528289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-1.8089849618263545E-13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314.94704727988847</v>
      </c>
      <c r="CE150" s="59">
        <f t="shared" si="148"/>
        <v>366.49199094166454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0.38591954073076423</v>
      </c>
      <c r="CL150" s="21">
        <f>EXP(-LN(2)/25)*CL149+(1-EXP(-LN(2)/25))/(LN(2)/25)*Calculateur!CG150*Calculateur!CI150*VLOOKUP('Données projet'!$B$12,Paramètres!$A$1:$I$89,3,0)*0.475*44/12</f>
        <v>0.99113126672206475</v>
      </c>
      <c r="CM150" s="21">
        <f>EXP(-LN(2)/2)*CM149+(1-EXP(-LN(2)/2))/(LN(2)/2)*CG150*CJ150*VLOOKUP('Données projet'!$B$12,Paramètres!$A$1:$I$89,3,0)*0.475*44/12</f>
        <v>7.0824016630314676E-17</v>
      </c>
      <c r="CN150" s="22">
        <f t="shared" si="120"/>
        <v>1.3770508074528289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4.5474735088646412E-13</v>
      </c>
      <c r="CU150" s="17">
        <f>CT150*VLOOKUP('Données projet'!$B$13,Paramètres!$A$1:$I$89,3,0)*VLOOKUP('Données projet'!$B$13,Paramètres!$A$1:$I$89,5,0)</f>
        <v>4.1145540308207271E-13</v>
      </c>
      <c r="CV150" s="13">
        <f t="shared" si="149"/>
        <v>5.2428527960910789E-12</v>
      </c>
      <c r="CW150" s="20">
        <f t="shared" si="121"/>
        <v>9.8479201135599071E-12</v>
      </c>
      <c r="CX150" s="59">
        <f t="shared" si="122"/>
        <v>293.33333333334315</v>
      </c>
      <c r="CY150" s="59">
        <f ca="1">AVERAGE(OFFSET($CX$3,0,0,'Données projet'!$E$13+1,1))-AVERAGE(OFFSET($H$3,0,0,'Données projet'!$E$13+1,1))</f>
        <v>221.7429870520005</v>
      </c>
      <c r="CZ150" s="59">
        <f t="shared" si="150"/>
        <v>182.2029938397186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-1.0345502232667058E-13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199.01551760562705</v>
      </c>
      <c r="T151" s="59">
        <f t="shared" si="142"/>
        <v>269.50915104901367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0.2430315634885796</v>
      </c>
      <c r="AA151" s="21">
        <f>EXP(-LN(2)/25)*AA150+(1-EXP(-LN(2)/25))/(LN(2)/25)*Calculateur!V151*Calculateur!X151*VLOOKUP('Données projet'!$B$9,Paramètres!$A$1:$I$89,3,0)*0.475*44/12</f>
        <v>0.49292171121778861</v>
      </c>
      <c r="AB151" s="21">
        <f>EXP(-LN(2)/2)*AB150+(1-EXP(-LN(2)/2))/(LN(2)/2)*V151*Y151*VLOOKUP('Données projet'!$B$9,Paramètres!$A$1:$I$89,3,0)*0.475*44/12</f>
        <v>2.3899980339801968E-18</v>
      </c>
      <c r="AC151" s="22">
        <f t="shared" si="111"/>
        <v>0.73595327470636818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553.99999999999955</v>
      </c>
      <c r="AJ151" s="13">
        <f>AI151*VLOOKUP('Données projet'!$B$10,Paramètres!$A$1:$I$89,3,0)*VLOOKUP('Données projet'!$B$10,Paramètres!$A$1:$I$89,5,0)</f>
        <v>331.29199999999975</v>
      </c>
      <c r="AK151" s="13">
        <f t="shared" si="143"/>
        <v>77.698110787752</v>
      </c>
      <c r="AL151" s="20">
        <f t="shared" si="112"/>
        <v>712.32444295533423</v>
      </c>
      <c r="AM151" s="59">
        <f t="shared" si="113"/>
        <v>1005.6577762886675</v>
      </c>
      <c r="AN151" s="59">
        <f ca="1">AVERAGE(OFFSET($AM$3,0,0,'Données projet'!$E$10+1,1))-AVERAGE(OFFSET($H$3,0,0,'Données projet'!$E$10+1,1))</f>
        <v>316.58509520829671</v>
      </c>
      <c r="AO151" s="59">
        <f t="shared" si="144"/>
        <v>240.71332110643596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0.24490591516531379</v>
      </c>
      <c r="AV151" s="21">
        <f>EXP(-LN(2)/25)*AV150+(1-EXP(-LN(2)/25))/(LN(2)/25)*Calculateur!AQ151*Calculateur!AS151*VLOOKUP('Données projet'!$B$10,Paramètres!$A$1:$I$89,3,0)*0.475*44/12</f>
        <v>0.57931995373329859</v>
      </c>
      <c r="AW151" s="21">
        <f>EXP(-LN(2)/2)*AW150+(1-EXP(-LN(2)/2))/(LN(2)/2)*AQ151*AT151*VLOOKUP('Données projet'!$B$10,Paramètres!$A$1:$I$89,3,0)*0.475*44/12</f>
        <v>3.8058693471282553E-17</v>
      </c>
      <c r="AX151" s="21">
        <f t="shared" si="114"/>
        <v>0.82422586889861238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-1.8089849618263545E-13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314.94704727988847</v>
      </c>
      <c r="BJ151" s="59">
        <f t="shared" si="146"/>
        <v>366.49199094166454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0.37835189392471119</v>
      </c>
      <c r="BQ151" s="21">
        <f>EXP(-LN(2)/25)*BQ150+(1-EXP(-LN(2)/25))/(LN(2)/25)*Calculateur!BL151*Calculateur!BN151*VLOOKUP('Données projet'!$B$11,Paramètres!$A$1:$I$89,3,0)*0.475*44/12</f>
        <v>0.96402873011222179</v>
      </c>
      <c r="BR151" s="21">
        <f>EXP(-LN(2)/2)*BR150+(1-EXP(-LN(2)/2))/(LN(2)/2)*BL151*BO151*VLOOKUP('Données projet'!$B$11,Paramètres!$A$1:$I$89,3,0)*0.475*44/12</f>
        <v>5.0080142430164323E-17</v>
      </c>
      <c r="BS151" s="22">
        <f t="shared" si="117"/>
        <v>1.3423806240369329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-1.8089849618263545E-13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314.94704727988847</v>
      </c>
      <c r="CE151" s="59">
        <f t="shared" si="148"/>
        <v>366.49199094166454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0.37835189392471119</v>
      </c>
      <c r="CL151" s="21">
        <f>EXP(-LN(2)/25)*CL150+(1-EXP(-LN(2)/25))/(LN(2)/25)*Calculateur!CG151*Calculateur!CI151*VLOOKUP('Données projet'!$B$12,Paramètres!$A$1:$I$89,3,0)*0.475*44/12</f>
        <v>0.96402873011222179</v>
      </c>
      <c r="CM151" s="21">
        <f>EXP(-LN(2)/2)*CM150+(1-EXP(-LN(2)/2))/(LN(2)/2)*CG151*CJ151*VLOOKUP('Données projet'!$B$12,Paramètres!$A$1:$I$89,3,0)*0.475*44/12</f>
        <v>5.0080142430164323E-17</v>
      </c>
      <c r="CN151" s="22">
        <f t="shared" si="120"/>
        <v>1.3423806240369329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4.5474735088646412E-13</v>
      </c>
      <c r="CU151" s="17">
        <f>CT151*VLOOKUP('Données projet'!$B$13,Paramètres!$A$1:$I$89,3,0)*VLOOKUP('Données projet'!$B$13,Paramètres!$A$1:$I$89,5,0)</f>
        <v>4.1145540308207271E-13</v>
      </c>
      <c r="CV151" s="13">
        <f t="shared" si="149"/>
        <v>5.2428527960910789E-12</v>
      </c>
      <c r="CW151" s="20">
        <f t="shared" si="121"/>
        <v>9.8479201135599071E-12</v>
      </c>
      <c r="CX151" s="59">
        <f t="shared" si="122"/>
        <v>293.33333333334315</v>
      </c>
      <c r="CY151" s="59">
        <f ca="1">AVERAGE(OFFSET($CX$3,0,0,'Données projet'!$E$13+1,1))-AVERAGE(OFFSET($H$3,0,0,'Données projet'!$E$13+1,1))</f>
        <v>221.7429870520005</v>
      </c>
      <c r="CZ151" s="59">
        <f t="shared" si="150"/>
        <v>182.2029938397186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-1.0345502232667058E-13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199.01551760562705</v>
      </c>
      <c r="T152" s="59">
        <f t="shared" si="142"/>
        <v>269.50915104901367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0.23826586276318532</v>
      </c>
      <c r="AA152" s="21">
        <f>EXP(-LN(2)/25)*AA151+(1-EXP(-LN(2)/25))/(LN(2)/25)*Calculateur!V152*Calculateur!X152*VLOOKUP('Données projet'!$B$9,Paramètres!$A$1:$I$89,3,0)*0.475*44/12</f>
        <v>0.47944274110291196</v>
      </c>
      <c r="AB152" s="21">
        <f>EXP(-LN(2)/2)*AB151+(1-EXP(-LN(2)/2))/(LN(2)/2)*V152*Y152*VLOOKUP('Données projet'!$B$9,Paramètres!$A$1:$I$89,3,0)*0.475*44/12</f>
        <v>1.6899838168499138E-18</v>
      </c>
      <c r="AC152" s="22">
        <f t="shared" si="111"/>
        <v>0.71770860386609725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553.99999999999955</v>
      </c>
      <c r="AJ152" s="13">
        <f>AI152*VLOOKUP('Données projet'!$B$10,Paramètres!$A$1:$I$89,3,0)*VLOOKUP('Données projet'!$B$10,Paramètres!$A$1:$I$89,5,0)</f>
        <v>331.29199999999975</v>
      </c>
      <c r="AK152" s="13">
        <f t="shared" si="143"/>
        <v>77.698110787752</v>
      </c>
      <c r="AL152" s="20">
        <f t="shared" si="112"/>
        <v>712.32444295533423</v>
      </c>
      <c r="AM152" s="59">
        <f t="shared" si="113"/>
        <v>1005.6577762886675</v>
      </c>
      <c r="AN152" s="59">
        <f ca="1">AVERAGE(OFFSET($AM$3,0,0,'Données projet'!$E$10+1,1))-AVERAGE(OFFSET($H$3,0,0,'Données projet'!$E$10+1,1))</f>
        <v>316.58509520829671</v>
      </c>
      <c r="AO152" s="59">
        <f t="shared" si="144"/>
        <v>240.71332110643596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0.24010345954678039</v>
      </c>
      <c r="AV152" s="21">
        <f>EXP(-LN(2)/25)*AV151+(1-EXP(-LN(2)/25))/(LN(2)/25)*Calculateur!AQ152*Calculateur!AS152*VLOOKUP('Données projet'!$B$10,Paramètres!$A$1:$I$89,3,0)*0.475*44/12</f>
        <v>0.56347841913334917</v>
      </c>
      <c r="AW152" s="21">
        <f>EXP(-LN(2)/2)*AW151+(1-EXP(-LN(2)/2))/(LN(2)/2)*AQ152*AT152*VLOOKUP('Données projet'!$B$10,Paramètres!$A$1:$I$89,3,0)*0.475*44/12</f>
        <v>2.6911560236644077E-17</v>
      </c>
      <c r="AX152" s="21">
        <f t="shared" si="114"/>
        <v>0.80358187868012954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-1.8089849618263545E-13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314.94704727988847</v>
      </c>
      <c r="BJ152" s="59">
        <f t="shared" si="146"/>
        <v>366.49199094166454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0.37093264405671605</v>
      </c>
      <c r="BQ152" s="21">
        <f>EXP(-LN(2)/25)*BQ151+(1-EXP(-LN(2)/25))/(LN(2)/25)*Calculateur!BL152*Calculateur!BN152*VLOOKUP('Données projet'!$B$11,Paramètres!$A$1:$I$89,3,0)*0.475*44/12</f>
        <v>0.93766731379123547</v>
      </c>
      <c r="BR152" s="21">
        <f>EXP(-LN(2)/2)*BR151+(1-EXP(-LN(2)/2))/(LN(2)/2)*BL152*BO152*VLOOKUP('Données projet'!$B$11,Paramètres!$A$1:$I$89,3,0)*0.475*44/12</f>
        <v>3.5412008315157338E-17</v>
      </c>
      <c r="BS152" s="22">
        <f t="shared" si="117"/>
        <v>1.3085999578479515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-1.8089849618263545E-13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314.94704727988847</v>
      </c>
      <c r="CE152" s="59">
        <f t="shared" si="148"/>
        <v>366.49199094166454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0.37093264405671605</v>
      </c>
      <c r="CL152" s="21">
        <f>EXP(-LN(2)/25)*CL151+(1-EXP(-LN(2)/25))/(LN(2)/25)*Calculateur!CG152*Calculateur!CI152*VLOOKUP('Données projet'!$B$12,Paramètres!$A$1:$I$89,3,0)*0.475*44/12</f>
        <v>0.93766731379123547</v>
      </c>
      <c r="CM152" s="21">
        <f>EXP(-LN(2)/2)*CM151+(1-EXP(-LN(2)/2))/(LN(2)/2)*CG152*CJ152*VLOOKUP('Données projet'!$B$12,Paramètres!$A$1:$I$89,3,0)*0.475*44/12</f>
        <v>3.5412008315157338E-17</v>
      </c>
      <c r="CN152" s="22">
        <f t="shared" si="120"/>
        <v>1.3085999578479515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4.5474735088646412E-13</v>
      </c>
      <c r="CU152" s="17">
        <f>CT152*VLOOKUP('Données projet'!$B$13,Paramètres!$A$1:$I$89,3,0)*VLOOKUP('Données projet'!$B$13,Paramètres!$A$1:$I$89,5,0)</f>
        <v>4.1145540308207271E-13</v>
      </c>
      <c r="CV152" s="13">
        <f t="shared" si="149"/>
        <v>5.2428527960910789E-12</v>
      </c>
      <c r="CW152" s="20">
        <f t="shared" si="121"/>
        <v>9.8479201135599071E-12</v>
      </c>
      <c r="CX152" s="59">
        <f t="shared" si="122"/>
        <v>293.33333333334315</v>
      </c>
      <c r="CY152" s="59">
        <f ca="1">AVERAGE(OFFSET($CX$3,0,0,'Données projet'!$E$13+1,1))-AVERAGE(OFFSET($H$3,0,0,'Données projet'!$E$13+1,1))</f>
        <v>221.7429870520005</v>
      </c>
      <c r="CZ152" s="59">
        <f t="shared" si="150"/>
        <v>182.2029938397186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-1.0345502232667058E-13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199.01551760562705</v>
      </c>
      <c r="T153" s="59">
        <f t="shared" si="142"/>
        <v>269.50915104901367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0.2335936145222256</v>
      </c>
      <c r="AA153" s="21">
        <f>EXP(-LN(2)/25)*AA152+(1-EXP(-LN(2)/25))/(LN(2)/25)*Calculateur!V153*Calculateur!X153*VLOOKUP('Données projet'!$B$9,Paramètres!$A$1:$I$89,3,0)*0.475*44/12</f>
        <v>0.46633235413465485</v>
      </c>
      <c r="AB153" s="21">
        <f>EXP(-LN(2)/2)*AB152+(1-EXP(-LN(2)/2))/(LN(2)/2)*V153*Y153*VLOOKUP('Données projet'!$B$9,Paramètres!$A$1:$I$89,3,0)*0.475*44/12</f>
        <v>1.1949990169900986E-18</v>
      </c>
      <c r="AC153" s="22">
        <f t="shared" si="111"/>
        <v>0.69992596865688039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553.99999999999955</v>
      </c>
      <c r="AJ153" s="13">
        <f>AI153*VLOOKUP('Données projet'!$B$10,Paramètres!$A$1:$I$89,3,0)*VLOOKUP('Données projet'!$B$10,Paramètres!$A$1:$I$89,5,0)</f>
        <v>331.29199999999975</v>
      </c>
      <c r="AK153" s="13">
        <f t="shared" si="143"/>
        <v>77.698110787752</v>
      </c>
      <c r="AL153" s="20">
        <f t="shared" si="112"/>
        <v>712.32444295533423</v>
      </c>
      <c r="AM153" s="59">
        <f t="shared" si="113"/>
        <v>1005.6577762886675</v>
      </c>
      <c r="AN153" s="59">
        <f ca="1">AVERAGE(OFFSET($AM$3,0,0,'Données projet'!$E$10+1,1))-AVERAGE(OFFSET($H$3,0,0,'Données projet'!$E$10+1,1))</f>
        <v>316.58509520829671</v>
      </c>
      <c r="AO153" s="59">
        <f t="shared" si="144"/>
        <v>240.71332110643596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0.23539517715371774</v>
      </c>
      <c r="AV153" s="21">
        <f>EXP(-LN(2)/25)*AV152+(1-EXP(-LN(2)/25))/(LN(2)/25)*Calculateur!AQ153*Calculateur!AS153*VLOOKUP('Données projet'!$B$10,Paramètres!$A$1:$I$89,3,0)*0.475*44/12</f>
        <v>0.5480700721301055</v>
      </c>
      <c r="AW153" s="21">
        <f>EXP(-LN(2)/2)*AW152+(1-EXP(-LN(2)/2))/(LN(2)/2)*AQ153*AT153*VLOOKUP('Données projet'!$B$10,Paramètres!$A$1:$I$89,3,0)*0.475*44/12</f>
        <v>1.9029346735641276E-17</v>
      </c>
      <c r="AX153" s="21">
        <f t="shared" si="114"/>
        <v>0.78346524928382322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-1.8089849618263545E-13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314.94704727988847</v>
      </c>
      <c r="BJ153" s="59">
        <f t="shared" si="146"/>
        <v>366.49199094166454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0.36365888115333672</v>
      </c>
      <c r="BQ153" s="21">
        <f>EXP(-LN(2)/25)*BQ152+(1-EXP(-LN(2)/25))/(LN(2)/25)*Calculateur!BL153*Calculateur!BN153*VLOOKUP('Données projet'!$B$11,Paramètres!$A$1:$I$89,3,0)*0.475*44/12</f>
        <v>0.91202675178583315</v>
      </c>
      <c r="BR153" s="21">
        <f>EXP(-LN(2)/2)*BR152+(1-EXP(-LN(2)/2))/(LN(2)/2)*BL153*BO153*VLOOKUP('Données projet'!$B$11,Paramètres!$A$1:$I$89,3,0)*0.475*44/12</f>
        <v>2.5040071215082162E-17</v>
      </c>
      <c r="BS153" s="22">
        <f t="shared" si="117"/>
        <v>1.2756856329391699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-1.8089849618263545E-13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314.94704727988847</v>
      </c>
      <c r="CE153" s="59">
        <f t="shared" si="148"/>
        <v>366.49199094166454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0.36365888115333672</v>
      </c>
      <c r="CL153" s="21">
        <f>EXP(-LN(2)/25)*CL152+(1-EXP(-LN(2)/25))/(LN(2)/25)*Calculateur!CG153*Calculateur!CI153*VLOOKUP('Données projet'!$B$12,Paramètres!$A$1:$I$89,3,0)*0.475*44/12</f>
        <v>0.91202675178583315</v>
      </c>
      <c r="CM153" s="21">
        <f>EXP(-LN(2)/2)*CM152+(1-EXP(-LN(2)/2))/(LN(2)/2)*CG153*CJ153*VLOOKUP('Données projet'!$B$12,Paramètres!$A$1:$I$89,3,0)*0.475*44/12</f>
        <v>2.5040071215082162E-17</v>
      </c>
      <c r="CN153" s="22">
        <f t="shared" si="120"/>
        <v>1.2756856329391699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4.5474735088646412E-13</v>
      </c>
      <c r="CU153" s="17">
        <f>CT153*VLOOKUP('Données projet'!$B$13,Paramètres!$A$1:$I$89,3,0)*VLOOKUP('Données projet'!$B$13,Paramètres!$A$1:$I$89,5,0)</f>
        <v>4.1145540308207271E-13</v>
      </c>
      <c r="CV153" s="13">
        <f t="shared" si="149"/>
        <v>5.2428527960910789E-12</v>
      </c>
      <c r="CW153" s="20">
        <f t="shared" si="121"/>
        <v>9.8479201135599071E-12</v>
      </c>
      <c r="CX153" s="59">
        <f t="shared" si="122"/>
        <v>293.33333333334315</v>
      </c>
      <c r="CY153" s="59">
        <f ca="1">AVERAGE(OFFSET($CX$3,0,0,'Données projet'!$E$13+1,1))-AVERAGE(OFFSET($H$3,0,0,'Données projet'!$E$13+1,1))</f>
        <v>221.7429870520005</v>
      </c>
      <c r="CZ153" s="59">
        <f t="shared" si="150"/>
        <v>182.2029938397186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-1.0345502232667058E-13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199.01551760562705</v>
      </c>
      <c r="T154" s="59">
        <f t="shared" si="142"/>
        <v>269.50915104901367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0.22901298621948107</v>
      </c>
      <c r="AA154" s="21">
        <f>EXP(-LN(2)/25)*AA153+(1-EXP(-LN(2)/25))/(LN(2)/25)*Calculateur!V154*Calculateur!X154*VLOOKUP('Données projet'!$B$9,Paramètres!$A$1:$I$89,3,0)*0.475*44/12</f>
        <v>0.45358047138749003</v>
      </c>
      <c r="AB154" s="21">
        <f>EXP(-LN(2)/2)*AB153+(1-EXP(-LN(2)/2))/(LN(2)/2)*V154*Y154*VLOOKUP('Données projet'!$B$9,Paramètres!$A$1:$I$89,3,0)*0.475*44/12</f>
        <v>8.449919084249571E-19</v>
      </c>
      <c r="AC154" s="22">
        <f t="shared" ref="AC154:AC203" si="163">SUM(Z154:AB154)</f>
        <v>0.6825934576069711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553.99999999999955</v>
      </c>
      <c r="AJ154" s="13">
        <f>AI154*VLOOKUP('Données projet'!$B$10,Paramètres!$A$1:$I$89,3,0)*VLOOKUP('Données projet'!$B$10,Paramètres!$A$1:$I$89,5,0)</f>
        <v>331.29199999999975</v>
      </c>
      <c r="AK154" s="13">
        <f t="shared" ref="AK154:AK203" si="164">EXP(-1.0587+0.8836*LN(AJ154)+0.284)</f>
        <v>77.698110787752</v>
      </c>
      <c r="AL154" s="20">
        <f t="shared" ref="AL154:AL203" si="165">(AJ154+AK154)*0.475*44/12</f>
        <v>712.32444295533423</v>
      </c>
      <c r="AM154" s="59">
        <f t="shared" si="113"/>
        <v>1005.6577762886675</v>
      </c>
      <c r="AN154" s="59">
        <f ca="1">AVERAGE(OFFSET($AM$3,0,0,'Données projet'!$E$10+1,1))-AVERAGE(OFFSET($H$3,0,0,'Données projet'!$E$10+1,1))</f>
        <v>316.58509520829671</v>
      </c>
      <c r="AO154" s="59">
        <f t="shared" si="144"/>
        <v>240.71332110643596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0.23077922130661435</v>
      </c>
      <c r="AV154" s="21">
        <f>EXP(-LN(2)/25)*AV153+(1-EXP(-LN(2)/25))/(LN(2)/25)*Calculateur!AQ154*Calculateur!AS154*VLOOKUP('Données projet'!$B$10,Paramètres!$A$1:$I$89,3,0)*0.475*44/12</f>
        <v>0.53308306718595533</v>
      </c>
      <c r="AW154" s="21">
        <f>EXP(-LN(2)/2)*AW153+(1-EXP(-LN(2)/2))/(LN(2)/2)*AQ154*AT154*VLOOKUP('Données projet'!$B$10,Paramètres!$A$1:$I$89,3,0)*0.475*44/12</f>
        <v>1.3455780118322039E-17</v>
      </c>
      <c r="AX154" s="21">
        <f t="shared" ref="AX154:AX203" si="166">SUM(AU154:AW154)</f>
        <v>0.76386228849256965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-1.8089849618263545E-13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314.94704727988847</v>
      </c>
      <c r="BJ154" s="59">
        <f t="shared" si="146"/>
        <v>366.49199094166454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0.35652775230393535</v>
      </c>
      <c r="BQ154" s="21">
        <f>EXP(-LN(2)/25)*BQ153+(1-EXP(-LN(2)/25))/(LN(2)/25)*Calculateur!BL154*Calculateur!BN154*VLOOKUP('Données projet'!$B$11,Paramètres!$A$1:$I$89,3,0)*0.475*44/12</f>
        <v>0.88708733229684711</v>
      </c>
      <c r="BR154" s="21">
        <f>EXP(-LN(2)/2)*BR153+(1-EXP(-LN(2)/2))/(LN(2)/2)*BL154*BO154*VLOOKUP('Données projet'!$B$11,Paramètres!$A$1:$I$89,3,0)*0.475*44/12</f>
        <v>1.7706004157578669E-17</v>
      </c>
      <c r="BS154" s="22">
        <f t="shared" ref="BS154:BS203" si="169">SUM(BP154:BR154)</f>
        <v>1.2436150846007825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-1.8089849618263545E-13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314.94704727988847</v>
      </c>
      <c r="CE154" s="59">
        <f t="shared" si="148"/>
        <v>366.49199094166454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0.35652775230393535</v>
      </c>
      <c r="CL154" s="21">
        <f>EXP(-LN(2)/25)*CL153+(1-EXP(-LN(2)/25))/(LN(2)/25)*Calculateur!CG154*Calculateur!CI154*VLOOKUP('Données projet'!$B$12,Paramètres!$A$1:$I$89,3,0)*0.475*44/12</f>
        <v>0.88708733229684711</v>
      </c>
      <c r="CM154" s="21">
        <f>EXP(-LN(2)/2)*CM153+(1-EXP(-LN(2)/2))/(LN(2)/2)*CG154*CJ154*VLOOKUP('Données projet'!$B$12,Paramètres!$A$1:$I$89,3,0)*0.475*44/12</f>
        <v>1.7706004157578669E-17</v>
      </c>
      <c r="CN154" s="22">
        <f t="shared" ref="CN154:CN203" si="172">SUM(CK154:CM154)</f>
        <v>1.2436150846007825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4.5474735088646412E-13</v>
      </c>
      <c r="CU154" s="17">
        <f>CT154*VLOOKUP('Données projet'!$B$13,Paramètres!$A$1:$I$89,3,0)*VLOOKUP('Données projet'!$B$13,Paramètres!$A$1:$I$89,5,0)</f>
        <v>4.1145540308207271E-13</v>
      </c>
      <c r="CV154" s="13">
        <f t="shared" ref="CV154:CV203" si="173">EXP(-1.0587+0.8836*LN(CU154)+0.284)</f>
        <v>5.2428527960910789E-12</v>
      </c>
      <c r="CW154" s="20">
        <f t="shared" ref="CW154:CW203" si="174">(CU154+CV154)*0.475*44/12</f>
        <v>9.8479201135599071E-12</v>
      </c>
      <c r="CX154" s="59">
        <f t="shared" si="122"/>
        <v>293.33333333334315</v>
      </c>
      <c r="CY154" s="59">
        <f ca="1">AVERAGE(OFFSET($CX$3,0,0,'Données projet'!$E$13+1,1))-AVERAGE(OFFSET($H$3,0,0,'Données projet'!$E$13+1,1))</f>
        <v>221.7429870520005</v>
      </c>
      <c r="CZ154" s="59">
        <f t="shared" si="150"/>
        <v>182.2029938397186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-1.0345502232667058E-13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199.01551760562705</v>
      </c>
      <c r="T155" s="59">
        <f t="shared" si="142"/>
        <v>269.50915104901367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0.22452218124384599</v>
      </c>
      <c r="AA155" s="21">
        <f>EXP(-LN(2)/25)*AA154+(1-EXP(-LN(2)/25))/(LN(2)/25)*Calculateur!V155*Calculateur!X155*VLOOKUP('Données projet'!$B$9,Paramètres!$A$1:$I$89,3,0)*0.475*44/12</f>
        <v>0.44117728954463881</v>
      </c>
      <c r="AB155" s="21">
        <f>EXP(-LN(2)/2)*AB154+(1-EXP(-LN(2)/2))/(LN(2)/2)*V155*Y155*VLOOKUP('Données projet'!$B$9,Paramètres!$A$1:$I$89,3,0)*0.475*44/12</f>
        <v>5.9749950849504939E-19</v>
      </c>
      <c r="AC155" s="22">
        <f t="shared" si="163"/>
        <v>0.66569947078848479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553.99999999999955</v>
      </c>
      <c r="AJ155" s="13">
        <f>AI155*VLOOKUP('Données projet'!$B$10,Paramètres!$A$1:$I$89,3,0)*VLOOKUP('Données projet'!$B$10,Paramètres!$A$1:$I$89,5,0)</f>
        <v>331.29199999999975</v>
      </c>
      <c r="AK155" s="13">
        <f t="shared" si="164"/>
        <v>77.698110787752</v>
      </c>
      <c r="AL155" s="20">
        <f t="shared" si="165"/>
        <v>712.32444295533423</v>
      </c>
      <c r="AM155" s="59">
        <f t="shared" si="113"/>
        <v>1005.6577762886675</v>
      </c>
      <c r="AN155" s="59">
        <f ca="1">AVERAGE(OFFSET($AM$3,0,0,'Données projet'!$E$10+1,1))-AVERAGE(OFFSET($H$3,0,0,'Données projet'!$E$10+1,1))</f>
        <v>316.58509520829671</v>
      </c>
      <c r="AO155" s="59">
        <f t="shared" si="144"/>
        <v>240.71332110643596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0.2262537815382176</v>
      </c>
      <c r="AV155" s="21">
        <f>EXP(-LN(2)/25)*AV154+(1-EXP(-LN(2)/25))/(LN(2)/25)*Calculateur!AQ155*Calculateur!AS155*VLOOKUP('Données projet'!$B$10,Paramètres!$A$1:$I$89,3,0)*0.475*44/12</f>
        <v>0.5185058826801352</v>
      </c>
      <c r="AW155" s="21">
        <f>EXP(-LN(2)/2)*AW154+(1-EXP(-LN(2)/2))/(LN(2)/2)*AQ155*AT155*VLOOKUP('Données projet'!$B$10,Paramètres!$A$1:$I$89,3,0)*0.475*44/12</f>
        <v>9.5146733678206382E-18</v>
      </c>
      <c r="AX155" s="21">
        <f t="shared" si="166"/>
        <v>0.74475966421835282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-1.8089849618263545E-13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314.94704727988847</v>
      </c>
      <c r="BJ155" s="59">
        <f t="shared" si="146"/>
        <v>366.49199094166454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0.34953646054171167</v>
      </c>
      <c r="BQ155" s="21">
        <f>EXP(-LN(2)/25)*BQ154+(1-EXP(-LN(2)/25))/(LN(2)/25)*Calculateur!BL155*Calculateur!BN155*VLOOKUP('Données projet'!$B$11,Paramètres!$A$1:$I$89,3,0)*0.475*44/12</f>
        <v>0.86282988254529447</v>
      </c>
      <c r="BR155" s="21">
        <f>EXP(-LN(2)/2)*BR154+(1-EXP(-LN(2)/2))/(LN(2)/2)*BL155*BO155*VLOOKUP('Données projet'!$B$11,Paramètres!$A$1:$I$89,3,0)*0.475*44/12</f>
        <v>1.2520035607541081E-17</v>
      </c>
      <c r="BS155" s="22">
        <f t="shared" si="169"/>
        <v>1.2123663430870062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-1.8089849618263545E-13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314.94704727988847</v>
      </c>
      <c r="CE155" s="59">
        <f t="shared" si="148"/>
        <v>366.49199094166454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0.34953646054171167</v>
      </c>
      <c r="CL155" s="21">
        <f>EXP(-LN(2)/25)*CL154+(1-EXP(-LN(2)/25))/(LN(2)/25)*Calculateur!CG155*Calculateur!CI155*VLOOKUP('Données projet'!$B$12,Paramètres!$A$1:$I$89,3,0)*0.475*44/12</f>
        <v>0.86282988254529447</v>
      </c>
      <c r="CM155" s="21">
        <f>EXP(-LN(2)/2)*CM154+(1-EXP(-LN(2)/2))/(LN(2)/2)*CG155*CJ155*VLOOKUP('Données projet'!$B$12,Paramètres!$A$1:$I$89,3,0)*0.475*44/12</f>
        <v>1.2520035607541081E-17</v>
      </c>
      <c r="CN155" s="22">
        <f t="shared" si="172"/>
        <v>1.2123663430870062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4.5474735088646412E-13</v>
      </c>
      <c r="CU155" s="17">
        <f>CT155*VLOOKUP('Données projet'!$B$13,Paramètres!$A$1:$I$89,3,0)*VLOOKUP('Données projet'!$B$13,Paramètres!$A$1:$I$89,5,0)</f>
        <v>4.1145540308207271E-13</v>
      </c>
      <c r="CV155" s="13">
        <f t="shared" si="173"/>
        <v>5.2428527960910789E-12</v>
      </c>
      <c r="CW155" s="20">
        <f t="shared" si="174"/>
        <v>9.8479201135599071E-12</v>
      </c>
      <c r="CX155" s="59">
        <f t="shared" si="122"/>
        <v>293.33333333334315</v>
      </c>
      <c r="CY155" s="59">
        <f ca="1">AVERAGE(OFFSET($CX$3,0,0,'Données projet'!$E$13+1,1))-AVERAGE(OFFSET($H$3,0,0,'Données projet'!$E$13+1,1))</f>
        <v>221.7429870520005</v>
      </c>
      <c r="CZ155" s="59">
        <f t="shared" si="150"/>
        <v>182.2029938397186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-1.0345502232667058E-13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199.01551760562705</v>
      </c>
      <c r="T156" s="59">
        <f t="shared" si="142"/>
        <v>269.50915104901367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0.22011943821466254</v>
      </c>
      <c r="AA156" s="21">
        <f>EXP(-LN(2)/25)*AA155+(1-EXP(-LN(2)/25))/(LN(2)/25)*Calculateur!V156*Calculateur!X156*VLOOKUP('Données projet'!$B$9,Paramètres!$A$1:$I$89,3,0)*0.475*44/12</f>
        <v>0.42911327336153532</v>
      </c>
      <c r="AB156" s="21">
        <f>EXP(-LN(2)/2)*AB155+(1-EXP(-LN(2)/2))/(LN(2)/2)*V156*Y156*VLOOKUP('Données projet'!$B$9,Paramètres!$A$1:$I$89,3,0)*0.475*44/12</f>
        <v>4.224959542124786E-19</v>
      </c>
      <c r="AC156" s="22">
        <f t="shared" si="163"/>
        <v>0.64923271157619789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553.99999999999955</v>
      </c>
      <c r="AJ156" s="13">
        <f>AI156*VLOOKUP('Données projet'!$B$10,Paramètres!$A$1:$I$89,3,0)*VLOOKUP('Données projet'!$B$10,Paramètres!$A$1:$I$89,5,0)</f>
        <v>331.29199999999975</v>
      </c>
      <c r="AK156" s="13">
        <f t="shared" si="164"/>
        <v>77.698110787752</v>
      </c>
      <c r="AL156" s="20">
        <f t="shared" si="165"/>
        <v>712.32444295533423</v>
      </c>
      <c r="AM156" s="59">
        <f t="shared" si="113"/>
        <v>1005.6577762886675</v>
      </c>
      <c r="AN156" s="59">
        <f ca="1">AVERAGE(OFFSET($AM$3,0,0,'Données projet'!$E$10+1,1))-AVERAGE(OFFSET($H$3,0,0,'Données projet'!$E$10+1,1))</f>
        <v>316.58509520829671</v>
      </c>
      <c r="AO156" s="59">
        <f t="shared" si="144"/>
        <v>240.71332110643596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0.22181708288343341</v>
      </c>
      <c r="AV156" s="21">
        <f>EXP(-LN(2)/25)*AV155+(1-EXP(-LN(2)/25))/(LN(2)/25)*Calculateur!AQ156*Calculateur!AS156*VLOOKUP('Données projet'!$B$10,Paramètres!$A$1:$I$89,3,0)*0.475*44/12</f>
        <v>0.50432731205120762</v>
      </c>
      <c r="AW156" s="21">
        <f>EXP(-LN(2)/2)*AW155+(1-EXP(-LN(2)/2))/(LN(2)/2)*AQ156*AT156*VLOOKUP('Données projet'!$B$10,Paramètres!$A$1:$I$89,3,0)*0.475*44/12</f>
        <v>6.7278900591610193E-18</v>
      </c>
      <c r="AX156" s="21">
        <f t="shared" si="166"/>
        <v>0.726144394934641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-1.8089849618263545E-13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314.94704727988847</v>
      </c>
      <c r="BJ156" s="59">
        <f t="shared" si="146"/>
        <v>366.49199094166454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0.34268226374667826</v>
      </c>
      <c r="BQ156" s="21">
        <f>EXP(-LN(2)/25)*BQ155+(1-EXP(-LN(2)/25))/(LN(2)/25)*Calculateur!BL156*Calculateur!BN156*VLOOKUP('Données projet'!$B$11,Paramètres!$A$1:$I$89,3,0)*0.475*44/12</f>
        <v>0.8392357540328419</v>
      </c>
      <c r="BR156" s="21">
        <f>EXP(-LN(2)/2)*BR155+(1-EXP(-LN(2)/2))/(LN(2)/2)*BL156*BO156*VLOOKUP('Données projet'!$B$11,Paramètres!$A$1:$I$89,3,0)*0.475*44/12</f>
        <v>8.8530020787893345E-18</v>
      </c>
      <c r="BS156" s="22">
        <f t="shared" si="169"/>
        <v>1.1819180177795201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-1.8089849618263545E-13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314.94704727988847</v>
      </c>
      <c r="CE156" s="59">
        <f t="shared" si="148"/>
        <v>366.49199094166454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0.34268226374667826</v>
      </c>
      <c r="CL156" s="21">
        <f>EXP(-LN(2)/25)*CL155+(1-EXP(-LN(2)/25))/(LN(2)/25)*Calculateur!CG156*Calculateur!CI156*VLOOKUP('Données projet'!$B$12,Paramètres!$A$1:$I$89,3,0)*0.475*44/12</f>
        <v>0.8392357540328419</v>
      </c>
      <c r="CM156" s="21">
        <f>EXP(-LN(2)/2)*CM155+(1-EXP(-LN(2)/2))/(LN(2)/2)*CG156*CJ156*VLOOKUP('Données projet'!$B$12,Paramètres!$A$1:$I$89,3,0)*0.475*44/12</f>
        <v>8.8530020787893345E-18</v>
      </c>
      <c r="CN156" s="22">
        <f t="shared" si="172"/>
        <v>1.1819180177795201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4.5474735088646412E-13</v>
      </c>
      <c r="CU156" s="17">
        <f>CT156*VLOOKUP('Données projet'!$B$13,Paramètres!$A$1:$I$89,3,0)*VLOOKUP('Données projet'!$B$13,Paramètres!$A$1:$I$89,5,0)</f>
        <v>4.1145540308207271E-13</v>
      </c>
      <c r="CV156" s="13">
        <f t="shared" si="173"/>
        <v>5.2428527960910789E-12</v>
      </c>
      <c r="CW156" s="20">
        <f t="shared" si="174"/>
        <v>9.8479201135599071E-12</v>
      </c>
      <c r="CX156" s="59">
        <f t="shared" si="122"/>
        <v>293.33333333334315</v>
      </c>
      <c r="CY156" s="59">
        <f ca="1">AVERAGE(OFFSET($CX$3,0,0,'Données projet'!$E$13+1,1))-AVERAGE(OFFSET($H$3,0,0,'Données projet'!$E$13+1,1))</f>
        <v>221.7429870520005</v>
      </c>
      <c r="CZ156" s="59">
        <f t="shared" si="150"/>
        <v>182.2029938397186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-1.0345502232667058E-13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199.01551760562705</v>
      </c>
      <c r="T157" s="59">
        <f t="shared" si="142"/>
        <v>269.50915104901367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0.21580303029087328</v>
      </c>
      <c r="AA157" s="21">
        <f>EXP(-LN(2)/25)*AA156+(1-EXP(-LN(2)/25))/(LN(2)/25)*Calculateur!V157*Calculateur!X157*VLOOKUP('Données projet'!$B$9,Paramètres!$A$1:$I$89,3,0)*0.475*44/12</f>
        <v>0.41737914833537781</v>
      </c>
      <c r="AB157" s="21">
        <f>EXP(-LN(2)/2)*AB156+(1-EXP(-LN(2)/2))/(LN(2)/2)*V157*Y157*VLOOKUP('Données projet'!$B$9,Paramètres!$A$1:$I$89,3,0)*0.475*44/12</f>
        <v>2.9874975424752474E-19</v>
      </c>
      <c r="AC157" s="22">
        <f t="shared" si="163"/>
        <v>0.63318217862625104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553.99999999999955</v>
      </c>
      <c r="AJ157" s="13">
        <f>AI157*VLOOKUP('Données projet'!$B$10,Paramètres!$A$1:$I$89,3,0)*VLOOKUP('Données projet'!$B$10,Paramètres!$A$1:$I$89,5,0)</f>
        <v>331.29199999999975</v>
      </c>
      <c r="AK157" s="13">
        <f t="shared" si="164"/>
        <v>77.698110787752</v>
      </c>
      <c r="AL157" s="20">
        <f t="shared" si="165"/>
        <v>712.32444295533423</v>
      </c>
      <c r="AM157" s="59">
        <f t="shared" si="113"/>
        <v>1005.6577762886675</v>
      </c>
      <c r="AN157" s="59">
        <f ca="1">AVERAGE(OFFSET($AM$3,0,0,'Données projet'!$E$10+1,1))-AVERAGE(OFFSET($H$3,0,0,'Données projet'!$E$10+1,1))</f>
        <v>316.58509520829671</v>
      </c>
      <c r="AO157" s="59">
        <f t="shared" si="144"/>
        <v>240.71332110643596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0.21746738518315056</v>
      </c>
      <c r="AV157" s="21">
        <f>EXP(-LN(2)/25)*AV156+(1-EXP(-LN(2)/25))/(LN(2)/25)*Calculateur!AQ157*Calculateur!AS157*VLOOKUP('Données projet'!$B$10,Paramètres!$A$1:$I$89,3,0)*0.475*44/12</f>
        <v>0.49053645518174666</v>
      </c>
      <c r="AW157" s="21">
        <f>EXP(-LN(2)/2)*AW156+(1-EXP(-LN(2)/2))/(LN(2)/2)*AQ157*AT157*VLOOKUP('Données projet'!$B$10,Paramètres!$A$1:$I$89,3,0)*0.475*44/12</f>
        <v>4.7573366839103191E-18</v>
      </c>
      <c r="AX157" s="21">
        <f t="shared" si="166"/>
        <v>0.70800384036489716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-1.8089849618263545E-13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314.94704727988847</v>
      </c>
      <c r="BJ157" s="59">
        <f t="shared" si="146"/>
        <v>366.49199094166454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0.33596247357014819</v>
      </c>
      <c r="BQ157" s="21">
        <f>EXP(-LN(2)/25)*BQ156+(1-EXP(-LN(2)/25))/(LN(2)/25)*Calculateur!BL157*Calculateur!BN157*VLOOKUP('Données projet'!$B$11,Paramètres!$A$1:$I$89,3,0)*0.475*44/12</f>
        <v>0.81628680820532362</v>
      </c>
      <c r="BR157" s="21">
        <f>EXP(-LN(2)/2)*BR156+(1-EXP(-LN(2)/2))/(LN(2)/2)*BL157*BO157*VLOOKUP('Données projet'!$B$11,Paramètres!$A$1:$I$89,3,0)*0.475*44/12</f>
        <v>6.2600178037705404E-18</v>
      </c>
      <c r="BS157" s="22">
        <f t="shared" si="169"/>
        <v>1.1522492817754717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-1.8089849618263545E-13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314.94704727988847</v>
      </c>
      <c r="CE157" s="59">
        <f t="shared" si="148"/>
        <v>366.49199094166454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0.33596247357014819</v>
      </c>
      <c r="CL157" s="21">
        <f>EXP(-LN(2)/25)*CL156+(1-EXP(-LN(2)/25))/(LN(2)/25)*Calculateur!CG157*Calculateur!CI157*VLOOKUP('Données projet'!$B$12,Paramètres!$A$1:$I$89,3,0)*0.475*44/12</f>
        <v>0.81628680820532362</v>
      </c>
      <c r="CM157" s="21">
        <f>EXP(-LN(2)/2)*CM156+(1-EXP(-LN(2)/2))/(LN(2)/2)*CG157*CJ157*VLOOKUP('Données projet'!$B$12,Paramètres!$A$1:$I$89,3,0)*0.475*44/12</f>
        <v>6.2600178037705404E-18</v>
      </c>
      <c r="CN157" s="22">
        <f t="shared" si="172"/>
        <v>1.1522492817754717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4.5474735088646412E-13</v>
      </c>
      <c r="CU157" s="17">
        <f>CT157*VLOOKUP('Données projet'!$B$13,Paramètres!$A$1:$I$89,3,0)*VLOOKUP('Données projet'!$B$13,Paramètres!$A$1:$I$89,5,0)</f>
        <v>4.1145540308207271E-13</v>
      </c>
      <c r="CV157" s="13">
        <f t="shared" si="173"/>
        <v>5.2428527960910789E-12</v>
      </c>
      <c r="CW157" s="20">
        <f t="shared" si="174"/>
        <v>9.8479201135599071E-12</v>
      </c>
      <c r="CX157" s="59">
        <f t="shared" si="122"/>
        <v>293.33333333334315</v>
      </c>
      <c r="CY157" s="59">
        <f ca="1">AVERAGE(OFFSET($CX$3,0,0,'Données projet'!$E$13+1,1))-AVERAGE(OFFSET($H$3,0,0,'Données projet'!$E$13+1,1))</f>
        <v>221.7429870520005</v>
      </c>
      <c r="CZ157" s="59">
        <f t="shared" si="150"/>
        <v>182.2029938397186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-1.0345502232667058E-13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199.01551760562705</v>
      </c>
      <c r="T158" s="59">
        <f t="shared" si="142"/>
        <v>269.50915104901367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0.21157126449372066</v>
      </c>
      <c r="AA158" s="21">
        <f>EXP(-LN(2)/25)*AA157+(1-EXP(-LN(2)/25))/(LN(2)/25)*Calculateur!V158*Calculateur!X158*VLOOKUP('Données projet'!$B$9,Paramètres!$A$1:$I$89,3,0)*0.475*44/12</f>
        <v>0.40596589357513141</v>
      </c>
      <c r="AB158" s="21">
        <f>EXP(-LN(2)/2)*AB157+(1-EXP(-LN(2)/2))/(LN(2)/2)*V158*Y158*VLOOKUP('Données projet'!$B$9,Paramètres!$A$1:$I$89,3,0)*0.475*44/12</f>
        <v>2.1124797710623935E-19</v>
      </c>
      <c r="AC158" s="22">
        <f t="shared" si="163"/>
        <v>0.61753715806885201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553.99999999999955</v>
      </c>
      <c r="AJ158" s="13">
        <f>AI158*VLOOKUP('Données projet'!$B$10,Paramètres!$A$1:$I$89,3,0)*VLOOKUP('Données projet'!$B$10,Paramètres!$A$1:$I$89,5,0)</f>
        <v>331.29199999999975</v>
      </c>
      <c r="AK158" s="13">
        <f t="shared" si="164"/>
        <v>77.698110787752</v>
      </c>
      <c r="AL158" s="20">
        <f t="shared" si="165"/>
        <v>712.32444295533423</v>
      </c>
      <c r="AM158" s="59">
        <f t="shared" si="113"/>
        <v>1005.6577762886675</v>
      </c>
      <c r="AN158" s="59">
        <f ca="1">AVERAGE(OFFSET($AM$3,0,0,'Données projet'!$E$10+1,1))-AVERAGE(OFFSET($H$3,0,0,'Données projet'!$E$10+1,1))</f>
        <v>316.58509520829671</v>
      </c>
      <c r="AO158" s="59">
        <f t="shared" si="144"/>
        <v>240.71332110643596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0.21320298240171665</v>
      </c>
      <c r="AV158" s="21">
        <f>EXP(-LN(2)/25)*AV157+(1-EXP(-LN(2)/25))/(LN(2)/25)*Calculateur!AQ158*Calculateur!AS158*VLOOKUP('Données projet'!$B$10,Paramètres!$A$1:$I$89,3,0)*0.475*44/12</f>
        <v>0.47712271001861073</v>
      </c>
      <c r="AW158" s="21">
        <f>EXP(-LN(2)/2)*AW157+(1-EXP(-LN(2)/2))/(LN(2)/2)*AQ158*AT158*VLOOKUP('Données projet'!$B$10,Paramètres!$A$1:$I$89,3,0)*0.475*44/12</f>
        <v>3.3639450295805096E-18</v>
      </c>
      <c r="AX158" s="21">
        <f t="shared" si="166"/>
        <v>0.69032569242032737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-1.8089849618263545E-13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314.94704727988847</v>
      </c>
      <c r="BJ158" s="59">
        <f t="shared" si="146"/>
        <v>366.49199094166454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0.3293744543803126</v>
      </c>
      <c r="BQ158" s="21">
        <f>EXP(-LN(2)/25)*BQ157+(1-EXP(-LN(2)/25))/(LN(2)/25)*Calculateur!BL158*Calculateur!BN158*VLOOKUP('Données projet'!$B$11,Paramètres!$A$1:$I$89,3,0)*0.475*44/12</f>
        <v>0.79396540250829151</v>
      </c>
      <c r="BR158" s="21">
        <f>EXP(-LN(2)/2)*BR157+(1-EXP(-LN(2)/2))/(LN(2)/2)*BL158*BO158*VLOOKUP('Données projet'!$B$11,Paramètres!$A$1:$I$89,3,0)*0.475*44/12</f>
        <v>4.4265010393946672E-18</v>
      </c>
      <c r="BS158" s="22">
        <f t="shared" si="169"/>
        <v>1.1233398568886042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-1.8089849618263545E-13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314.94704727988847</v>
      </c>
      <c r="CE158" s="59">
        <f t="shared" si="148"/>
        <v>366.49199094166454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0.3293744543803126</v>
      </c>
      <c r="CL158" s="21">
        <f>EXP(-LN(2)/25)*CL157+(1-EXP(-LN(2)/25))/(LN(2)/25)*Calculateur!CG158*Calculateur!CI158*VLOOKUP('Données projet'!$B$12,Paramètres!$A$1:$I$89,3,0)*0.475*44/12</f>
        <v>0.79396540250829151</v>
      </c>
      <c r="CM158" s="21">
        <f>EXP(-LN(2)/2)*CM157+(1-EXP(-LN(2)/2))/(LN(2)/2)*CG158*CJ158*VLOOKUP('Données projet'!$B$12,Paramètres!$A$1:$I$89,3,0)*0.475*44/12</f>
        <v>4.4265010393946672E-18</v>
      </c>
      <c r="CN158" s="22">
        <f t="shared" si="172"/>
        <v>1.1233398568886042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4.5474735088646412E-13</v>
      </c>
      <c r="CU158" s="17">
        <f>CT158*VLOOKUP('Données projet'!$B$13,Paramètres!$A$1:$I$89,3,0)*VLOOKUP('Données projet'!$B$13,Paramètres!$A$1:$I$89,5,0)</f>
        <v>4.1145540308207271E-13</v>
      </c>
      <c r="CV158" s="13">
        <f t="shared" si="173"/>
        <v>5.2428527960910789E-12</v>
      </c>
      <c r="CW158" s="20">
        <f t="shared" si="174"/>
        <v>9.8479201135599071E-12</v>
      </c>
      <c r="CX158" s="59">
        <f t="shared" si="122"/>
        <v>293.33333333334315</v>
      </c>
      <c r="CY158" s="59">
        <f ca="1">AVERAGE(OFFSET($CX$3,0,0,'Données projet'!$E$13+1,1))-AVERAGE(OFFSET($H$3,0,0,'Données projet'!$E$13+1,1))</f>
        <v>221.7429870520005</v>
      </c>
      <c r="CZ158" s="59">
        <f t="shared" si="150"/>
        <v>182.2029938397186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-1.0345502232667058E-13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199.01551760562705</v>
      </c>
      <c r="T159" s="59">
        <f t="shared" si="142"/>
        <v>269.50915104901367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0.20742248104272792</v>
      </c>
      <c r="AA159" s="21">
        <f>EXP(-LN(2)/25)*AA158+(1-EXP(-LN(2)/25))/(LN(2)/25)*Calculateur!V159*Calculateur!X159*VLOOKUP('Données projet'!$B$9,Paramètres!$A$1:$I$89,3,0)*0.475*44/12</f>
        <v>0.39486473486650092</v>
      </c>
      <c r="AB159" s="21">
        <f>EXP(-LN(2)/2)*AB158+(1-EXP(-LN(2)/2))/(LN(2)/2)*V159*Y159*VLOOKUP('Données projet'!$B$9,Paramètres!$A$1:$I$89,3,0)*0.475*44/12</f>
        <v>1.493748771237624E-19</v>
      </c>
      <c r="AC159" s="22">
        <f t="shared" si="163"/>
        <v>0.60228721590922885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553.99999999999955</v>
      </c>
      <c r="AJ159" s="13">
        <f>AI159*VLOOKUP('Données projet'!$B$10,Paramètres!$A$1:$I$89,3,0)*VLOOKUP('Données projet'!$B$10,Paramètres!$A$1:$I$89,5,0)</f>
        <v>331.29199999999975</v>
      </c>
      <c r="AK159" s="13">
        <f t="shared" si="164"/>
        <v>77.698110787752</v>
      </c>
      <c r="AL159" s="20">
        <f t="shared" si="165"/>
        <v>712.32444295533423</v>
      </c>
      <c r="AM159" s="59">
        <f t="shared" si="113"/>
        <v>1005.6577762886675</v>
      </c>
      <c r="AN159" s="59">
        <f ca="1">AVERAGE(OFFSET($AM$3,0,0,'Données projet'!$E$10+1,1))-AVERAGE(OFFSET($H$3,0,0,'Données projet'!$E$10+1,1))</f>
        <v>316.58509520829671</v>
      </c>
      <c r="AO159" s="59">
        <f t="shared" si="144"/>
        <v>240.71332110643596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0.20902220195779778</v>
      </c>
      <c r="AV159" s="21">
        <f>EXP(-LN(2)/25)*AV158+(1-EXP(-LN(2)/25))/(LN(2)/25)*Calculateur!AQ159*Calculateur!AS159*VLOOKUP('Données projet'!$B$10,Paramètres!$A$1:$I$89,3,0)*0.475*44/12</f>
        <v>0.46407576442235898</v>
      </c>
      <c r="AW159" s="21">
        <f>EXP(-LN(2)/2)*AW158+(1-EXP(-LN(2)/2))/(LN(2)/2)*AQ159*AT159*VLOOKUP('Données projet'!$B$10,Paramètres!$A$1:$I$89,3,0)*0.475*44/12</f>
        <v>2.3786683419551595E-18</v>
      </c>
      <c r="AX159" s="21">
        <f t="shared" si="166"/>
        <v>0.67309796638015673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-1.8089849618263545E-13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314.94704727988847</v>
      </c>
      <c r="BJ159" s="59">
        <f t="shared" si="146"/>
        <v>366.49199094166454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0.32291562222849474</v>
      </c>
      <c r="BQ159" s="21">
        <f>EXP(-LN(2)/25)*BQ158+(1-EXP(-LN(2)/25))/(LN(2)/25)*Calculateur!BL159*Calculateur!BN159*VLOOKUP('Données projet'!$B$11,Paramètres!$A$1:$I$89,3,0)*0.475*44/12</f>
        <v>0.77225437682387643</v>
      </c>
      <c r="BR159" s="21">
        <f>EXP(-LN(2)/2)*BR158+(1-EXP(-LN(2)/2))/(LN(2)/2)*BL159*BO159*VLOOKUP('Données projet'!$B$11,Paramètres!$A$1:$I$89,3,0)*0.475*44/12</f>
        <v>3.1300089018852702E-18</v>
      </c>
      <c r="BS159" s="22">
        <f t="shared" si="169"/>
        <v>1.0951699990523711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-1.8089849618263545E-13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314.94704727988847</v>
      </c>
      <c r="CE159" s="59">
        <f t="shared" si="148"/>
        <v>366.49199094166454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0.32291562222849474</v>
      </c>
      <c r="CL159" s="21">
        <f>EXP(-LN(2)/25)*CL158+(1-EXP(-LN(2)/25))/(LN(2)/25)*Calculateur!CG159*Calculateur!CI159*VLOOKUP('Données projet'!$B$12,Paramètres!$A$1:$I$89,3,0)*0.475*44/12</f>
        <v>0.77225437682387643</v>
      </c>
      <c r="CM159" s="21">
        <f>EXP(-LN(2)/2)*CM158+(1-EXP(-LN(2)/2))/(LN(2)/2)*CG159*CJ159*VLOOKUP('Données projet'!$B$12,Paramètres!$A$1:$I$89,3,0)*0.475*44/12</f>
        <v>3.1300089018852702E-18</v>
      </c>
      <c r="CN159" s="22">
        <f t="shared" si="172"/>
        <v>1.0951699990523711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4.5474735088646412E-13</v>
      </c>
      <c r="CU159" s="17">
        <f>CT159*VLOOKUP('Données projet'!$B$13,Paramètres!$A$1:$I$89,3,0)*VLOOKUP('Données projet'!$B$13,Paramètres!$A$1:$I$89,5,0)</f>
        <v>4.1145540308207271E-13</v>
      </c>
      <c r="CV159" s="13">
        <f t="shared" si="173"/>
        <v>5.2428527960910789E-12</v>
      </c>
      <c r="CW159" s="20">
        <f t="shared" si="174"/>
        <v>9.8479201135599071E-12</v>
      </c>
      <c r="CX159" s="59">
        <f t="shared" si="122"/>
        <v>293.33333333334315</v>
      </c>
      <c r="CY159" s="59">
        <f ca="1">AVERAGE(OFFSET($CX$3,0,0,'Données projet'!$E$13+1,1))-AVERAGE(OFFSET($H$3,0,0,'Données projet'!$E$13+1,1))</f>
        <v>221.7429870520005</v>
      </c>
      <c r="CZ159" s="59">
        <f t="shared" si="150"/>
        <v>182.2029938397186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-1.0345502232667058E-13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199.01551760562705</v>
      </c>
      <c r="T160" s="59">
        <f t="shared" si="142"/>
        <v>269.50915104901367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0.20335505270470111</v>
      </c>
      <c r="AA160" s="21">
        <f>EXP(-LN(2)/25)*AA159+(1-EXP(-LN(2)/25))/(LN(2)/25)*Calculateur!V160*Calculateur!X160*VLOOKUP('Données projet'!$B$9,Paramètres!$A$1:$I$89,3,0)*0.475*44/12</f>
        <v>0.38406713792654251</v>
      </c>
      <c r="AB160" s="21">
        <f>EXP(-LN(2)/2)*AB159+(1-EXP(-LN(2)/2))/(LN(2)/2)*V160*Y160*VLOOKUP('Données projet'!$B$9,Paramètres!$A$1:$I$89,3,0)*0.475*44/12</f>
        <v>1.0562398855311969E-19</v>
      </c>
      <c r="AC160" s="22">
        <f t="shared" si="163"/>
        <v>0.58742219063124357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553.99999999999955</v>
      </c>
      <c r="AJ160" s="13">
        <f>AI160*VLOOKUP('Données projet'!$B$10,Paramètres!$A$1:$I$89,3,0)*VLOOKUP('Données projet'!$B$10,Paramètres!$A$1:$I$89,5,0)</f>
        <v>331.29199999999975</v>
      </c>
      <c r="AK160" s="13">
        <f t="shared" si="164"/>
        <v>77.698110787752</v>
      </c>
      <c r="AL160" s="20">
        <f t="shared" si="165"/>
        <v>712.32444295533423</v>
      </c>
      <c r="AM160" s="59">
        <f t="shared" si="113"/>
        <v>1005.6577762886675</v>
      </c>
      <c r="AN160" s="59">
        <f ca="1">AVERAGE(OFFSET($AM$3,0,0,'Données projet'!$E$10+1,1))-AVERAGE(OFFSET($H$3,0,0,'Données projet'!$E$10+1,1))</f>
        <v>316.58509520829671</v>
      </c>
      <c r="AO160" s="59">
        <f t="shared" si="144"/>
        <v>240.71332110643596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0.20492340406835988</v>
      </c>
      <c r="AV160" s="21">
        <f>EXP(-LN(2)/25)*AV159+(1-EXP(-LN(2)/25))/(LN(2)/25)*Calculateur!AQ160*Calculateur!AS160*VLOOKUP('Données projet'!$B$10,Paramètres!$A$1:$I$89,3,0)*0.475*44/12</f>
        <v>0.45138558823954578</v>
      </c>
      <c r="AW160" s="21">
        <f>EXP(-LN(2)/2)*AW159+(1-EXP(-LN(2)/2))/(LN(2)/2)*AQ160*AT160*VLOOKUP('Données projet'!$B$10,Paramètres!$A$1:$I$89,3,0)*0.475*44/12</f>
        <v>1.6819725147902548E-18</v>
      </c>
      <c r="AX160" s="21">
        <f t="shared" si="166"/>
        <v>0.65630899230790563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-1.8089849618263545E-13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314.94704727988847</v>
      </c>
      <c r="BJ160" s="59">
        <f t="shared" si="146"/>
        <v>366.49199094166454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0.31658344383567544</v>
      </c>
      <c r="BQ160" s="21">
        <f>EXP(-LN(2)/25)*BQ159+(1-EXP(-LN(2)/25))/(LN(2)/25)*Calculateur!BL160*Calculateur!BN160*VLOOKUP('Données projet'!$B$11,Paramètres!$A$1:$I$89,3,0)*0.475*44/12</f>
        <v>0.7511370402785349</v>
      </c>
      <c r="BR160" s="21">
        <f>EXP(-LN(2)/2)*BR159+(1-EXP(-LN(2)/2))/(LN(2)/2)*BL160*BO160*VLOOKUP('Données projet'!$B$11,Paramètres!$A$1:$I$89,3,0)*0.475*44/12</f>
        <v>2.2132505196973336E-18</v>
      </c>
      <c r="BS160" s="22">
        <f t="shared" si="169"/>
        <v>1.0677204841142103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-1.8089849618263545E-13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314.94704727988847</v>
      </c>
      <c r="CE160" s="59">
        <f t="shared" si="148"/>
        <v>366.49199094166454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0.31658344383567544</v>
      </c>
      <c r="CL160" s="21">
        <f>EXP(-LN(2)/25)*CL159+(1-EXP(-LN(2)/25))/(LN(2)/25)*Calculateur!CG160*Calculateur!CI160*VLOOKUP('Données projet'!$B$12,Paramètres!$A$1:$I$89,3,0)*0.475*44/12</f>
        <v>0.7511370402785349</v>
      </c>
      <c r="CM160" s="21">
        <f>EXP(-LN(2)/2)*CM159+(1-EXP(-LN(2)/2))/(LN(2)/2)*CG160*CJ160*VLOOKUP('Données projet'!$B$12,Paramètres!$A$1:$I$89,3,0)*0.475*44/12</f>
        <v>2.2132505196973336E-18</v>
      </c>
      <c r="CN160" s="22">
        <f t="shared" si="172"/>
        <v>1.0677204841142103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4.5474735088646412E-13</v>
      </c>
      <c r="CU160" s="17">
        <f>CT160*VLOOKUP('Données projet'!$B$13,Paramètres!$A$1:$I$89,3,0)*VLOOKUP('Données projet'!$B$13,Paramètres!$A$1:$I$89,5,0)</f>
        <v>4.1145540308207271E-13</v>
      </c>
      <c r="CV160" s="13">
        <f t="shared" si="173"/>
        <v>5.2428527960910789E-12</v>
      </c>
      <c r="CW160" s="20">
        <f t="shared" si="174"/>
        <v>9.8479201135599071E-12</v>
      </c>
      <c r="CX160" s="59">
        <f t="shared" si="122"/>
        <v>293.33333333334315</v>
      </c>
      <c r="CY160" s="59">
        <f ca="1">AVERAGE(OFFSET($CX$3,0,0,'Données projet'!$E$13+1,1))-AVERAGE(OFFSET($H$3,0,0,'Données projet'!$E$13+1,1))</f>
        <v>221.7429870520005</v>
      </c>
      <c r="CZ160" s="59">
        <f t="shared" si="150"/>
        <v>182.2029938397186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-1.0345502232667058E-13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199.01551760562705</v>
      </c>
      <c r="T161" s="59">
        <f t="shared" si="142"/>
        <v>269.50915104901367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0.19936738415549671</v>
      </c>
      <c r="AA161" s="21">
        <f>EXP(-LN(2)/25)*AA160+(1-EXP(-LN(2)/25))/(LN(2)/25)*Calculateur!V161*Calculateur!X161*VLOOKUP('Données projet'!$B$9,Paramètres!$A$1:$I$89,3,0)*0.475*44/12</f>
        <v>0.37356480184272822</v>
      </c>
      <c r="AB161" s="21">
        <f>EXP(-LN(2)/2)*AB160+(1-EXP(-LN(2)/2))/(LN(2)/2)*V161*Y161*VLOOKUP('Données projet'!$B$9,Paramètres!$A$1:$I$89,3,0)*0.475*44/12</f>
        <v>7.468743856188121E-20</v>
      </c>
      <c r="AC161" s="22">
        <f t="shared" si="163"/>
        <v>0.57293218599822493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553.99999999999955</v>
      </c>
      <c r="AJ161" s="13">
        <f>AI161*VLOOKUP('Données projet'!$B$10,Paramètres!$A$1:$I$89,3,0)*VLOOKUP('Données projet'!$B$10,Paramètres!$A$1:$I$89,5,0)</f>
        <v>331.29199999999975</v>
      </c>
      <c r="AK161" s="13">
        <f t="shared" si="164"/>
        <v>77.698110787752</v>
      </c>
      <c r="AL161" s="20">
        <f t="shared" si="165"/>
        <v>712.32444295533423</v>
      </c>
      <c r="AM161" s="59">
        <f t="shared" si="113"/>
        <v>1005.6577762886675</v>
      </c>
      <c r="AN161" s="59">
        <f ca="1">AVERAGE(OFFSET($AM$3,0,0,'Données projet'!$E$10+1,1))-AVERAGE(OFFSET($H$3,0,0,'Données projet'!$E$10+1,1))</f>
        <v>316.58509520829671</v>
      </c>
      <c r="AO161" s="59">
        <f t="shared" si="144"/>
        <v>240.71332110643596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0.200904981105514</v>
      </c>
      <c r="AV161" s="21">
        <f>EXP(-LN(2)/25)*AV160+(1-EXP(-LN(2)/25))/(LN(2)/25)*Calculateur!AQ161*Calculateur!AS161*VLOOKUP('Données projet'!$B$10,Paramètres!$A$1:$I$89,3,0)*0.475*44/12</f>
        <v>0.43904242559179896</v>
      </c>
      <c r="AW161" s="21">
        <f>EXP(-LN(2)/2)*AW160+(1-EXP(-LN(2)/2))/(LN(2)/2)*AQ161*AT161*VLOOKUP('Données projet'!$B$10,Paramètres!$A$1:$I$89,3,0)*0.475*44/12</f>
        <v>1.1893341709775798E-18</v>
      </c>
      <c r="AX161" s="21">
        <f t="shared" si="166"/>
        <v>0.63994740669731298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-1.8089849618263545E-13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314.94704727988847</v>
      </c>
      <c r="BJ161" s="59">
        <f t="shared" si="146"/>
        <v>366.49199094166454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0.31037543559889186</v>
      </c>
      <c r="BQ161" s="21">
        <f>EXP(-LN(2)/25)*BQ160+(1-EXP(-LN(2)/25))/(LN(2)/25)*Calculateur!BL161*Calculateur!BN161*VLOOKUP('Données projet'!$B$11,Paramètres!$A$1:$I$89,3,0)*0.475*44/12</f>
        <v>0.73059715841153816</v>
      </c>
      <c r="BR161" s="21">
        <f>EXP(-LN(2)/2)*BR160+(1-EXP(-LN(2)/2))/(LN(2)/2)*BL161*BO161*VLOOKUP('Données projet'!$B$11,Paramètres!$A$1:$I$89,3,0)*0.475*44/12</f>
        <v>1.5650044509426351E-18</v>
      </c>
      <c r="BS161" s="22">
        <f t="shared" si="169"/>
        <v>1.04097259401043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-1.8089849618263545E-13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314.94704727988847</v>
      </c>
      <c r="CE161" s="59">
        <f t="shared" si="148"/>
        <v>366.49199094166454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0.31037543559889186</v>
      </c>
      <c r="CL161" s="21">
        <f>EXP(-LN(2)/25)*CL160+(1-EXP(-LN(2)/25))/(LN(2)/25)*Calculateur!CG161*Calculateur!CI161*VLOOKUP('Données projet'!$B$12,Paramètres!$A$1:$I$89,3,0)*0.475*44/12</f>
        <v>0.73059715841153816</v>
      </c>
      <c r="CM161" s="21">
        <f>EXP(-LN(2)/2)*CM160+(1-EXP(-LN(2)/2))/(LN(2)/2)*CG161*CJ161*VLOOKUP('Données projet'!$B$12,Paramètres!$A$1:$I$89,3,0)*0.475*44/12</f>
        <v>1.5650044509426351E-18</v>
      </c>
      <c r="CN161" s="22">
        <f t="shared" si="172"/>
        <v>1.04097259401043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4.5474735088646412E-13</v>
      </c>
      <c r="CU161" s="17">
        <f>CT161*VLOOKUP('Données projet'!$B$13,Paramètres!$A$1:$I$89,3,0)*VLOOKUP('Données projet'!$B$13,Paramètres!$A$1:$I$89,5,0)</f>
        <v>4.1145540308207271E-13</v>
      </c>
      <c r="CV161" s="13">
        <f t="shared" si="173"/>
        <v>5.2428527960910789E-12</v>
      </c>
      <c r="CW161" s="20">
        <f t="shared" si="174"/>
        <v>9.8479201135599071E-12</v>
      </c>
      <c r="CX161" s="59">
        <f t="shared" si="122"/>
        <v>293.33333333334315</v>
      </c>
      <c r="CY161" s="59">
        <f ca="1">AVERAGE(OFFSET($CX$3,0,0,'Données projet'!$E$13+1,1))-AVERAGE(OFFSET($H$3,0,0,'Données projet'!$E$13+1,1))</f>
        <v>221.7429870520005</v>
      </c>
      <c r="CZ161" s="59">
        <f t="shared" si="150"/>
        <v>182.2029938397186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-1.0345502232667058E-13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199.01551760562705</v>
      </c>
      <c r="T162" s="59">
        <f t="shared" si="142"/>
        <v>269.50915104901367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0.19545791135430454</v>
      </c>
      <c r="AA162" s="21">
        <f>EXP(-LN(2)/25)*AA161+(1-EXP(-LN(2)/25))/(LN(2)/25)*Calculateur!V162*Calculateur!X162*VLOOKUP('Données projet'!$B$9,Paramètres!$A$1:$I$89,3,0)*0.475*44/12</f>
        <v>0.36334965269141967</v>
      </c>
      <c r="AB162" s="21">
        <f>EXP(-LN(2)/2)*AB161+(1-EXP(-LN(2)/2))/(LN(2)/2)*V162*Y162*VLOOKUP('Données projet'!$B$9,Paramètres!$A$1:$I$89,3,0)*0.475*44/12</f>
        <v>5.2811994276559855E-20</v>
      </c>
      <c r="AC162" s="22">
        <f t="shared" si="163"/>
        <v>0.55880756404572418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553.99999999999955</v>
      </c>
      <c r="AJ162" s="13">
        <f>AI162*VLOOKUP('Données projet'!$B$10,Paramètres!$A$1:$I$89,3,0)*VLOOKUP('Données projet'!$B$10,Paramètres!$A$1:$I$89,5,0)</f>
        <v>331.29199999999975</v>
      </c>
      <c r="AK162" s="13">
        <f t="shared" si="164"/>
        <v>77.698110787752</v>
      </c>
      <c r="AL162" s="20">
        <f t="shared" si="165"/>
        <v>712.32444295533423</v>
      </c>
      <c r="AM162" s="59">
        <f t="shared" si="113"/>
        <v>1005.6577762886675</v>
      </c>
      <c r="AN162" s="59">
        <f ca="1">AVERAGE(OFFSET($AM$3,0,0,'Données projet'!$E$10+1,1))-AVERAGE(OFFSET($H$3,0,0,'Données projet'!$E$10+1,1))</f>
        <v>316.58509520829671</v>
      </c>
      <c r="AO162" s="59">
        <f t="shared" si="144"/>
        <v>240.71332110643596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0.19696535696597353</v>
      </c>
      <c r="AV162" s="21">
        <f>EXP(-LN(2)/25)*AV161+(1-EXP(-LN(2)/25))/(LN(2)/25)*Calculateur!AQ162*Calculateur!AS162*VLOOKUP('Données projet'!$B$10,Paramètres!$A$1:$I$89,3,0)*0.475*44/12</f>
        <v>0.42703678737575351</v>
      </c>
      <c r="AW162" s="21">
        <f>EXP(-LN(2)/2)*AW161+(1-EXP(-LN(2)/2))/(LN(2)/2)*AQ162*AT162*VLOOKUP('Données projet'!$B$10,Paramètres!$A$1:$I$89,3,0)*0.475*44/12</f>
        <v>8.4098625739512741E-19</v>
      </c>
      <c r="AX162" s="21">
        <f t="shared" si="166"/>
        <v>0.62400214434172707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-1.8089849618263545E-13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314.94704727988847</v>
      </c>
      <c r="BJ162" s="59">
        <f t="shared" si="146"/>
        <v>366.49199094166454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0.30428916261712047</v>
      </c>
      <c r="BQ162" s="21">
        <f>EXP(-LN(2)/25)*BQ161+(1-EXP(-LN(2)/25))/(LN(2)/25)*Calculateur!BL162*Calculateur!BN162*VLOOKUP('Données projet'!$B$11,Paramètres!$A$1:$I$89,3,0)*0.475*44/12</f>
        <v>0.71061894069433984</v>
      </c>
      <c r="BR162" s="21">
        <f>EXP(-LN(2)/2)*BR161+(1-EXP(-LN(2)/2))/(LN(2)/2)*BL162*BO162*VLOOKUP('Données projet'!$B$11,Paramètres!$A$1:$I$89,3,0)*0.475*44/12</f>
        <v>1.1066252598486668E-18</v>
      </c>
      <c r="BS162" s="22">
        <f t="shared" si="169"/>
        <v>1.0149081033114604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-1.8089849618263545E-13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314.94704727988847</v>
      </c>
      <c r="CE162" s="59">
        <f t="shared" si="148"/>
        <v>366.49199094166454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0.30428916261712047</v>
      </c>
      <c r="CL162" s="21">
        <f>EXP(-LN(2)/25)*CL161+(1-EXP(-LN(2)/25))/(LN(2)/25)*Calculateur!CG162*Calculateur!CI162*VLOOKUP('Données projet'!$B$12,Paramètres!$A$1:$I$89,3,0)*0.475*44/12</f>
        <v>0.71061894069433984</v>
      </c>
      <c r="CM162" s="21">
        <f>EXP(-LN(2)/2)*CM161+(1-EXP(-LN(2)/2))/(LN(2)/2)*CG162*CJ162*VLOOKUP('Données projet'!$B$12,Paramètres!$A$1:$I$89,3,0)*0.475*44/12</f>
        <v>1.1066252598486668E-18</v>
      </c>
      <c r="CN162" s="22">
        <f t="shared" si="172"/>
        <v>1.0149081033114604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4.5474735088646412E-13</v>
      </c>
      <c r="CU162" s="17">
        <f>CT162*VLOOKUP('Données projet'!$B$13,Paramètres!$A$1:$I$89,3,0)*VLOOKUP('Données projet'!$B$13,Paramètres!$A$1:$I$89,5,0)</f>
        <v>4.1145540308207271E-13</v>
      </c>
      <c r="CV162" s="13">
        <f t="shared" si="173"/>
        <v>5.2428527960910789E-12</v>
      </c>
      <c r="CW162" s="20">
        <f t="shared" si="174"/>
        <v>9.8479201135599071E-12</v>
      </c>
      <c r="CX162" s="59">
        <f t="shared" si="122"/>
        <v>293.33333333334315</v>
      </c>
      <c r="CY162" s="59">
        <f ca="1">AVERAGE(OFFSET($CX$3,0,0,'Données projet'!$E$13+1,1))-AVERAGE(OFFSET($H$3,0,0,'Données projet'!$E$13+1,1))</f>
        <v>221.7429870520005</v>
      </c>
      <c r="CZ162" s="59">
        <f t="shared" si="150"/>
        <v>182.2029938397186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-1.0345502232667058E-13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199.01551760562705</v>
      </c>
      <c r="T163" s="59">
        <f t="shared" si="142"/>
        <v>269.50915104901367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0.1916251009302008</v>
      </c>
      <c r="AA163" s="21">
        <f>EXP(-LN(2)/25)*AA162+(1-EXP(-LN(2)/25))/(LN(2)/25)*Calculateur!V163*Calculateur!X163*VLOOKUP('Données projet'!$B$9,Paramètres!$A$1:$I$89,3,0)*0.475*44/12</f>
        <v>0.35341383733084503</v>
      </c>
      <c r="AB163" s="21">
        <f>EXP(-LN(2)/2)*AB162+(1-EXP(-LN(2)/2))/(LN(2)/2)*V163*Y163*VLOOKUP('Données projet'!$B$9,Paramètres!$A$1:$I$89,3,0)*0.475*44/12</f>
        <v>3.7343719280940611E-20</v>
      </c>
      <c r="AC163" s="22">
        <f t="shared" si="163"/>
        <v>0.54503893826104588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553.99999999999955</v>
      </c>
      <c r="AJ163" s="13">
        <f>AI163*VLOOKUP('Données projet'!$B$10,Paramètres!$A$1:$I$89,3,0)*VLOOKUP('Données projet'!$B$10,Paramètres!$A$1:$I$89,5,0)</f>
        <v>331.29199999999975</v>
      </c>
      <c r="AK163" s="13">
        <f t="shared" si="164"/>
        <v>77.698110787752</v>
      </c>
      <c r="AL163" s="20">
        <f t="shared" si="165"/>
        <v>712.32444295533423</v>
      </c>
      <c r="AM163" s="59">
        <f t="shared" si="113"/>
        <v>1005.6577762886675</v>
      </c>
      <c r="AN163" s="59">
        <f ca="1">AVERAGE(OFFSET($AM$3,0,0,'Données projet'!$E$10+1,1))-AVERAGE(OFFSET($H$3,0,0,'Données projet'!$E$10+1,1))</f>
        <v>316.58509520829671</v>
      </c>
      <c r="AO163" s="59">
        <f t="shared" si="144"/>
        <v>240.71332110643596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0.19310298645287599</v>
      </c>
      <c r="AV163" s="21">
        <f>EXP(-LN(2)/25)*AV162+(1-EXP(-LN(2)/25))/(LN(2)/25)*Calculateur!AQ163*Calculateur!AS163*VLOOKUP('Données projet'!$B$10,Paramètres!$A$1:$I$89,3,0)*0.475*44/12</f>
        <v>0.41535944396807489</v>
      </c>
      <c r="AW163" s="21">
        <f>EXP(-LN(2)/2)*AW162+(1-EXP(-LN(2)/2))/(LN(2)/2)*AQ163*AT163*VLOOKUP('Données projet'!$B$10,Paramètres!$A$1:$I$89,3,0)*0.475*44/12</f>
        <v>5.9466708548878988E-19</v>
      </c>
      <c r="AX163" s="21">
        <f t="shared" si="166"/>
        <v>0.60846243042095094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-1.8089849618263545E-13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314.94704727988847</v>
      </c>
      <c r="BJ163" s="59">
        <f t="shared" si="146"/>
        <v>366.49199094166454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0.29832223773626165</v>
      </c>
      <c r="BQ163" s="21">
        <f>EXP(-LN(2)/25)*BQ162+(1-EXP(-LN(2)/25))/(LN(2)/25)*Calculateur!BL163*Calculateur!BN163*VLOOKUP('Données projet'!$B$11,Paramètres!$A$1:$I$89,3,0)*0.475*44/12</f>
        <v>0.69118702839122714</v>
      </c>
      <c r="BR163" s="21">
        <f>EXP(-LN(2)/2)*BR162+(1-EXP(-LN(2)/2))/(LN(2)/2)*BL163*BO163*VLOOKUP('Données projet'!$B$11,Paramètres!$A$1:$I$89,3,0)*0.475*44/12</f>
        <v>7.8250222547131755E-19</v>
      </c>
      <c r="BS163" s="22">
        <f t="shared" si="169"/>
        <v>0.9895092661274888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-1.8089849618263545E-13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314.94704727988847</v>
      </c>
      <c r="CE163" s="59">
        <f t="shared" si="148"/>
        <v>366.49199094166454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0.29832223773626165</v>
      </c>
      <c r="CL163" s="21">
        <f>EXP(-LN(2)/25)*CL162+(1-EXP(-LN(2)/25))/(LN(2)/25)*Calculateur!CG163*Calculateur!CI163*VLOOKUP('Données projet'!$B$12,Paramètres!$A$1:$I$89,3,0)*0.475*44/12</f>
        <v>0.69118702839122714</v>
      </c>
      <c r="CM163" s="21">
        <f>EXP(-LN(2)/2)*CM162+(1-EXP(-LN(2)/2))/(LN(2)/2)*CG163*CJ163*VLOOKUP('Données projet'!$B$12,Paramètres!$A$1:$I$89,3,0)*0.475*44/12</f>
        <v>7.8250222547131755E-19</v>
      </c>
      <c r="CN163" s="22">
        <f t="shared" si="172"/>
        <v>0.9895092661274888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4.5474735088646412E-13</v>
      </c>
      <c r="CU163" s="17">
        <f>CT163*VLOOKUP('Données projet'!$B$13,Paramètres!$A$1:$I$89,3,0)*VLOOKUP('Données projet'!$B$13,Paramètres!$A$1:$I$89,5,0)</f>
        <v>4.1145540308207271E-13</v>
      </c>
      <c r="CV163" s="13">
        <f t="shared" si="173"/>
        <v>5.2428527960910789E-12</v>
      </c>
      <c r="CW163" s="20">
        <f t="shared" si="174"/>
        <v>9.8479201135599071E-12</v>
      </c>
      <c r="CX163" s="59">
        <f t="shared" si="122"/>
        <v>293.33333333334315</v>
      </c>
      <c r="CY163" s="59">
        <f ca="1">AVERAGE(OFFSET($CX$3,0,0,'Données projet'!$E$13+1,1))-AVERAGE(OFFSET($H$3,0,0,'Données projet'!$E$13+1,1))</f>
        <v>221.7429870520005</v>
      </c>
      <c r="CZ163" s="59">
        <f t="shared" si="150"/>
        <v>182.2029938397186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-1.0345502232667058E-13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199.01551760562705</v>
      </c>
      <c r="T164" s="59">
        <f t="shared" si="142"/>
        <v>269.50915104901367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0.18786744958073021</v>
      </c>
      <c r="AA164" s="21">
        <f>EXP(-LN(2)/25)*AA163+(1-EXP(-LN(2)/25))/(LN(2)/25)*Calculateur!V164*Calculateur!X164*VLOOKUP('Données projet'!$B$9,Paramètres!$A$1:$I$89,3,0)*0.475*44/12</f>
        <v>0.34374971736380711</v>
      </c>
      <c r="AB164" s="21">
        <f>EXP(-LN(2)/2)*AB163+(1-EXP(-LN(2)/2))/(LN(2)/2)*V164*Y164*VLOOKUP('Données projet'!$B$9,Paramètres!$A$1:$I$89,3,0)*0.475*44/12</f>
        <v>2.640599713827993E-20</v>
      </c>
      <c r="AC164" s="22">
        <f t="shared" si="163"/>
        <v>0.53161716694453731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553.99999999999955</v>
      </c>
      <c r="AJ164" s="13">
        <f>AI164*VLOOKUP('Données projet'!$B$10,Paramètres!$A$1:$I$89,3,0)*VLOOKUP('Données projet'!$B$10,Paramètres!$A$1:$I$89,5,0)</f>
        <v>331.29199999999975</v>
      </c>
      <c r="AK164" s="13">
        <f t="shared" si="164"/>
        <v>77.698110787752</v>
      </c>
      <c r="AL164" s="20">
        <f t="shared" si="165"/>
        <v>712.32444295533423</v>
      </c>
      <c r="AM164" s="59">
        <f t="shared" si="113"/>
        <v>1005.6577762886675</v>
      </c>
      <c r="AN164" s="59">
        <f ca="1">AVERAGE(OFFSET($AM$3,0,0,'Données projet'!$E$10+1,1))-AVERAGE(OFFSET($H$3,0,0,'Données projet'!$E$10+1,1))</f>
        <v>316.58509520829671</v>
      </c>
      <c r="AO164" s="59">
        <f t="shared" si="144"/>
        <v>240.71332110643596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0.18931635466972691</v>
      </c>
      <c r="AV164" s="21">
        <f>EXP(-LN(2)/25)*AV163+(1-EXP(-LN(2)/25))/(LN(2)/25)*Calculateur!AQ164*Calculateur!AS164*VLOOKUP('Données projet'!$B$10,Paramètres!$A$1:$I$89,3,0)*0.475*44/12</f>
        <v>0.40400141812996404</v>
      </c>
      <c r="AW164" s="21">
        <f>EXP(-LN(2)/2)*AW163+(1-EXP(-LN(2)/2))/(LN(2)/2)*AQ164*AT164*VLOOKUP('Données projet'!$B$10,Paramètres!$A$1:$I$89,3,0)*0.475*44/12</f>
        <v>4.204931286975637E-19</v>
      </c>
      <c r="AX164" s="21">
        <f t="shared" si="166"/>
        <v>0.593317772799691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-1.8089849618263545E-13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314.94704727988847</v>
      </c>
      <c r="BJ164" s="59">
        <f t="shared" si="146"/>
        <v>366.49199094166454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0.29247232061285167</v>
      </c>
      <c r="BQ164" s="21">
        <f>EXP(-LN(2)/25)*BQ163+(1-EXP(-LN(2)/25))/(LN(2)/25)*Calculateur!BL164*Calculateur!BN164*VLOOKUP('Données projet'!$B$11,Paramètres!$A$1:$I$89,3,0)*0.475*44/12</f>
        <v>0.67228648275192293</v>
      </c>
      <c r="BR164" s="21">
        <f>EXP(-LN(2)/2)*BR163+(1-EXP(-LN(2)/2))/(LN(2)/2)*BL164*BO164*VLOOKUP('Données projet'!$B$11,Paramètres!$A$1:$I$89,3,0)*0.475*44/12</f>
        <v>5.5331262992433341E-19</v>
      </c>
      <c r="BS164" s="22">
        <f t="shared" si="169"/>
        <v>0.9647588033647746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-1.8089849618263545E-13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314.94704727988847</v>
      </c>
      <c r="CE164" s="59">
        <f t="shared" si="148"/>
        <v>366.49199094166454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0.29247232061285167</v>
      </c>
      <c r="CL164" s="21">
        <f>EXP(-LN(2)/25)*CL163+(1-EXP(-LN(2)/25))/(LN(2)/25)*Calculateur!CG164*Calculateur!CI164*VLOOKUP('Données projet'!$B$12,Paramètres!$A$1:$I$89,3,0)*0.475*44/12</f>
        <v>0.67228648275192293</v>
      </c>
      <c r="CM164" s="21">
        <f>EXP(-LN(2)/2)*CM163+(1-EXP(-LN(2)/2))/(LN(2)/2)*CG164*CJ164*VLOOKUP('Données projet'!$B$12,Paramètres!$A$1:$I$89,3,0)*0.475*44/12</f>
        <v>5.5331262992433341E-19</v>
      </c>
      <c r="CN164" s="22">
        <f t="shared" si="172"/>
        <v>0.9647588033647746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4.5474735088646412E-13</v>
      </c>
      <c r="CU164" s="17">
        <f>CT164*VLOOKUP('Données projet'!$B$13,Paramètres!$A$1:$I$89,3,0)*VLOOKUP('Données projet'!$B$13,Paramètres!$A$1:$I$89,5,0)</f>
        <v>4.1145540308207271E-13</v>
      </c>
      <c r="CV164" s="13">
        <f t="shared" si="173"/>
        <v>5.2428527960910789E-12</v>
      </c>
      <c r="CW164" s="20">
        <f t="shared" si="174"/>
        <v>9.8479201135599071E-12</v>
      </c>
      <c r="CX164" s="59">
        <f t="shared" si="122"/>
        <v>293.33333333334315</v>
      </c>
      <c r="CY164" s="59">
        <f ca="1">AVERAGE(OFFSET($CX$3,0,0,'Données projet'!$E$13+1,1))-AVERAGE(OFFSET($H$3,0,0,'Données projet'!$E$13+1,1))</f>
        <v>221.7429870520005</v>
      </c>
      <c r="CZ164" s="59">
        <f t="shared" si="150"/>
        <v>182.2029938397186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-1.0345502232667058E-13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199.01551760562705</v>
      </c>
      <c r="T165" s="59">
        <f t="shared" si="142"/>
        <v>269.50915104901367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0.18418348348228172</v>
      </c>
      <c r="AA165" s="21">
        <f>EXP(-LN(2)/25)*AA164+(1-EXP(-LN(2)/25))/(LN(2)/25)*Calculateur!V165*Calculateur!X165*VLOOKUP('Données projet'!$B$9,Paramètres!$A$1:$I$89,3,0)*0.475*44/12</f>
        <v>0.33434986326548183</v>
      </c>
      <c r="AB165" s="21">
        <f>EXP(-LN(2)/2)*AB164+(1-EXP(-LN(2)/2))/(LN(2)/2)*V165*Y165*VLOOKUP('Données projet'!$B$9,Paramètres!$A$1:$I$89,3,0)*0.475*44/12</f>
        <v>1.8671859640470308E-20</v>
      </c>
      <c r="AC165" s="22">
        <f t="shared" si="163"/>
        <v>0.51853334674776352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553.99999999999955</v>
      </c>
      <c r="AJ165" s="13">
        <f>AI165*VLOOKUP('Données projet'!$B$10,Paramètres!$A$1:$I$89,3,0)*VLOOKUP('Données projet'!$B$10,Paramètres!$A$1:$I$89,5,0)</f>
        <v>331.29199999999975</v>
      </c>
      <c r="AK165" s="13">
        <f t="shared" si="164"/>
        <v>77.698110787752</v>
      </c>
      <c r="AL165" s="20">
        <f t="shared" si="165"/>
        <v>712.32444295533423</v>
      </c>
      <c r="AM165" s="59">
        <f t="shared" si="113"/>
        <v>1005.6577762886675</v>
      </c>
      <c r="AN165" s="59">
        <f ca="1">AVERAGE(OFFSET($AM$3,0,0,'Données projet'!$E$10+1,1))-AVERAGE(OFFSET($H$3,0,0,'Données projet'!$E$10+1,1))</f>
        <v>316.58509520829671</v>
      </c>
      <c r="AO165" s="59">
        <f t="shared" si="144"/>
        <v>240.71332110643596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0.18560397642622803</v>
      </c>
      <c r="AV165" s="21">
        <f>EXP(-LN(2)/25)*AV164+(1-EXP(-LN(2)/25))/(LN(2)/25)*Calculateur!AQ165*Calculateur!AS165*VLOOKUP('Données projet'!$B$10,Paramètres!$A$1:$I$89,3,0)*0.475*44/12</f>
        <v>0.39295397810568894</v>
      </c>
      <c r="AW165" s="21">
        <f>EXP(-LN(2)/2)*AW164+(1-EXP(-LN(2)/2))/(LN(2)/2)*AQ165*AT165*VLOOKUP('Données projet'!$B$10,Paramètres!$A$1:$I$89,3,0)*0.475*44/12</f>
        <v>2.9733354274439494E-19</v>
      </c>
      <c r="AX165" s="21">
        <f t="shared" si="166"/>
        <v>0.57855795453191694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-1.8089849618263545E-13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314.94704727988847</v>
      </c>
      <c r="BJ165" s="59">
        <f t="shared" si="146"/>
        <v>366.49199094166454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0.28673711679613462</v>
      </c>
      <c r="BQ165" s="21">
        <f>EXP(-LN(2)/25)*BQ164+(1-EXP(-LN(2)/25))/(LN(2)/25)*Calculateur!BL165*Calculateur!BN165*VLOOKUP('Données projet'!$B$11,Paramètres!$A$1:$I$89,3,0)*0.475*44/12</f>
        <v>0.65390277352706205</v>
      </c>
      <c r="BR165" s="21">
        <f>EXP(-LN(2)/2)*BR164+(1-EXP(-LN(2)/2))/(LN(2)/2)*BL165*BO165*VLOOKUP('Données projet'!$B$11,Paramètres!$A$1:$I$89,3,0)*0.475*44/12</f>
        <v>3.9125111273565878E-19</v>
      </c>
      <c r="BS165" s="22">
        <f t="shared" si="169"/>
        <v>0.94063989032319673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-1.8089849618263545E-13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314.94704727988847</v>
      </c>
      <c r="CE165" s="59">
        <f t="shared" si="148"/>
        <v>366.49199094166454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0.28673711679613462</v>
      </c>
      <c r="CL165" s="21">
        <f>EXP(-LN(2)/25)*CL164+(1-EXP(-LN(2)/25))/(LN(2)/25)*Calculateur!CG165*Calculateur!CI165*VLOOKUP('Données projet'!$B$12,Paramètres!$A$1:$I$89,3,0)*0.475*44/12</f>
        <v>0.65390277352706205</v>
      </c>
      <c r="CM165" s="21">
        <f>EXP(-LN(2)/2)*CM164+(1-EXP(-LN(2)/2))/(LN(2)/2)*CG165*CJ165*VLOOKUP('Données projet'!$B$12,Paramètres!$A$1:$I$89,3,0)*0.475*44/12</f>
        <v>3.9125111273565878E-19</v>
      </c>
      <c r="CN165" s="22">
        <f t="shared" si="172"/>
        <v>0.94063989032319673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4.5474735088646412E-13</v>
      </c>
      <c r="CU165" s="17">
        <f>CT165*VLOOKUP('Données projet'!$B$13,Paramètres!$A$1:$I$89,3,0)*VLOOKUP('Données projet'!$B$13,Paramètres!$A$1:$I$89,5,0)</f>
        <v>4.1145540308207271E-13</v>
      </c>
      <c r="CV165" s="13">
        <f t="shared" si="173"/>
        <v>5.2428527960910789E-12</v>
      </c>
      <c r="CW165" s="20">
        <f t="shared" si="174"/>
        <v>9.8479201135599071E-12</v>
      </c>
      <c r="CX165" s="59">
        <f t="shared" si="122"/>
        <v>293.33333333334315</v>
      </c>
      <c r="CY165" s="59">
        <f ca="1">AVERAGE(OFFSET($CX$3,0,0,'Données projet'!$E$13+1,1))-AVERAGE(OFFSET($H$3,0,0,'Données projet'!$E$13+1,1))</f>
        <v>221.7429870520005</v>
      </c>
      <c r="CZ165" s="59">
        <f t="shared" si="150"/>
        <v>182.2029938397186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-1.0345502232667058E-13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199.01551760562705</v>
      </c>
      <c r="T166" s="59">
        <f t="shared" si="142"/>
        <v>269.50915104901367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0.18057175771202635</v>
      </c>
      <c r="AA166" s="21">
        <f>EXP(-LN(2)/25)*AA165+(1-EXP(-LN(2)/25))/(LN(2)/25)*Calculateur!V166*Calculateur!X166*VLOOKUP('Données projet'!$B$9,Paramètres!$A$1:$I$89,3,0)*0.475*44/12</f>
        <v>0.32520704867179206</v>
      </c>
      <c r="AB166" s="21">
        <f>EXP(-LN(2)/2)*AB165+(1-EXP(-LN(2)/2))/(LN(2)/2)*V166*Y166*VLOOKUP('Données projet'!$B$9,Paramètres!$A$1:$I$89,3,0)*0.475*44/12</f>
        <v>1.3202998569139967E-20</v>
      </c>
      <c r="AC166" s="22">
        <f t="shared" si="163"/>
        <v>0.50577880638381845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553.99999999999955</v>
      </c>
      <c r="AJ166" s="13">
        <f>AI166*VLOOKUP('Données projet'!$B$10,Paramètres!$A$1:$I$89,3,0)*VLOOKUP('Données projet'!$B$10,Paramètres!$A$1:$I$89,5,0)</f>
        <v>331.29199999999975</v>
      </c>
      <c r="AK166" s="13">
        <f t="shared" si="164"/>
        <v>77.698110787752</v>
      </c>
      <c r="AL166" s="20">
        <f t="shared" si="165"/>
        <v>712.32444295533423</v>
      </c>
      <c r="AM166" s="59">
        <f t="shared" si="113"/>
        <v>1005.6577762886675</v>
      </c>
      <c r="AN166" s="59">
        <f ca="1">AVERAGE(OFFSET($AM$3,0,0,'Données projet'!$E$10+1,1))-AVERAGE(OFFSET($H$3,0,0,'Données projet'!$E$10+1,1))</f>
        <v>316.58509520829671</v>
      </c>
      <c r="AO166" s="59">
        <f t="shared" si="144"/>
        <v>240.71332110643596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0.18196439565575703</v>
      </c>
      <c r="AV166" s="21">
        <f>EXP(-LN(2)/25)*AV165+(1-EXP(-LN(2)/25))/(LN(2)/25)*Calculateur!AQ166*Calculateur!AS166*VLOOKUP('Données projet'!$B$10,Paramètres!$A$1:$I$89,3,0)*0.475*44/12</f>
        <v>0.38220863090983725</v>
      </c>
      <c r="AW166" s="21">
        <f>EXP(-LN(2)/2)*AW165+(1-EXP(-LN(2)/2))/(LN(2)/2)*AQ166*AT166*VLOOKUP('Données projet'!$B$10,Paramètres!$A$1:$I$89,3,0)*0.475*44/12</f>
        <v>2.1024656434878185E-19</v>
      </c>
      <c r="AX166" s="21">
        <f t="shared" si="166"/>
        <v>0.56417302656559432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-1.8089849618263545E-13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314.94704727988847</v>
      </c>
      <c r="BJ166" s="59">
        <f t="shared" si="146"/>
        <v>366.49199094166454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0.28111437682813445</v>
      </c>
      <c r="BQ166" s="21">
        <f>EXP(-LN(2)/25)*BQ165+(1-EXP(-LN(2)/25))/(LN(2)/25)*Calculateur!BL166*Calculateur!BN166*VLOOKUP('Données projet'!$B$11,Paramètres!$A$1:$I$89,3,0)*0.475*44/12</f>
        <v>0.63602176779771225</v>
      </c>
      <c r="BR166" s="21">
        <f>EXP(-LN(2)/2)*BR165+(1-EXP(-LN(2)/2))/(LN(2)/2)*BL166*BO166*VLOOKUP('Données projet'!$B$11,Paramètres!$A$1:$I$89,3,0)*0.475*44/12</f>
        <v>2.766563149621667E-19</v>
      </c>
      <c r="BS166" s="22">
        <f t="shared" si="169"/>
        <v>0.91713614462584669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-1.8089849618263545E-13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314.94704727988847</v>
      </c>
      <c r="CE166" s="59">
        <f t="shared" si="148"/>
        <v>366.49199094166454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0.28111437682813445</v>
      </c>
      <c r="CL166" s="21">
        <f>EXP(-LN(2)/25)*CL165+(1-EXP(-LN(2)/25))/(LN(2)/25)*Calculateur!CG166*Calculateur!CI166*VLOOKUP('Données projet'!$B$12,Paramètres!$A$1:$I$89,3,0)*0.475*44/12</f>
        <v>0.63602176779771225</v>
      </c>
      <c r="CM166" s="21">
        <f>EXP(-LN(2)/2)*CM165+(1-EXP(-LN(2)/2))/(LN(2)/2)*CG166*CJ166*VLOOKUP('Données projet'!$B$12,Paramètres!$A$1:$I$89,3,0)*0.475*44/12</f>
        <v>2.766563149621667E-19</v>
      </c>
      <c r="CN166" s="22">
        <f t="shared" si="172"/>
        <v>0.91713614462584669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4.5474735088646412E-13</v>
      </c>
      <c r="CU166" s="17">
        <f>CT166*VLOOKUP('Données projet'!$B$13,Paramètres!$A$1:$I$89,3,0)*VLOOKUP('Données projet'!$B$13,Paramètres!$A$1:$I$89,5,0)</f>
        <v>4.1145540308207271E-13</v>
      </c>
      <c r="CV166" s="13">
        <f t="shared" si="173"/>
        <v>5.2428527960910789E-12</v>
      </c>
      <c r="CW166" s="20">
        <f t="shared" si="174"/>
        <v>9.8479201135599071E-12</v>
      </c>
      <c r="CX166" s="59">
        <f t="shared" si="122"/>
        <v>293.33333333334315</v>
      </c>
      <c r="CY166" s="59">
        <f ca="1">AVERAGE(OFFSET($CX$3,0,0,'Données projet'!$E$13+1,1))-AVERAGE(OFFSET($H$3,0,0,'Données projet'!$E$13+1,1))</f>
        <v>221.7429870520005</v>
      </c>
      <c r="CZ166" s="59">
        <f t="shared" si="150"/>
        <v>182.2029938397186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-1.0345502232667058E-13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199.01551760562705</v>
      </c>
      <c r="T167" s="59">
        <f t="shared" si="142"/>
        <v>269.50915104901367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0.17703085568119051</v>
      </c>
      <c r="AA167" s="21">
        <f>EXP(-LN(2)/25)*AA166+(1-EXP(-LN(2)/25))/(LN(2)/25)*Calculateur!V167*Calculateur!X167*VLOOKUP('Données projet'!$B$9,Paramètres!$A$1:$I$89,3,0)*0.475*44/12</f>
        <v>0.31631424482396647</v>
      </c>
      <c r="AB167" s="21">
        <f>EXP(-LN(2)/2)*AB166+(1-EXP(-LN(2)/2))/(LN(2)/2)*V167*Y167*VLOOKUP('Données projet'!$B$9,Paramètres!$A$1:$I$89,3,0)*0.475*44/12</f>
        <v>9.3359298202351557E-21</v>
      </c>
      <c r="AC167" s="22">
        <f t="shared" si="163"/>
        <v>0.49334510050515701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553.99999999999955</v>
      </c>
      <c r="AJ167" s="13">
        <f>AI167*VLOOKUP('Données projet'!$B$10,Paramètres!$A$1:$I$89,3,0)*VLOOKUP('Données projet'!$B$10,Paramètres!$A$1:$I$89,5,0)</f>
        <v>331.29199999999975</v>
      </c>
      <c r="AK167" s="13">
        <f t="shared" si="164"/>
        <v>77.698110787752</v>
      </c>
      <c r="AL167" s="20">
        <f t="shared" si="165"/>
        <v>712.32444295533423</v>
      </c>
      <c r="AM167" s="59">
        <f t="shared" si="113"/>
        <v>1005.6577762886675</v>
      </c>
      <c r="AN167" s="59">
        <f ca="1">AVERAGE(OFFSET($AM$3,0,0,'Données projet'!$E$10+1,1))-AVERAGE(OFFSET($H$3,0,0,'Données projet'!$E$10+1,1))</f>
        <v>316.58509520829671</v>
      </c>
      <c r="AO167" s="59">
        <f t="shared" si="144"/>
        <v>240.71332110643596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0.17839618484426989</v>
      </c>
      <c r="AV167" s="21">
        <f>EXP(-LN(2)/25)*AV166+(1-EXP(-LN(2)/25))/(LN(2)/25)*Calculateur!AQ167*Calculateur!AS167*VLOOKUP('Données projet'!$B$10,Paramètres!$A$1:$I$89,3,0)*0.475*44/12</f>
        <v>0.37175711579812942</v>
      </c>
      <c r="AW167" s="21">
        <f>EXP(-LN(2)/2)*AW166+(1-EXP(-LN(2)/2))/(LN(2)/2)*AQ167*AT167*VLOOKUP('Données projet'!$B$10,Paramètres!$A$1:$I$89,3,0)*0.475*44/12</f>
        <v>1.4866677137219747E-19</v>
      </c>
      <c r="AX167" s="21">
        <f t="shared" si="166"/>
        <v>0.55015330064239931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-1.8089849618263545E-13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314.94704727988847</v>
      </c>
      <c r="BJ167" s="59">
        <f t="shared" si="146"/>
        <v>366.49199094166454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0.27560189536137403</v>
      </c>
      <c r="BQ167" s="21">
        <f>EXP(-LN(2)/25)*BQ166+(1-EXP(-LN(2)/25))/(LN(2)/25)*Calculateur!BL167*Calculateur!BN167*VLOOKUP('Données projet'!$B$11,Paramètres!$A$1:$I$89,3,0)*0.475*44/12</f>
        <v>0.61862971911035269</v>
      </c>
      <c r="BR167" s="21">
        <f>EXP(-LN(2)/2)*BR166+(1-EXP(-LN(2)/2))/(LN(2)/2)*BL167*BO167*VLOOKUP('Données projet'!$B$11,Paramètres!$A$1:$I$89,3,0)*0.475*44/12</f>
        <v>1.9562555636782939E-19</v>
      </c>
      <c r="BS167" s="22">
        <f t="shared" si="169"/>
        <v>0.89423161447172672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-1.8089849618263545E-13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314.94704727988847</v>
      </c>
      <c r="CE167" s="59">
        <f t="shared" si="148"/>
        <v>366.49199094166454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0.27560189536137403</v>
      </c>
      <c r="CL167" s="21">
        <f>EXP(-LN(2)/25)*CL166+(1-EXP(-LN(2)/25))/(LN(2)/25)*Calculateur!CG167*Calculateur!CI167*VLOOKUP('Données projet'!$B$12,Paramètres!$A$1:$I$89,3,0)*0.475*44/12</f>
        <v>0.61862971911035269</v>
      </c>
      <c r="CM167" s="21">
        <f>EXP(-LN(2)/2)*CM166+(1-EXP(-LN(2)/2))/(LN(2)/2)*CG167*CJ167*VLOOKUP('Données projet'!$B$12,Paramètres!$A$1:$I$89,3,0)*0.475*44/12</f>
        <v>1.9562555636782939E-19</v>
      </c>
      <c r="CN167" s="22">
        <f t="shared" si="172"/>
        <v>0.89423161447172672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4.5474735088646412E-13</v>
      </c>
      <c r="CU167" s="17">
        <f>CT167*VLOOKUP('Données projet'!$B$13,Paramètres!$A$1:$I$89,3,0)*VLOOKUP('Données projet'!$B$13,Paramètres!$A$1:$I$89,5,0)</f>
        <v>4.1145540308207271E-13</v>
      </c>
      <c r="CV167" s="13">
        <f t="shared" si="173"/>
        <v>5.2428527960910789E-12</v>
      </c>
      <c r="CW167" s="20">
        <f t="shared" si="174"/>
        <v>9.8479201135599071E-12</v>
      </c>
      <c r="CX167" s="59">
        <f t="shared" si="122"/>
        <v>293.33333333334315</v>
      </c>
      <c r="CY167" s="59">
        <f ca="1">AVERAGE(OFFSET($CX$3,0,0,'Données projet'!$E$13+1,1))-AVERAGE(OFFSET($H$3,0,0,'Données projet'!$E$13+1,1))</f>
        <v>221.7429870520005</v>
      </c>
      <c r="CZ167" s="59">
        <f t="shared" si="150"/>
        <v>182.2029938397186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-1.0345502232667058E-13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199.01551760562705</v>
      </c>
      <c r="T168" s="59">
        <f t="shared" si="142"/>
        <v>269.50915104901367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0.17355938857944236</v>
      </c>
      <c r="AA168" s="21">
        <f>EXP(-LN(2)/25)*AA167+(1-EXP(-LN(2)/25))/(LN(2)/25)*Calculateur!V168*Calculateur!X168*VLOOKUP('Données projet'!$B$9,Paramètres!$A$1:$I$89,3,0)*0.475*44/12</f>
        <v>0.30766461516501192</v>
      </c>
      <c r="AB168" s="21">
        <f>EXP(-LN(2)/2)*AB167+(1-EXP(-LN(2)/2))/(LN(2)/2)*V168*Y168*VLOOKUP('Données projet'!$B$9,Paramètres!$A$1:$I$89,3,0)*0.475*44/12</f>
        <v>6.6014992845699849E-21</v>
      </c>
      <c r="AC168" s="22">
        <f t="shared" si="163"/>
        <v>0.48122400374445429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553.99999999999955</v>
      </c>
      <c r="AJ168" s="13">
        <f>AI168*VLOOKUP('Données projet'!$B$10,Paramètres!$A$1:$I$89,3,0)*VLOOKUP('Données projet'!$B$10,Paramètres!$A$1:$I$89,5,0)</f>
        <v>331.29199999999975</v>
      </c>
      <c r="AK168" s="13">
        <f t="shared" si="164"/>
        <v>77.698110787752</v>
      </c>
      <c r="AL168" s="20">
        <f t="shared" si="165"/>
        <v>712.32444295533423</v>
      </c>
      <c r="AM168" s="59">
        <f t="shared" si="113"/>
        <v>1005.6577762886675</v>
      </c>
      <c r="AN168" s="59">
        <f ca="1">AVERAGE(OFFSET($AM$3,0,0,'Données projet'!$E$10+1,1))-AVERAGE(OFFSET($H$3,0,0,'Données projet'!$E$10+1,1))</f>
        <v>316.58509520829671</v>
      </c>
      <c r="AO168" s="59">
        <f t="shared" si="144"/>
        <v>240.71332110643596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0.17489794447040233</v>
      </c>
      <c r="AV168" s="21">
        <f>EXP(-LN(2)/25)*AV167+(1-EXP(-LN(2)/25))/(LN(2)/25)*Calculateur!AQ168*Calculateur!AS168*VLOOKUP('Données projet'!$B$10,Paramètres!$A$1:$I$89,3,0)*0.475*44/12</f>
        <v>0.36159139791677253</v>
      </c>
      <c r="AW168" s="21">
        <f>EXP(-LN(2)/2)*AW167+(1-EXP(-LN(2)/2))/(LN(2)/2)*AQ168*AT168*VLOOKUP('Données projet'!$B$10,Paramètres!$A$1:$I$89,3,0)*0.475*44/12</f>
        <v>1.0512328217439093E-19</v>
      </c>
      <c r="AX168" s="21">
        <f t="shared" si="166"/>
        <v>0.53648934238717483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-1.8089849618263545E-13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314.94704727988847</v>
      </c>
      <c r="BJ168" s="59">
        <f t="shared" si="146"/>
        <v>366.49199094166454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0.2701975102938951</v>
      </c>
      <c r="BQ168" s="21">
        <f>EXP(-LN(2)/25)*BQ167+(1-EXP(-LN(2)/25))/(LN(2)/25)*Calculateur!BL168*Calculateur!BN168*VLOOKUP('Données projet'!$B$11,Paramètres!$A$1:$I$89,3,0)*0.475*44/12</f>
        <v>0.60171325690895705</v>
      </c>
      <c r="BR168" s="21">
        <f>EXP(-LN(2)/2)*BR167+(1-EXP(-LN(2)/2))/(LN(2)/2)*BL168*BO168*VLOOKUP('Données projet'!$B$11,Paramètres!$A$1:$I$89,3,0)*0.475*44/12</f>
        <v>1.3832815748108335E-19</v>
      </c>
      <c r="BS168" s="22">
        <f t="shared" si="169"/>
        <v>0.8719107672028521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-1.8089849618263545E-13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314.94704727988847</v>
      </c>
      <c r="CE168" s="59">
        <f t="shared" si="148"/>
        <v>366.49199094166454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0.2701975102938951</v>
      </c>
      <c r="CL168" s="21">
        <f>EXP(-LN(2)/25)*CL167+(1-EXP(-LN(2)/25))/(LN(2)/25)*Calculateur!CG168*Calculateur!CI168*VLOOKUP('Données projet'!$B$12,Paramètres!$A$1:$I$89,3,0)*0.475*44/12</f>
        <v>0.60171325690895705</v>
      </c>
      <c r="CM168" s="21">
        <f>EXP(-LN(2)/2)*CM167+(1-EXP(-LN(2)/2))/(LN(2)/2)*CG168*CJ168*VLOOKUP('Données projet'!$B$12,Paramètres!$A$1:$I$89,3,0)*0.475*44/12</f>
        <v>1.3832815748108335E-19</v>
      </c>
      <c r="CN168" s="22">
        <f t="shared" si="172"/>
        <v>0.8719107672028521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4.5474735088646412E-13</v>
      </c>
      <c r="CU168" s="17">
        <f>CT168*VLOOKUP('Données projet'!$B$13,Paramètres!$A$1:$I$89,3,0)*VLOOKUP('Données projet'!$B$13,Paramètres!$A$1:$I$89,5,0)</f>
        <v>4.1145540308207271E-13</v>
      </c>
      <c r="CV168" s="13">
        <f t="shared" si="173"/>
        <v>5.2428527960910789E-12</v>
      </c>
      <c r="CW168" s="20">
        <f t="shared" si="174"/>
        <v>9.8479201135599071E-12</v>
      </c>
      <c r="CX168" s="59">
        <f t="shared" si="122"/>
        <v>293.33333333334315</v>
      </c>
      <c r="CY168" s="59">
        <f ca="1">AVERAGE(OFFSET($CX$3,0,0,'Données projet'!$E$13+1,1))-AVERAGE(OFFSET($H$3,0,0,'Données projet'!$E$13+1,1))</f>
        <v>221.7429870520005</v>
      </c>
      <c r="CZ168" s="59">
        <f t="shared" si="150"/>
        <v>182.2029938397186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-1.0345502232667058E-13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199.01551760562705</v>
      </c>
      <c r="T169" s="59">
        <f t="shared" si="142"/>
        <v>269.50915104901367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0.17015599483017366</v>
      </c>
      <c r="AA169" s="21">
        <f>EXP(-LN(2)/25)*AA168+(1-EXP(-LN(2)/25))/(LN(2)/25)*Calculateur!V169*Calculateur!X169*VLOOKUP('Données projet'!$B$9,Paramètres!$A$1:$I$89,3,0)*0.475*44/12</f>
        <v>0.29925151008394574</v>
      </c>
      <c r="AB169" s="21">
        <f>EXP(-LN(2)/2)*AB168+(1-EXP(-LN(2)/2))/(LN(2)/2)*V169*Y169*VLOOKUP('Données projet'!$B$9,Paramètres!$A$1:$I$89,3,0)*0.475*44/12</f>
        <v>4.6679649101175786E-21</v>
      </c>
      <c r="AC169" s="22">
        <f t="shared" si="163"/>
        <v>0.46940750491411942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553.99999999999955</v>
      </c>
      <c r="AJ169" s="13">
        <f>AI169*VLOOKUP('Données projet'!$B$10,Paramètres!$A$1:$I$89,3,0)*VLOOKUP('Données projet'!$B$10,Paramètres!$A$1:$I$89,5,0)</f>
        <v>331.29199999999975</v>
      </c>
      <c r="AK169" s="13">
        <f t="shared" si="164"/>
        <v>77.698110787752</v>
      </c>
      <c r="AL169" s="20">
        <f t="shared" si="165"/>
        <v>712.32444295533423</v>
      </c>
      <c r="AM169" s="59">
        <f t="shared" si="113"/>
        <v>1005.6577762886675</v>
      </c>
      <c r="AN169" s="59">
        <f ca="1">AVERAGE(OFFSET($AM$3,0,0,'Données projet'!$E$10+1,1))-AVERAGE(OFFSET($H$3,0,0,'Données projet'!$E$10+1,1))</f>
        <v>316.58509520829671</v>
      </c>
      <c r="AO169" s="59">
        <f t="shared" si="144"/>
        <v>240.71332110643596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0.17146830245655037</v>
      </c>
      <c r="AV169" s="21">
        <f>EXP(-LN(2)/25)*AV168+(1-EXP(-LN(2)/25))/(LN(2)/25)*Calculateur!AQ169*Calculateur!AS169*VLOOKUP('Données projet'!$B$10,Paramètres!$A$1:$I$89,3,0)*0.475*44/12</f>
        <v>0.35170366212547322</v>
      </c>
      <c r="AW169" s="21">
        <f>EXP(-LN(2)/2)*AW168+(1-EXP(-LN(2)/2))/(LN(2)/2)*AQ169*AT169*VLOOKUP('Données projet'!$B$10,Paramètres!$A$1:$I$89,3,0)*0.475*44/12</f>
        <v>7.4333385686098736E-20</v>
      </c>
      <c r="AX169" s="21">
        <f t="shared" si="166"/>
        <v>0.52317196458202364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-1.8089849618263545E-13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314.94704727988847</v>
      </c>
      <c r="BJ169" s="59">
        <f t="shared" si="146"/>
        <v>366.49199094166454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0.26489910192124005</v>
      </c>
      <c r="BQ169" s="21">
        <f>EXP(-LN(2)/25)*BQ168+(1-EXP(-LN(2)/25))/(LN(2)/25)*Calculateur!BL169*Calculateur!BN169*VLOOKUP('Données projet'!$B$11,Paramètres!$A$1:$I$89,3,0)*0.475*44/12</f>
        <v>0.58525937625605662</v>
      </c>
      <c r="BR169" s="21">
        <f>EXP(-LN(2)/2)*BR168+(1-EXP(-LN(2)/2))/(LN(2)/2)*BL169*BO169*VLOOKUP('Données projet'!$B$11,Paramètres!$A$1:$I$89,3,0)*0.475*44/12</f>
        <v>9.7812778183914694E-20</v>
      </c>
      <c r="BS169" s="22">
        <f t="shared" si="169"/>
        <v>0.85015847817729662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-1.8089849618263545E-13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314.94704727988847</v>
      </c>
      <c r="CE169" s="59">
        <f t="shared" si="148"/>
        <v>366.49199094166454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0.26489910192124005</v>
      </c>
      <c r="CL169" s="21">
        <f>EXP(-LN(2)/25)*CL168+(1-EXP(-LN(2)/25))/(LN(2)/25)*Calculateur!CG169*Calculateur!CI169*VLOOKUP('Données projet'!$B$12,Paramètres!$A$1:$I$89,3,0)*0.475*44/12</f>
        <v>0.58525937625605662</v>
      </c>
      <c r="CM169" s="21">
        <f>EXP(-LN(2)/2)*CM168+(1-EXP(-LN(2)/2))/(LN(2)/2)*CG169*CJ169*VLOOKUP('Données projet'!$B$12,Paramètres!$A$1:$I$89,3,0)*0.475*44/12</f>
        <v>9.7812778183914694E-20</v>
      </c>
      <c r="CN169" s="22">
        <f t="shared" si="172"/>
        <v>0.85015847817729662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4.5474735088646412E-13</v>
      </c>
      <c r="CU169" s="17">
        <f>CT169*VLOOKUP('Données projet'!$B$13,Paramètres!$A$1:$I$89,3,0)*VLOOKUP('Données projet'!$B$13,Paramètres!$A$1:$I$89,5,0)</f>
        <v>4.1145540308207271E-13</v>
      </c>
      <c r="CV169" s="13">
        <f t="shared" si="173"/>
        <v>5.2428527960910789E-12</v>
      </c>
      <c r="CW169" s="20">
        <f t="shared" si="174"/>
        <v>9.8479201135599071E-12</v>
      </c>
      <c r="CX169" s="59">
        <f t="shared" si="122"/>
        <v>293.33333333334315</v>
      </c>
      <c r="CY169" s="59">
        <f ca="1">AVERAGE(OFFSET($CX$3,0,0,'Données projet'!$E$13+1,1))-AVERAGE(OFFSET($H$3,0,0,'Données projet'!$E$13+1,1))</f>
        <v>221.7429870520005</v>
      </c>
      <c r="CZ169" s="59">
        <f t="shared" si="150"/>
        <v>182.2029938397186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-1.0345502232667058E-13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199.01551760562705</v>
      </c>
      <c r="T170" s="59">
        <f t="shared" si="142"/>
        <v>269.50915104901367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0.16681933955646289</v>
      </c>
      <c r="AA170" s="21">
        <f>EXP(-LN(2)/25)*AA169+(1-EXP(-LN(2)/25))/(LN(2)/25)*Calculateur!V170*Calculateur!X170*VLOOKUP('Données projet'!$B$9,Paramètres!$A$1:$I$89,3,0)*0.475*44/12</f>
        <v>0.29106846180374729</v>
      </c>
      <c r="AB170" s="21">
        <f>EXP(-LN(2)/2)*AB169+(1-EXP(-LN(2)/2))/(LN(2)/2)*V170*Y170*VLOOKUP('Données projet'!$B$9,Paramètres!$A$1:$I$89,3,0)*0.475*44/12</f>
        <v>3.3007496422849928E-21</v>
      </c>
      <c r="AC170" s="22">
        <f t="shared" si="163"/>
        <v>0.45788780136021018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553.99999999999955</v>
      </c>
      <c r="AJ170" s="13">
        <f>AI170*VLOOKUP('Données projet'!$B$10,Paramètres!$A$1:$I$89,3,0)*VLOOKUP('Données projet'!$B$10,Paramètres!$A$1:$I$89,5,0)</f>
        <v>331.29199999999975</v>
      </c>
      <c r="AK170" s="13">
        <f t="shared" si="164"/>
        <v>77.698110787752</v>
      </c>
      <c r="AL170" s="20">
        <f t="shared" si="165"/>
        <v>712.32444295533423</v>
      </c>
      <c r="AM170" s="59">
        <f t="shared" si="113"/>
        <v>1005.6577762886675</v>
      </c>
      <c r="AN170" s="59">
        <f ca="1">AVERAGE(OFFSET($AM$3,0,0,'Données projet'!$E$10+1,1))-AVERAGE(OFFSET($H$3,0,0,'Données projet'!$E$10+1,1))</f>
        <v>316.58509520829671</v>
      </c>
      <c r="AO170" s="59">
        <f t="shared" si="144"/>
        <v>240.71332110643596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0.16810591363071498</v>
      </c>
      <c r="AV170" s="21">
        <f>EXP(-LN(2)/25)*AV169+(1-EXP(-LN(2)/25))/(LN(2)/25)*Calculateur!AQ170*Calculateur!AS170*VLOOKUP('Données projet'!$B$10,Paramètres!$A$1:$I$89,3,0)*0.475*44/12</f>
        <v>0.34208630698936038</v>
      </c>
      <c r="AW170" s="21">
        <f>EXP(-LN(2)/2)*AW169+(1-EXP(-LN(2)/2))/(LN(2)/2)*AQ170*AT170*VLOOKUP('Données projet'!$B$10,Paramètres!$A$1:$I$89,3,0)*0.475*44/12</f>
        <v>5.2561641087195463E-20</v>
      </c>
      <c r="AX170" s="21">
        <f t="shared" si="166"/>
        <v>0.5101922206200753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-1.8089849618263545E-13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314.94704727988847</v>
      </c>
      <c r="BJ170" s="59">
        <f t="shared" si="146"/>
        <v>366.49199094166454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0.25970459210506275</v>
      </c>
      <c r="BQ170" s="21">
        <f>EXP(-LN(2)/25)*BQ169+(1-EXP(-LN(2)/25))/(LN(2)/25)*Calculateur!BL170*Calculateur!BN170*VLOOKUP('Données projet'!$B$11,Paramètres!$A$1:$I$89,3,0)*0.475*44/12</f>
        <v>0.56925542783488181</v>
      </c>
      <c r="BR170" s="21">
        <f>EXP(-LN(2)/2)*BR169+(1-EXP(-LN(2)/2))/(LN(2)/2)*BL170*BO170*VLOOKUP('Données projet'!$B$11,Paramètres!$A$1:$I$89,3,0)*0.475*44/12</f>
        <v>6.9164078740541676E-20</v>
      </c>
      <c r="BS170" s="22">
        <f t="shared" si="169"/>
        <v>0.8289600199399445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-1.8089849618263545E-13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314.94704727988847</v>
      </c>
      <c r="CE170" s="59">
        <f t="shared" si="148"/>
        <v>366.49199094166454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0.25970459210506275</v>
      </c>
      <c r="CL170" s="21">
        <f>EXP(-LN(2)/25)*CL169+(1-EXP(-LN(2)/25))/(LN(2)/25)*Calculateur!CG170*Calculateur!CI170*VLOOKUP('Données projet'!$B$12,Paramètres!$A$1:$I$89,3,0)*0.475*44/12</f>
        <v>0.56925542783488181</v>
      </c>
      <c r="CM170" s="21">
        <f>EXP(-LN(2)/2)*CM169+(1-EXP(-LN(2)/2))/(LN(2)/2)*CG170*CJ170*VLOOKUP('Données projet'!$B$12,Paramètres!$A$1:$I$89,3,0)*0.475*44/12</f>
        <v>6.9164078740541676E-20</v>
      </c>
      <c r="CN170" s="22">
        <f t="shared" si="172"/>
        <v>0.8289600199399445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4.5474735088646412E-13</v>
      </c>
      <c r="CU170" s="17">
        <f>CT170*VLOOKUP('Données projet'!$B$13,Paramètres!$A$1:$I$89,3,0)*VLOOKUP('Données projet'!$B$13,Paramètres!$A$1:$I$89,5,0)</f>
        <v>4.1145540308207271E-13</v>
      </c>
      <c r="CV170" s="13">
        <f t="shared" si="173"/>
        <v>5.2428527960910789E-12</v>
      </c>
      <c r="CW170" s="20">
        <f t="shared" si="174"/>
        <v>9.8479201135599071E-12</v>
      </c>
      <c r="CX170" s="59">
        <f t="shared" si="122"/>
        <v>293.33333333334315</v>
      </c>
      <c r="CY170" s="59">
        <f ca="1">AVERAGE(OFFSET($CX$3,0,0,'Données projet'!$E$13+1,1))-AVERAGE(OFFSET($H$3,0,0,'Données projet'!$E$13+1,1))</f>
        <v>221.7429870520005</v>
      </c>
      <c r="CZ170" s="59">
        <f t="shared" si="150"/>
        <v>182.2029938397186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-1.0345502232667058E-13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199.01551760562705</v>
      </c>
      <c r="T171" s="59">
        <f t="shared" si="142"/>
        <v>269.50915104901367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0.16354811405751082</v>
      </c>
      <c r="AA171" s="21">
        <f>EXP(-LN(2)/25)*AA170+(1-EXP(-LN(2)/25))/(LN(2)/25)*Calculateur!V171*Calculateur!X171*VLOOKUP('Données projet'!$B$9,Paramètres!$A$1:$I$89,3,0)*0.475*44/12</f>
        <v>0.28310917940909869</v>
      </c>
      <c r="AB171" s="21">
        <f>EXP(-LN(2)/2)*AB170+(1-EXP(-LN(2)/2))/(LN(2)/2)*V171*Y171*VLOOKUP('Données projet'!$B$9,Paramètres!$A$1:$I$89,3,0)*0.475*44/12</f>
        <v>2.3339824550587897E-21</v>
      </c>
      <c r="AC171" s="22">
        <f t="shared" si="163"/>
        <v>0.44665729346660954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553.99999999999955</v>
      </c>
      <c r="AJ171" s="13">
        <f>AI171*VLOOKUP('Données projet'!$B$10,Paramètres!$A$1:$I$89,3,0)*VLOOKUP('Données projet'!$B$10,Paramètres!$A$1:$I$89,5,0)</f>
        <v>331.29199999999975</v>
      </c>
      <c r="AK171" s="13">
        <f t="shared" si="164"/>
        <v>77.698110787752</v>
      </c>
      <c r="AL171" s="20">
        <f t="shared" si="165"/>
        <v>712.32444295533423</v>
      </c>
      <c r="AM171" s="59">
        <f t="shared" si="113"/>
        <v>1005.6577762886675</v>
      </c>
      <c r="AN171" s="59">
        <f ca="1">AVERAGE(OFFSET($AM$3,0,0,'Données projet'!$E$10+1,1))-AVERAGE(OFFSET($H$3,0,0,'Données projet'!$E$10+1,1))</f>
        <v>316.58509520829671</v>
      </c>
      <c r="AO171" s="59">
        <f t="shared" si="144"/>
        <v>240.71332110643596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0.16480945919889953</v>
      </c>
      <c r="AV171" s="21">
        <f>EXP(-LN(2)/25)*AV170+(1-EXP(-LN(2)/25))/(LN(2)/25)*Calculateur!AQ171*Calculateur!AS171*VLOOKUP('Données projet'!$B$10,Paramètres!$A$1:$I$89,3,0)*0.475*44/12</f>
        <v>0.33273193893519926</v>
      </c>
      <c r="AW171" s="21">
        <f>EXP(-LN(2)/2)*AW170+(1-EXP(-LN(2)/2))/(LN(2)/2)*AQ171*AT171*VLOOKUP('Données projet'!$B$10,Paramètres!$A$1:$I$89,3,0)*0.475*44/12</f>
        <v>3.7166692843049368E-20</v>
      </c>
      <c r="AX171" s="21">
        <f t="shared" si="166"/>
        <v>0.49754139813409881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-1.8089849618263545E-13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314.94704727988847</v>
      </c>
      <c r="BJ171" s="59">
        <f t="shared" si="146"/>
        <v>366.49199094166454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0.25461194345804256</v>
      </c>
      <c r="BQ171" s="21">
        <f>EXP(-LN(2)/25)*BQ170+(1-EXP(-LN(2)/25))/(LN(2)/25)*Calculateur!BL171*Calculateur!BN171*VLOOKUP('Données projet'!$B$11,Paramètres!$A$1:$I$89,3,0)*0.475*44/12</f>
        <v>0.55368910822489503</v>
      </c>
      <c r="BR171" s="21">
        <f>EXP(-LN(2)/2)*BR170+(1-EXP(-LN(2)/2))/(LN(2)/2)*BL171*BO171*VLOOKUP('Données projet'!$B$11,Paramètres!$A$1:$I$89,3,0)*0.475*44/12</f>
        <v>4.8906389091957347E-20</v>
      </c>
      <c r="BS171" s="22">
        <f t="shared" si="169"/>
        <v>0.80830105168293764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-1.8089849618263545E-13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314.94704727988847</v>
      </c>
      <c r="CE171" s="59">
        <f t="shared" si="148"/>
        <v>366.49199094166454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0.25461194345804256</v>
      </c>
      <c r="CL171" s="21">
        <f>EXP(-LN(2)/25)*CL170+(1-EXP(-LN(2)/25))/(LN(2)/25)*Calculateur!CG171*Calculateur!CI171*VLOOKUP('Données projet'!$B$12,Paramètres!$A$1:$I$89,3,0)*0.475*44/12</f>
        <v>0.55368910822489503</v>
      </c>
      <c r="CM171" s="21">
        <f>EXP(-LN(2)/2)*CM170+(1-EXP(-LN(2)/2))/(LN(2)/2)*CG171*CJ171*VLOOKUP('Données projet'!$B$12,Paramètres!$A$1:$I$89,3,0)*0.475*44/12</f>
        <v>4.8906389091957347E-20</v>
      </c>
      <c r="CN171" s="22">
        <f t="shared" si="172"/>
        <v>0.80830105168293764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4.5474735088646412E-13</v>
      </c>
      <c r="CU171" s="17">
        <f>CT171*VLOOKUP('Données projet'!$B$13,Paramètres!$A$1:$I$89,3,0)*VLOOKUP('Données projet'!$B$13,Paramètres!$A$1:$I$89,5,0)</f>
        <v>4.1145540308207271E-13</v>
      </c>
      <c r="CV171" s="13">
        <f t="shared" si="173"/>
        <v>5.2428527960910789E-12</v>
      </c>
      <c r="CW171" s="20">
        <f t="shared" si="174"/>
        <v>9.8479201135599071E-12</v>
      </c>
      <c r="CX171" s="59">
        <f t="shared" si="122"/>
        <v>293.33333333334315</v>
      </c>
      <c r="CY171" s="59">
        <f ca="1">AVERAGE(OFFSET($CX$3,0,0,'Données projet'!$E$13+1,1))-AVERAGE(OFFSET($H$3,0,0,'Données projet'!$E$13+1,1))</f>
        <v>221.7429870520005</v>
      </c>
      <c r="CZ171" s="59">
        <f t="shared" si="150"/>
        <v>182.2029938397186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-1.0345502232667058E-13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199.01551760562705</v>
      </c>
      <c r="T172" s="59">
        <f t="shared" si="142"/>
        <v>269.50915104901367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0.16034103529534266</v>
      </c>
      <c r="AA172" s="21">
        <f>EXP(-LN(2)/25)*AA171+(1-EXP(-LN(2)/25))/(LN(2)/25)*Calculateur!V172*Calculateur!X172*VLOOKUP('Données projet'!$B$9,Paramètres!$A$1:$I$89,3,0)*0.475*44/12</f>
        <v>0.27536754401009217</v>
      </c>
      <c r="AB172" s="21">
        <f>EXP(-LN(2)/2)*AB171+(1-EXP(-LN(2)/2))/(LN(2)/2)*V172*Y172*VLOOKUP('Données projet'!$B$9,Paramètres!$A$1:$I$89,3,0)*0.475*44/12</f>
        <v>1.6503748211424968E-21</v>
      </c>
      <c r="AC172" s="22">
        <f t="shared" si="163"/>
        <v>0.43570857930543483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553.99999999999955</v>
      </c>
      <c r="AJ172" s="13">
        <f>AI172*VLOOKUP('Données projet'!$B$10,Paramètres!$A$1:$I$89,3,0)*VLOOKUP('Données projet'!$B$10,Paramètres!$A$1:$I$89,5,0)</f>
        <v>331.29199999999975</v>
      </c>
      <c r="AK172" s="13">
        <f t="shared" si="164"/>
        <v>77.698110787752</v>
      </c>
      <c r="AL172" s="20">
        <f t="shared" si="165"/>
        <v>712.32444295533423</v>
      </c>
      <c r="AM172" s="59">
        <f t="shared" si="113"/>
        <v>1005.6577762886675</v>
      </c>
      <c r="AN172" s="59">
        <f ca="1">AVERAGE(OFFSET($AM$3,0,0,'Données projet'!$E$10+1,1))-AVERAGE(OFFSET($H$3,0,0,'Données projet'!$E$10+1,1))</f>
        <v>316.58509520829671</v>
      </c>
      <c r="AO172" s="59">
        <f t="shared" si="144"/>
        <v>240.71332110643596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0.16157764622785331</v>
      </c>
      <c r="AV172" s="21">
        <f>EXP(-LN(2)/25)*AV171+(1-EXP(-LN(2)/25))/(LN(2)/25)*Calculateur!AQ172*Calculateur!AS172*VLOOKUP('Données projet'!$B$10,Paramètres!$A$1:$I$89,3,0)*0.475*44/12</f>
        <v>0.32363336656740405</v>
      </c>
      <c r="AW172" s="21">
        <f>EXP(-LN(2)/2)*AW171+(1-EXP(-LN(2)/2))/(LN(2)/2)*AQ172*AT172*VLOOKUP('Données projet'!$B$10,Paramètres!$A$1:$I$89,3,0)*0.475*44/12</f>
        <v>2.6280820543597732E-20</v>
      </c>
      <c r="AX172" s="21">
        <f t="shared" si="166"/>
        <v>0.48521101279525736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-1.8089849618263545E-13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314.94704727988847</v>
      </c>
      <c r="BJ172" s="59">
        <f t="shared" si="146"/>
        <v>366.49199094166454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0.24961915854478145</v>
      </c>
      <c r="BQ172" s="21">
        <f>EXP(-LN(2)/25)*BQ171+(1-EXP(-LN(2)/25))/(LN(2)/25)*Calculateur!BL172*Calculateur!BN172*VLOOKUP('Données projet'!$B$11,Paramètres!$A$1:$I$89,3,0)*0.475*44/12</f>
        <v>0.53854845044324051</v>
      </c>
      <c r="BR172" s="21">
        <f>EXP(-LN(2)/2)*BR171+(1-EXP(-LN(2)/2))/(LN(2)/2)*BL172*BO172*VLOOKUP('Données projet'!$B$11,Paramètres!$A$1:$I$89,3,0)*0.475*44/12</f>
        <v>3.4582039370270838E-20</v>
      </c>
      <c r="BS172" s="22">
        <f t="shared" si="169"/>
        <v>0.78816760898802196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-1.8089849618263545E-13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314.94704727988847</v>
      </c>
      <c r="CE172" s="59">
        <f t="shared" si="148"/>
        <v>366.49199094166454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0.24961915854478145</v>
      </c>
      <c r="CL172" s="21">
        <f>EXP(-LN(2)/25)*CL171+(1-EXP(-LN(2)/25))/(LN(2)/25)*Calculateur!CG172*Calculateur!CI172*VLOOKUP('Données projet'!$B$12,Paramètres!$A$1:$I$89,3,0)*0.475*44/12</f>
        <v>0.53854845044324051</v>
      </c>
      <c r="CM172" s="21">
        <f>EXP(-LN(2)/2)*CM171+(1-EXP(-LN(2)/2))/(LN(2)/2)*CG172*CJ172*VLOOKUP('Données projet'!$B$12,Paramètres!$A$1:$I$89,3,0)*0.475*44/12</f>
        <v>3.4582039370270838E-20</v>
      </c>
      <c r="CN172" s="22">
        <f t="shared" si="172"/>
        <v>0.78816760898802196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4.5474735088646412E-13</v>
      </c>
      <c r="CU172" s="17">
        <f>CT172*VLOOKUP('Données projet'!$B$13,Paramètres!$A$1:$I$89,3,0)*VLOOKUP('Données projet'!$B$13,Paramètres!$A$1:$I$89,5,0)</f>
        <v>4.1145540308207271E-13</v>
      </c>
      <c r="CV172" s="13">
        <f t="shared" si="173"/>
        <v>5.2428527960910789E-12</v>
      </c>
      <c r="CW172" s="20">
        <f t="shared" si="174"/>
        <v>9.8479201135599071E-12</v>
      </c>
      <c r="CX172" s="59">
        <f t="shared" si="122"/>
        <v>293.33333333334315</v>
      </c>
      <c r="CY172" s="59">
        <f ca="1">AVERAGE(OFFSET($CX$3,0,0,'Données projet'!$E$13+1,1))-AVERAGE(OFFSET($H$3,0,0,'Données projet'!$E$13+1,1))</f>
        <v>221.7429870520005</v>
      </c>
      <c r="CZ172" s="59">
        <f t="shared" si="150"/>
        <v>182.2029938397186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-1.0345502232667058E-13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199.01551760562705</v>
      </c>
      <c r="T173" s="59">
        <f t="shared" si="142"/>
        <v>269.50915104901367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0.15719684539157575</v>
      </c>
      <c r="AA173" s="21">
        <f>EXP(-LN(2)/25)*AA172+(1-EXP(-LN(2)/25))/(LN(2)/25)*Calculateur!V173*Calculateur!X173*VLOOKUP('Données projet'!$B$9,Paramètres!$A$1:$I$89,3,0)*0.475*44/12</f>
        <v>0.26783760403818641</v>
      </c>
      <c r="AB173" s="21">
        <f>EXP(-LN(2)/2)*AB172+(1-EXP(-LN(2)/2))/(LN(2)/2)*V173*Y173*VLOOKUP('Données projet'!$B$9,Paramètres!$A$1:$I$89,3,0)*0.475*44/12</f>
        <v>1.166991227529395E-21</v>
      </c>
      <c r="AC173" s="22">
        <f t="shared" si="163"/>
        <v>0.42503444942976215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553.99999999999955</v>
      </c>
      <c r="AJ173" s="13">
        <f>AI173*VLOOKUP('Données projet'!$B$10,Paramètres!$A$1:$I$89,3,0)*VLOOKUP('Données projet'!$B$10,Paramètres!$A$1:$I$89,5,0)</f>
        <v>331.29199999999975</v>
      </c>
      <c r="AK173" s="13">
        <f t="shared" si="164"/>
        <v>77.698110787752</v>
      </c>
      <c r="AL173" s="20">
        <f t="shared" si="165"/>
        <v>712.32444295533423</v>
      </c>
      <c r="AM173" s="59">
        <f t="shared" si="113"/>
        <v>1005.6577762886675</v>
      </c>
      <c r="AN173" s="59">
        <f ca="1">AVERAGE(OFFSET($AM$3,0,0,'Données projet'!$E$10+1,1))-AVERAGE(OFFSET($H$3,0,0,'Données projet'!$E$10+1,1))</f>
        <v>316.58509520829671</v>
      </c>
      <c r="AO173" s="59">
        <f t="shared" si="144"/>
        <v>240.71332110643596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0.15840920713795803</v>
      </c>
      <c r="AV173" s="21">
        <f>EXP(-LN(2)/25)*AV172+(1-EXP(-LN(2)/25))/(LN(2)/25)*Calculateur!AQ173*Calculateur!AS173*VLOOKUP('Données projet'!$B$10,Paramètres!$A$1:$I$89,3,0)*0.475*44/12</f>
        <v>0.31478359513947929</v>
      </c>
      <c r="AW173" s="21">
        <f>EXP(-LN(2)/2)*AW172+(1-EXP(-LN(2)/2))/(LN(2)/2)*AQ173*AT173*VLOOKUP('Données projet'!$B$10,Paramètres!$A$1:$I$89,3,0)*0.475*44/12</f>
        <v>1.8583346421524684E-20</v>
      </c>
      <c r="AX173" s="21">
        <f t="shared" si="166"/>
        <v>0.47319280227743732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-1.8089849618263545E-13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314.94704727988847</v>
      </c>
      <c r="BJ173" s="59">
        <f t="shared" si="146"/>
        <v>366.49199094166454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0.2447242790983713</v>
      </c>
      <c r="BQ173" s="21">
        <f>EXP(-LN(2)/25)*BQ172+(1-EXP(-LN(2)/25))/(LN(2)/25)*Calculateur!BL173*Calculateur!BN173*VLOOKUP('Données projet'!$B$11,Paramètres!$A$1:$I$89,3,0)*0.475*44/12</f>
        <v>0.52382181474483791</v>
      </c>
      <c r="BR173" s="21">
        <f>EXP(-LN(2)/2)*BR172+(1-EXP(-LN(2)/2))/(LN(2)/2)*BL173*BO173*VLOOKUP('Données projet'!$B$11,Paramètres!$A$1:$I$89,3,0)*0.475*44/12</f>
        <v>2.4453194545978673E-20</v>
      </c>
      <c r="BS173" s="22">
        <f t="shared" si="169"/>
        <v>0.76854609384320915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-1.8089849618263545E-13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314.94704727988847</v>
      </c>
      <c r="CE173" s="59">
        <f t="shared" si="148"/>
        <v>366.49199094166454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0.2447242790983713</v>
      </c>
      <c r="CL173" s="21">
        <f>EXP(-LN(2)/25)*CL172+(1-EXP(-LN(2)/25))/(LN(2)/25)*Calculateur!CG173*Calculateur!CI173*VLOOKUP('Données projet'!$B$12,Paramètres!$A$1:$I$89,3,0)*0.475*44/12</f>
        <v>0.52382181474483791</v>
      </c>
      <c r="CM173" s="21">
        <f>EXP(-LN(2)/2)*CM172+(1-EXP(-LN(2)/2))/(LN(2)/2)*CG173*CJ173*VLOOKUP('Données projet'!$B$12,Paramètres!$A$1:$I$89,3,0)*0.475*44/12</f>
        <v>2.4453194545978673E-20</v>
      </c>
      <c r="CN173" s="22">
        <f t="shared" si="172"/>
        <v>0.76854609384320915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4.5474735088646412E-13</v>
      </c>
      <c r="CU173" s="17">
        <f>CT173*VLOOKUP('Données projet'!$B$13,Paramètres!$A$1:$I$89,3,0)*VLOOKUP('Données projet'!$B$13,Paramètres!$A$1:$I$89,5,0)</f>
        <v>4.1145540308207271E-13</v>
      </c>
      <c r="CV173" s="13">
        <f t="shared" si="173"/>
        <v>5.2428527960910789E-12</v>
      </c>
      <c r="CW173" s="20">
        <f t="shared" si="174"/>
        <v>9.8479201135599071E-12</v>
      </c>
      <c r="CX173" s="59">
        <f t="shared" si="122"/>
        <v>293.33333333334315</v>
      </c>
      <c r="CY173" s="59">
        <f ca="1">AVERAGE(OFFSET($CX$3,0,0,'Données projet'!$E$13+1,1))-AVERAGE(OFFSET($H$3,0,0,'Données projet'!$E$13+1,1))</f>
        <v>221.7429870520005</v>
      </c>
      <c r="CZ173" s="59">
        <f t="shared" si="150"/>
        <v>182.2029938397186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-1.0345502232667058E-13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199.01551760562705</v>
      </c>
      <c r="T174" s="59">
        <f t="shared" si="142"/>
        <v>269.50915104901367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0.15411431113405522</v>
      </c>
      <c r="AA174" s="21">
        <f>EXP(-LN(2)/25)*AA173+(1-EXP(-LN(2)/25))/(LN(2)/25)*Calculateur!V174*Calculateur!X174*VLOOKUP('Données projet'!$B$9,Paramètres!$A$1:$I$89,3,0)*0.475*44/12</f>
        <v>0.26051357067079473</v>
      </c>
      <c r="AB174" s="21">
        <f>EXP(-LN(2)/2)*AB173+(1-EXP(-LN(2)/2))/(LN(2)/2)*V174*Y174*VLOOKUP('Données projet'!$B$9,Paramètres!$A$1:$I$89,3,0)*0.475*44/12</f>
        <v>8.2518741057124848E-22</v>
      </c>
      <c r="AC174" s="22">
        <f t="shared" si="163"/>
        <v>0.41462788180484994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553.99999999999955</v>
      </c>
      <c r="AJ174" s="13">
        <f>AI174*VLOOKUP('Données projet'!$B$10,Paramètres!$A$1:$I$89,3,0)*VLOOKUP('Données projet'!$B$10,Paramètres!$A$1:$I$89,5,0)</f>
        <v>331.29199999999975</v>
      </c>
      <c r="AK174" s="13">
        <f t="shared" si="164"/>
        <v>77.698110787752</v>
      </c>
      <c r="AL174" s="20">
        <f t="shared" si="165"/>
        <v>712.32444295533423</v>
      </c>
      <c r="AM174" s="59">
        <f t="shared" si="113"/>
        <v>1005.6577762886675</v>
      </c>
      <c r="AN174" s="59">
        <f ca="1">AVERAGE(OFFSET($AM$3,0,0,'Données projet'!$E$10+1,1))-AVERAGE(OFFSET($H$3,0,0,'Données projet'!$E$10+1,1))</f>
        <v>316.58509520829671</v>
      </c>
      <c r="AO174" s="59">
        <f t="shared" si="144"/>
        <v>240.71332110643596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0.15530289920605858</v>
      </c>
      <c r="AV174" s="21">
        <f>EXP(-LN(2)/25)*AV173+(1-EXP(-LN(2)/25))/(LN(2)/25)*Calculateur!AQ174*Calculateur!AS174*VLOOKUP('Données projet'!$B$10,Paramètres!$A$1:$I$89,3,0)*0.475*44/12</f>
        <v>0.30617582117664038</v>
      </c>
      <c r="AW174" s="21">
        <f>EXP(-LN(2)/2)*AW173+(1-EXP(-LN(2)/2))/(LN(2)/2)*AQ174*AT174*VLOOKUP('Données projet'!$B$10,Paramètres!$A$1:$I$89,3,0)*0.475*44/12</f>
        <v>1.3140410271798866E-20</v>
      </c>
      <c r="AX174" s="21">
        <f t="shared" si="166"/>
        <v>0.46147872038269899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-1.8089849618263545E-13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314.94704727988847</v>
      </c>
      <c r="BJ174" s="59">
        <f t="shared" si="146"/>
        <v>366.49199094166454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0.2399253852523236</v>
      </c>
      <c r="BQ174" s="21">
        <f>EXP(-LN(2)/25)*BQ173+(1-EXP(-LN(2)/25))/(LN(2)/25)*Calculateur!BL174*Calculateur!BN174*VLOOKUP('Données projet'!$B$11,Paramètres!$A$1:$I$89,3,0)*0.475*44/12</f>
        <v>0.50949787967404825</v>
      </c>
      <c r="BR174" s="21">
        <f>EXP(-LN(2)/2)*BR173+(1-EXP(-LN(2)/2))/(LN(2)/2)*BL174*BO174*VLOOKUP('Données projet'!$B$11,Paramètres!$A$1:$I$89,3,0)*0.475*44/12</f>
        <v>1.7291019685135419E-20</v>
      </c>
      <c r="BS174" s="22">
        <f t="shared" si="169"/>
        <v>0.7494232649263719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-1.8089849618263545E-13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314.94704727988847</v>
      </c>
      <c r="CE174" s="59">
        <f t="shared" si="148"/>
        <v>366.49199094166454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0.2399253852523236</v>
      </c>
      <c r="CL174" s="21">
        <f>EXP(-LN(2)/25)*CL173+(1-EXP(-LN(2)/25))/(LN(2)/25)*Calculateur!CG174*Calculateur!CI174*VLOOKUP('Données projet'!$B$12,Paramètres!$A$1:$I$89,3,0)*0.475*44/12</f>
        <v>0.50949787967404825</v>
      </c>
      <c r="CM174" s="21">
        <f>EXP(-LN(2)/2)*CM173+(1-EXP(-LN(2)/2))/(LN(2)/2)*CG174*CJ174*VLOOKUP('Données projet'!$B$12,Paramètres!$A$1:$I$89,3,0)*0.475*44/12</f>
        <v>1.7291019685135419E-20</v>
      </c>
      <c r="CN174" s="22">
        <f t="shared" si="172"/>
        <v>0.7494232649263719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4.5474735088646412E-13</v>
      </c>
      <c r="CU174" s="17">
        <f>CT174*VLOOKUP('Données projet'!$B$13,Paramètres!$A$1:$I$89,3,0)*VLOOKUP('Données projet'!$B$13,Paramètres!$A$1:$I$89,5,0)</f>
        <v>4.1145540308207271E-13</v>
      </c>
      <c r="CV174" s="13">
        <f t="shared" si="173"/>
        <v>5.2428527960910789E-12</v>
      </c>
      <c r="CW174" s="20">
        <f t="shared" si="174"/>
        <v>9.8479201135599071E-12</v>
      </c>
      <c r="CX174" s="59">
        <f t="shared" si="122"/>
        <v>293.33333333334315</v>
      </c>
      <c r="CY174" s="59">
        <f ca="1">AVERAGE(OFFSET($CX$3,0,0,'Données projet'!$E$13+1,1))-AVERAGE(OFFSET($H$3,0,0,'Données projet'!$E$13+1,1))</f>
        <v>221.7429870520005</v>
      </c>
      <c r="CZ174" s="59">
        <f t="shared" si="150"/>
        <v>182.2029938397186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-1.0345502232667058E-13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199.01551760562705</v>
      </c>
      <c r="T175" s="59">
        <f t="shared" si="142"/>
        <v>269.50915104901367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0.15109222349316442</v>
      </c>
      <c r="AA175" s="21">
        <f>EXP(-LN(2)/25)*AA174+(1-EXP(-LN(2)/25))/(LN(2)/25)*Calculateur!V175*Calculateur!X175*VLOOKUP('Données projet'!$B$9,Paramètres!$A$1:$I$89,3,0)*0.475*44/12</f>
        <v>0.25338981338098859</v>
      </c>
      <c r="AB175" s="21">
        <f>EXP(-LN(2)/2)*AB174+(1-EXP(-LN(2)/2))/(LN(2)/2)*V175*Y175*VLOOKUP('Données projet'!$B$9,Paramètres!$A$1:$I$89,3,0)*0.475*44/12</f>
        <v>5.8349561376469761E-22</v>
      </c>
      <c r="AC175" s="22">
        <f t="shared" si="163"/>
        <v>0.40448203687415302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553.99999999999955</v>
      </c>
      <c r="AJ175" s="13">
        <f>AI175*VLOOKUP('Données projet'!$B$10,Paramètres!$A$1:$I$89,3,0)*VLOOKUP('Données projet'!$B$10,Paramètres!$A$1:$I$89,5,0)</f>
        <v>331.29199999999975</v>
      </c>
      <c r="AK175" s="13">
        <f t="shared" si="164"/>
        <v>77.698110787752</v>
      </c>
      <c r="AL175" s="20">
        <f t="shared" si="165"/>
        <v>712.32444295533423</v>
      </c>
      <c r="AM175" s="59">
        <f t="shared" si="113"/>
        <v>1005.6577762886675</v>
      </c>
      <c r="AN175" s="59">
        <f ca="1">AVERAGE(OFFSET($AM$3,0,0,'Données projet'!$E$10+1,1))-AVERAGE(OFFSET($H$3,0,0,'Données projet'!$E$10+1,1))</f>
        <v>316.58509520829671</v>
      </c>
      <c r="AO175" s="59">
        <f t="shared" si="144"/>
        <v>240.71332110643596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0.15225750407804292</v>
      </c>
      <c r="AV175" s="21">
        <f>EXP(-LN(2)/25)*AV174+(1-EXP(-LN(2)/25))/(LN(2)/25)*Calculateur!AQ175*Calculateur!AS175*VLOOKUP('Données projet'!$B$10,Paramètres!$A$1:$I$89,3,0)*0.475*44/12</f>
        <v>0.29780342724547848</v>
      </c>
      <c r="AW175" s="21">
        <f>EXP(-LN(2)/2)*AW174+(1-EXP(-LN(2)/2))/(LN(2)/2)*AQ175*AT175*VLOOKUP('Données projet'!$B$10,Paramètres!$A$1:$I$89,3,0)*0.475*44/12</f>
        <v>9.2916732107623419E-21</v>
      </c>
      <c r="AX175" s="21">
        <f t="shared" si="166"/>
        <v>0.45006093132352143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-1.8089849618263545E-13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314.94704727988847</v>
      </c>
      <c r="BJ175" s="59">
        <f t="shared" si="146"/>
        <v>366.49199094166454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0.23522059478756066</v>
      </c>
      <c r="BQ175" s="21">
        <f>EXP(-LN(2)/25)*BQ174+(1-EXP(-LN(2)/25))/(LN(2)/25)*Calculateur!BL175*Calculateur!BN175*VLOOKUP('Données projet'!$B$11,Paramètres!$A$1:$I$89,3,0)*0.475*44/12</f>
        <v>0.49556563336103238</v>
      </c>
      <c r="BR175" s="21">
        <f>EXP(-LN(2)/2)*BR174+(1-EXP(-LN(2)/2))/(LN(2)/2)*BL175*BO175*VLOOKUP('Données projet'!$B$11,Paramètres!$A$1:$I$89,3,0)*0.475*44/12</f>
        <v>1.2226597272989337E-20</v>
      </c>
      <c r="BS175" s="22">
        <f t="shared" si="169"/>
        <v>0.73078622814859306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-1.8089849618263545E-13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314.94704727988847</v>
      </c>
      <c r="CE175" s="59">
        <f t="shared" si="148"/>
        <v>366.49199094166454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0.23522059478756066</v>
      </c>
      <c r="CL175" s="21">
        <f>EXP(-LN(2)/25)*CL174+(1-EXP(-LN(2)/25))/(LN(2)/25)*Calculateur!CG175*Calculateur!CI175*VLOOKUP('Données projet'!$B$12,Paramètres!$A$1:$I$89,3,0)*0.475*44/12</f>
        <v>0.49556563336103238</v>
      </c>
      <c r="CM175" s="21">
        <f>EXP(-LN(2)/2)*CM174+(1-EXP(-LN(2)/2))/(LN(2)/2)*CG175*CJ175*VLOOKUP('Données projet'!$B$12,Paramètres!$A$1:$I$89,3,0)*0.475*44/12</f>
        <v>1.2226597272989337E-20</v>
      </c>
      <c r="CN175" s="22">
        <f t="shared" si="172"/>
        <v>0.73078622814859306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4.5474735088646412E-13</v>
      </c>
      <c r="CU175" s="17">
        <f>CT175*VLOOKUP('Données projet'!$B$13,Paramètres!$A$1:$I$89,3,0)*VLOOKUP('Données projet'!$B$13,Paramètres!$A$1:$I$89,5,0)</f>
        <v>4.1145540308207271E-13</v>
      </c>
      <c r="CV175" s="13">
        <f t="shared" si="173"/>
        <v>5.2428527960910789E-12</v>
      </c>
      <c r="CW175" s="20">
        <f t="shared" si="174"/>
        <v>9.8479201135599071E-12</v>
      </c>
      <c r="CX175" s="59">
        <f t="shared" si="122"/>
        <v>293.33333333334315</v>
      </c>
      <c r="CY175" s="59">
        <f ca="1">AVERAGE(OFFSET($CX$3,0,0,'Données projet'!$E$13+1,1))-AVERAGE(OFFSET($H$3,0,0,'Données projet'!$E$13+1,1))</f>
        <v>221.7429870520005</v>
      </c>
      <c r="CZ175" s="59">
        <f t="shared" si="150"/>
        <v>182.2029938397186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-1.0345502232667058E-13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199.01551760562705</v>
      </c>
      <c r="T176" s="59">
        <f t="shared" si="142"/>
        <v>269.50915104901367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0.14812939714762002</v>
      </c>
      <c r="AA176" s="21">
        <f>EXP(-LN(2)/25)*AA175+(1-EXP(-LN(2)/25))/(LN(2)/25)*Calculateur!V176*Calculateur!X176*VLOOKUP('Données projet'!$B$9,Paramètres!$A$1:$I$89,3,0)*0.475*44/12</f>
        <v>0.2464608556088943</v>
      </c>
      <c r="AB176" s="21">
        <f>EXP(-LN(2)/2)*AB175+(1-EXP(-LN(2)/2))/(LN(2)/2)*V176*Y176*VLOOKUP('Données projet'!$B$9,Paramètres!$A$1:$I$89,3,0)*0.475*44/12</f>
        <v>4.1259370528562429E-22</v>
      </c>
      <c r="AC176" s="22">
        <f t="shared" si="163"/>
        <v>0.39459025275651433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553.99999999999955</v>
      </c>
      <c r="AJ176" s="13">
        <f>AI176*VLOOKUP('Données projet'!$B$10,Paramètres!$A$1:$I$89,3,0)*VLOOKUP('Données projet'!$B$10,Paramètres!$A$1:$I$89,5,0)</f>
        <v>331.29199999999975</v>
      </c>
      <c r="AK176" s="13">
        <f t="shared" si="164"/>
        <v>77.698110787752</v>
      </c>
      <c r="AL176" s="20">
        <f t="shared" si="165"/>
        <v>712.32444295533423</v>
      </c>
      <c r="AM176" s="59">
        <f t="shared" si="113"/>
        <v>1005.6577762886675</v>
      </c>
      <c r="AN176" s="59">
        <f ca="1">AVERAGE(OFFSET($AM$3,0,0,'Données projet'!$E$10+1,1))-AVERAGE(OFFSET($H$3,0,0,'Données projet'!$E$10+1,1))</f>
        <v>316.58509520829671</v>
      </c>
      <c r="AO176" s="59">
        <f t="shared" si="144"/>
        <v>240.71332110643596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0.14927182729098004</v>
      </c>
      <c r="AV176" s="21">
        <f>EXP(-LN(2)/25)*AV175+(1-EXP(-LN(2)/25))/(LN(2)/25)*Calculateur!AQ176*Calculateur!AS176*VLOOKUP('Données projet'!$B$10,Paramètres!$A$1:$I$89,3,0)*0.475*44/12</f>
        <v>0.28965997686664929</v>
      </c>
      <c r="AW176" s="21">
        <f>EXP(-LN(2)/2)*AW175+(1-EXP(-LN(2)/2))/(LN(2)/2)*AQ176*AT176*VLOOKUP('Données projet'!$B$10,Paramètres!$A$1:$I$89,3,0)*0.475*44/12</f>
        <v>6.5702051358994329E-21</v>
      </c>
      <c r="AX176" s="21">
        <f t="shared" si="166"/>
        <v>0.43893180415762933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-1.8089849618263545E-13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314.94704727988847</v>
      </c>
      <c r="BJ176" s="59">
        <f t="shared" si="146"/>
        <v>366.49199094166454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0.23060806239417289</v>
      </c>
      <c r="BQ176" s="21">
        <f>EXP(-LN(2)/25)*BQ175+(1-EXP(-LN(2)/25))/(LN(2)/25)*Calculateur!BL176*Calculateur!BN176*VLOOKUP('Données projet'!$B$11,Paramètres!$A$1:$I$89,3,0)*0.475*44/12</f>
        <v>0.48201436505611089</v>
      </c>
      <c r="BR176" s="21">
        <f>EXP(-LN(2)/2)*BR175+(1-EXP(-LN(2)/2))/(LN(2)/2)*BL176*BO176*VLOOKUP('Données projet'!$B$11,Paramètres!$A$1:$I$89,3,0)*0.475*44/12</f>
        <v>8.6455098425677095E-21</v>
      </c>
      <c r="BS176" s="22">
        <f t="shared" si="169"/>
        <v>0.71262242745028381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-1.8089849618263545E-13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314.94704727988847</v>
      </c>
      <c r="CE176" s="59">
        <f t="shared" si="148"/>
        <v>366.49199094166454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0.23060806239417289</v>
      </c>
      <c r="CL176" s="21">
        <f>EXP(-LN(2)/25)*CL175+(1-EXP(-LN(2)/25))/(LN(2)/25)*Calculateur!CG176*Calculateur!CI176*VLOOKUP('Données projet'!$B$12,Paramètres!$A$1:$I$89,3,0)*0.475*44/12</f>
        <v>0.48201436505611089</v>
      </c>
      <c r="CM176" s="21">
        <f>EXP(-LN(2)/2)*CM175+(1-EXP(-LN(2)/2))/(LN(2)/2)*CG176*CJ176*VLOOKUP('Données projet'!$B$12,Paramètres!$A$1:$I$89,3,0)*0.475*44/12</f>
        <v>8.6455098425677095E-21</v>
      </c>
      <c r="CN176" s="22">
        <f t="shared" si="172"/>
        <v>0.71262242745028381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4.5474735088646412E-13</v>
      </c>
      <c r="CU176" s="17">
        <f>CT176*VLOOKUP('Données projet'!$B$13,Paramètres!$A$1:$I$89,3,0)*VLOOKUP('Données projet'!$B$13,Paramètres!$A$1:$I$89,5,0)</f>
        <v>4.1145540308207271E-13</v>
      </c>
      <c r="CV176" s="13">
        <f t="shared" si="173"/>
        <v>5.2428527960910789E-12</v>
      </c>
      <c r="CW176" s="20">
        <f t="shared" si="174"/>
        <v>9.8479201135599071E-12</v>
      </c>
      <c r="CX176" s="59">
        <f t="shared" si="122"/>
        <v>293.33333333334315</v>
      </c>
      <c r="CY176" s="59">
        <f ca="1">AVERAGE(OFFSET($CX$3,0,0,'Données projet'!$E$13+1,1))-AVERAGE(OFFSET($H$3,0,0,'Données projet'!$E$13+1,1))</f>
        <v>221.7429870520005</v>
      </c>
      <c r="CZ176" s="59">
        <f t="shared" si="150"/>
        <v>182.2029938397186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-1.0345502232667058E-13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199.01551760562705</v>
      </c>
      <c r="T177" s="59">
        <f t="shared" si="142"/>
        <v>269.50915104901367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0.14522467001956613</v>
      </c>
      <c r="AA177" s="21">
        <f>EXP(-LN(2)/25)*AA176+(1-EXP(-LN(2)/25))/(LN(2)/25)*Calculateur!V177*Calculateur!X177*VLOOKUP('Données projet'!$B$9,Paramètres!$A$1:$I$89,3,0)*0.475*44/12</f>
        <v>0.23972137055145598</v>
      </c>
      <c r="AB177" s="21">
        <f>EXP(-LN(2)/2)*AB176+(1-EXP(-LN(2)/2))/(LN(2)/2)*V177*Y177*VLOOKUP('Données projet'!$B$9,Paramètres!$A$1:$I$89,3,0)*0.475*44/12</f>
        <v>2.9174780688234885E-22</v>
      </c>
      <c r="AC177" s="22">
        <f t="shared" si="163"/>
        <v>0.38494604057102211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553.99999999999955</v>
      </c>
      <c r="AJ177" s="13">
        <f>AI177*VLOOKUP('Données projet'!$B$10,Paramètres!$A$1:$I$89,3,0)*VLOOKUP('Données projet'!$B$10,Paramètres!$A$1:$I$89,5,0)</f>
        <v>331.29199999999975</v>
      </c>
      <c r="AK177" s="13">
        <f t="shared" si="164"/>
        <v>77.698110787752</v>
      </c>
      <c r="AL177" s="20">
        <f t="shared" si="165"/>
        <v>712.32444295533423</v>
      </c>
      <c r="AM177" s="59">
        <f t="shared" si="113"/>
        <v>1005.6577762886675</v>
      </c>
      <c r="AN177" s="59">
        <f ca="1">AVERAGE(OFFSET($AM$3,0,0,'Données projet'!$E$10+1,1))-AVERAGE(OFFSET($H$3,0,0,'Données projet'!$E$10+1,1))</f>
        <v>316.58509520829671</v>
      </c>
      <c r="AO177" s="59">
        <f t="shared" si="144"/>
        <v>240.71332110643596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0.14634469780462844</v>
      </c>
      <c r="AV177" s="21">
        <f>EXP(-LN(2)/25)*AV176+(1-EXP(-LN(2)/25))/(LN(2)/25)*Calculateur!AQ177*Calculateur!AS177*VLOOKUP('Données projet'!$B$10,Paramètres!$A$1:$I$89,3,0)*0.475*44/12</f>
        <v>0.28173920956667459</v>
      </c>
      <c r="AW177" s="21">
        <f>EXP(-LN(2)/2)*AW176+(1-EXP(-LN(2)/2))/(LN(2)/2)*AQ177*AT177*VLOOKUP('Données projet'!$B$10,Paramètres!$A$1:$I$89,3,0)*0.475*44/12</f>
        <v>4.645836605381171E-21</v>
      </c>
      <c r="AX177" s="21">
        <f t="shared" si="166"/>
        <v>0.42808390737130303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-1.8089849618263545E-13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314.94704727988847</v>
      </c>
      <c r="BJ177" s="59">
        <f t="shared" si="146"/>
        <v>366.49199094166454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0.22608597894765251</v>
      </c>
      <c r="BQ177" s="21">
        <f>EXP(-LN(2)/25)*BQ176+(1-EXP(-LN(2)/25))/(LN(2)/25)*Calculateur!BL177*Calculateur!BN177*VLOOKUP('Données projet'!$B$11,Paramètres!$A$1:$I$89,3,0)*0.475*44/12</f>
        <v>0.46883365689561773</v>
      </c>
      <c r="BR177" s="21">
        <f>EXP(-LN(2)/2)*BR176+(1-EXP(-LN(2)/2))/(LN(2)/2)*BL177*BO177*VLOOKUP('Données projet'!$B$11,Paramètres!$A$1:$I$89,3,0)*0.475*44/12</f>
        <v>6.1132986364946684E-21</v>
      </c>
      <c r="BS177" s="22">
        <f t="shared" si="169"/>
        <v>0.69491963584327021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-1.8089849618263545E-13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314.94704727988847</v>
      </c>
      <c r="CE177" s="59">
        <f t="shared" si="148"/>
        <v>366.49199094166454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0.22608597894765251</v>
      </c>
      <c r="CL177" s="21">
        <f>EXP(-LN(2)/25)*CL176+(1-EXP(-LN(2)/25))/(LN(2)/25)*Calculateur!CG177*Calculateur!CI177*VLOOKUP('Données projet'!$B$12,Paramètres!$A$1:$I$89,3,0)*0.475*44/12</f>
        <v>0.46883365689561773</v>
      </c>
      <c r="CM177" s="21">
        <f>EXP(-LN(2)/2)*CM176+(1-EXP(-LN(2)/2))/(LN(2)/2)*CG177*CJ177*VLOOKUP('Données projet'!$B$12,Paramètres!$A$1:$I$89,3,0)*0.475*44/12</f>
        <v>6.1132986364946684E-21</v>
      </c>
      <c r="CN177" s="22">
        <f t="shared" si="172"/>
        <v>0.69491963584327021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4.5474735088646412E-13</v>
      </c>
      <c r="CU177" s="17">
        <f>CT177*VLOOKUP('Données projet'!$B$13,Paramètres!$A$1:$I$89,3,0)*VLOOKUP('Données projet'!$B$13,Paramètres!$A$1:$I$89,5,0)</f>
        <v>4.1145540308207271E-13</v>
      </c>
      <c r="CV177" s="13">
        <f t="shared" si="173"/>
        <v>5.2428527960910789E-12</v>
      </c>
      <c r="CW177" s="20">
        <f t="shared" si="174"/>
        <v>9.8479201135599071E-12</v>
      </c>
      <c r="CX177" s="59">
        <f t="shared" si="122"/>
        <v>293.33333333334315</v>
      </c>
      <c r="CY177" s="59">
        <f ca="1">AVERAGE(OFFSET($CX$3,0,0,'Données projet'!$E$13+1,1))-AVERAGE(OFFSET($H$3,0,0,'Données projet'!$E$13+1,1))</f>
        <v>221.7429870520005</v>
      </c>
      <c r="CZ177" s="59">
        <f t="shared" si="150"/>
        <v>182.2029938397186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-1.0345502232667058E-13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199.01551760562705</v>
      </c>
      <c r="T178" s="59">
        <f t="shared" si="142"/>
        <v>269.50915104901367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0.14237690281878476</v>
      </c>
      <c r="AA178" s="21">
        <f>EXP(-LN(2)/25)*AA177+(1-EXP(-LN(2)/25))/(LN(2)/25)*Calculateur!V178*Calculateur!X178*VLOOKUP('Données projet'!$B$9,Paramètres!$A$1:$I$89,3,0)*0.475*44/12</f>
        <v>0.23316617706732742</v>
      </c>
      <c r="AB178" s="21">
        <f>EXP(-LN(2)/2)*AB177+(1-EXP(-LN(2)/2))/(LN(2)/2)*V178*Y178*VLOOKUP('Données projet'!$B$9,Paramètres!$A$1:$I$89,3,0)*0.475*44/12</f>
        <v>2.0629685264281219E-22</v>
      </c>
      <c r="AC178" s="22">
        <f t="shared" si="163"/>
        <v>0.37554307988611219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553.99999999999955</v>
      </c>
      <c r="AJ178" s="13">
        <f>AI178*VLOOKUP('Données projet'!$B$10,Paramètres!$A$1:$I$89,3,0)*VLOOKUP('Données projet'!$B$10,Paramètres!$A$1:$I$89,5,0)</f>
        <v>331.29199999999975</v>
      </c>
      <c r="AK178" s="13">
        <f t="shared" si="164"/>
        <v>77.698110787752</v>
      </c>
      <c r="AL178" s="20">
        <f t="shared" si="165"/>
        <v>712.32444295533423</v>
      </c>
      <c r="AM178" s="59">
        <f t="shared" si="113"/>
        <v>1005.6577762886675</v>
      </c>
      <c r="AN178" s="59">
        <f ca="1">AVERAGE(OFFSET($AM$3,0,0,'Données projet'!$E$10+1,1))-AVERAGE(OFFSET($H$3,0,0,'Données projet'!$E$10+1,1))</f>
        <v>316.58509520829671</v>
      </c>
      <c r="AO178" s="59">
        <f t="shared" si="144"/>
        <v>240.71332110643596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0.14347496754213152</v>
      </c>
      <c r="AV178" s="21">
        <f>EXP(-LN(2)/25)*AV177+(1-EXP(-LN(2)/25))/(LN(2)/25)*Calculateur!AQ178*Calculateur!AS178*VLOOKUP('Données projet'!$B$10,Paramètres!$A$1:$I$89,3,0)*0.475*44/12</f>
        <v>0.27403503606505275</v>
      </c>
      <c r="AW178" s="21">
        <f>EXP(-LN(2)/2)*AW177+(1-EXP(-LN(2)/2))/(LN(2)/2)*AQ178*AT178*VLOOKUP('Données projet'!$B$10,Paramètres!$A$1:$I$89,3,0)*0.475*44/12</f>
        <v>3.2851025679497164E-21</v>
      </c>
      <c r="AX178" s="21">
        <f t="shared" si="166"/>
        <v>0.41751000360718427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-1.8089849618263545E-13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314.94704727988847</v>
      </c>
      <c r="BJ178" s="59">
        <f t="shared" si="146"/>
        <v>366.49199094166454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0.22165257079931983</v>
      </c>
      <c r="BQ178" s="21">
        <f>EXP(-LN(2)/25)*BQ177+(1-EXP(-LN(2)/25))/(LN(2)/25)*Calculateur!BL178*Calculateur!BN178*VLOOKUP('Données projet'!$B$11,Paramètres!$A$1:$I$89,3,0)*0.475*44/12</f>
        <v>0.45601337589291657</v>
      </c>
      <c r="BR178" s="21">
        <f>EXP(-LN(2)/2)*BR177+(1-EXP(-LN(2)/2))/(LN(2)/2)*BL178*BO178*VLOOKUP('Données projet'!$B$11,Paramètres!$A$1:$I$89,3,0)*0.475*44/12</f>
        <v>4.3227549212838547E-21</v>
      </c>
      <c r="BS178" s="22">
        <f t="shared" si="169"/>
        <v>0.67766594669223634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-1.8089849618263545E-13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314.94704727988847</v>
      </c>
      <c r="CE178" s="59">
        <f t="shared" si="148"/>
        <v>366.49199094166454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0.22165257079931983</v>
      </c>
      <c r="CL178" s="21">
        <f>EXP(-LN(2)/25)*CL177+(1-EXP(-LN(2)/25))/(LN(2)/25)*Calculateur!CG178*Calculateur!CI178*VLOOKUP('Données projet'!$B$12,Paramètres!$A$1:$I$89,3,0)*0.475*44/12</f>
        <v>0.45601337589291657</v>
      </c>
      <c r="CM178" s="21">
        <f>EXP(-LN(2)/2)*CM177+(1-EXP(-LN(2)/2))/(LN(2)/2)*CG178*CJ178*VLOOKUP('Données projet'!$B$12,Paramètres!$A$1:$I$89,3,0)*0.475*44/12</f>
        <v>4.3227549212838547E-21</v>
      </c>
      <c r="CN178" s="22">
        <f t="shared" si="172"/>
        <v>0.67766594669223634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4.5474735088646412E-13</v>
      </c>
      <c r="CU178" s="17">
        <f>CT178*VLOOKUP('Données projet'!$B$13,Paramètres!$A$1:$I$89,3,0)*VLOOKUP('Données projet'!$B$13,Paramètres!$A$1:$I$89,5,0)</f>
        <v>4.1145540308207271E-13</v>
      </c>
      <c r="CV178" s="13">
        <f t="shared" si="173"/>
        <v>5.2428527960910789E-12</v>
      </c>
      <c r="CW178" s="20">
        <f t="shared" si="174"/>
        <v>9.8479201135599071E-12</v>
      </c>
      <c r="CX178" s="59">
        <f t="shared" si="122"/>
        <v>293.33333333334315</v>
      </c>
      <c r="CY178" s="59">
        <f ca="1">AVERAGE(OFFSET($CX$3,0,0,'Données projet'!$E$13+1,1))-AVERAGE(OFFSET($H$3,0,0,'Données projet'!$E$13+1,1))</f>
        <v>221.7429870520005</v>
      </c>
      <c r="CZ178" s="59">
        <f t="shared" si="150"/>
        <v>182.2029938397186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-1.0345502232667058E-13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199.01551760562705</v>
      </c>
      <c r="T179" s="59">
        <f t="shared" si="142"/>
        <v>269.50915104901367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0.13958497859584423</v>
      </c>
      <c r="AA179" s="21">
        <f>EXP(-LN(2)/25)*AA178+(1-EXP(-LN(2)/25))/(LN(2)/25)*Calculateur!V179*Calculateur!X179*VLOOKUP('Données projet'!$B$9,Paramètres!$A$1:$I$89,3,0)*0.475*44/12</f>
        <v>0.22679023569374501</v>
      </c>
      <c r="AB179" s="21">
        <f>EXP(-LN(2)/2)*AB178+(1-EXP(-LN(2)/2))/(LN(2)/2)*V179*Y179*VLOOKUP('Données projet'!$B$9,Paramètres!$A$1:$I$89,3,0)*0.475*44/12</f>
        <v>1.4587390344117445E-22</v>
      </c>
      <c r="AC179" s="22">
        <f t="shared" si="163"/>
        <v>0.36637521428958925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553.99999999999955</v>
      </c>
      <c r="AJ179" s="13">
        <f>AI179*VLOOKUP('Données projet'!$B$10,Paramètres!$A$1:$I$89,3,0)*VLOOKUP('Données projet'!$B$10,Paramètres!$A$1:$I$89,5,0)</f>
        <v>331.29199999999975</v>
      </c>
      <c r="AK179" s="13">
        <f t="shared" si="164"/>
        <v>77.698110787752</v>
      </c>
      <c r="AL179" s="20">
        <f t="shared" si="165"/>
        <v>712.32444295533423</v>
      </c>
      <c r="AM179" s="59">
        <f t="shared" si="113"/>
        <v>1005.6577762886675</v>
      </c>
      <c r="AN179" s="59">
        <f ca="1">AVERAGE(OFFSET($AM$3,0,0,'Données projet'!$E$10+1,1))-AVERAGE(OFFSET($H$3,0,0,'Données projet'!$E$10+1,1))</f>
        <v>316.58509520829671</v>
      </c>
      <c r="AO179" s="59">
        <f t="shared" si="144"/>
        <v>240.71332110643596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0.14066151093971951</v>
      </c>
      <c r="AV179" s="21">
        <f>EXP(-LN(2)/25)*AV178+(1-EXP(-LN(2)/25))/(LN(2)/25)*Calculateur!AQ179*Calculateur!AS179*VLOOKUP('Données projet'!$B$10,Paramètres!$A$1:$I$89,3,0)*0.475*44/12</f>
        <v>0.26654153359297766</v>
      </c>
      <c r="AW179" s="21">
        <f>EXP(-LN(2)/2)*AW178+(1-EXP(-LN(2)/2))/(LN(2)/2)*AQ179*AT179*VLOOKUP('Données projet'!$B$10,Paramètres!$A$1:$I$89,3,0)*0.475*44/12</f>
        <v>2.3229183026905855E-21</v>
      </c>
      <c r="AX179" s="21">
        <f t="shared" si="166"/>
        <v>0.40720304453269718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-1.8089849618263545E-13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314.94704727988847</v>
      </c>
      <c r="BJ179" s="59">
        <f t="shared" si="146"/>
        <v>366.49199094166454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0.21730609908066398</v>
      </c>
      <c r="BQ179" s="21">
        <f>EXP(-LN(2)/25)*BQ178+(1-EXP(-LN(2)/25))/(LN(2)/25)*Calculateur!BL179*Calculateur!BN179*VLOOKUP('Données projet'!$B$11,Paramètres!$A$1:$I$89,3,0)*0.475*44/12</f>
        <v>0.44354366614842355</v>
      </c>
      <c r="BR179" s="21">
        <f>EXP(-LN(2)/2)*BR178+(1-EXP(-LN(2)/2))/(LN(2)/2)*BL179*BO179*VLOOKUP('Données projet'!$B$11,Paramètres!$A$1:$I$89,3,0)*0.475*44/12</f>
        <v>3.0566493182473342E-21</v>
      </c>
      <c r="BS179" s="22">
        <f t="shared" si="169"/>
        <v>0.66084976522908756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-1.8089849618263545E-13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314.94704727988847</v>
      </c>
      <c r="CE179" s="59">
        <f t="shared" si="148"/>
        <v>366.49199094166454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0.21730609908066398</v>
      </c>
      <c r="CL179" s="21">
        <f>EXP(-LN(2)/25)*CL178+(1-EXP(-LN(2)/25))/(LN(2)/25)*Calculateur!CG179*Calculateur!CI179*VLOOKUP('Données projet'!$B$12,Paramètres!$A$1:$I$89,3,0)*0.475*44/12</f>
        <v>0.44354366614842355</v>
      </c>
      <c r="CM179" s="21">
        <f>EXP(-LN(2)/2)*CM178+(1-EXP(-LN(2)/2))/(LN(2)/2)*CG179*CJ179*VLOOKUP('Données projet'!$B$12,Paramètres!$A$1:$I$89,3,0)*0.475*44/12</f>
        <v>3.0566493182473342E-21</v>
      </c>
      <c r="CN179" s="22">
        <f t="shared" si="172"/>
        <v>0.66084976522908756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4.5474735088646412E-13</v>
      </c>
      <c r="CU179" s="17">
        <f>CT179*VLOOKUP('Données projet'!$B$13,Paramètres!$A$1:$I$89,3,0)*VLOOKUP('Données projet'!$B$13,Paramètres!$A$1:$I$89,5,0)</f>
        <v>4.1145540308207271E-13</v>
      </c>
      <c r="CV179" s="13">
        <f t="shared" si="173"/>
        <v>5.2428527960910789E-12</v>
      </c>
      <c r="CW179" s="20">
        <f t="shared" si="174"/>
        <v>9.8479201135599071E-12</v>
      </c>
      <c r="CX179" s="59">
        <f t="shared" si="122"/>
        <v>293.33333333334315</v>
      </c>
      <c r="CY179" s="59">
        <f ca="1">AVERAGE(OFFSET($CX$3,0,0,'Données projet'!$E$13+1,1))-AVERAGE(OFFSET($H$3,0,0,'Données projet'!$E$13+1,1))</f>
        <v>221.7429870520005</v>
      </c>
      <c r="CZ179" s="59">
        <f t="shared" si="150"/>
        <v>182.2029938397186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-1.0345502232667058E-13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199.01551760562705</v>
      </c>
      <c r="T180" s="59">
        <f t="shared" si="142"/>
        <v>269.50915104901367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0.13684780230400995</v>
      </c>
      <c r="AA180" s="21">
        <f>EXP(-LN(2)/25)*AA179+(1-EXP(-LN(2)/25))/(LN(2)/25)*Calculateur!V180*Calculateur!X180*VLOOKUP('Données projet'!$B$9,Paramètres!$A$1:$I$89,3,0)*0.475*44/12</f>
        <v>0.2205886447723194</v>
      </c>
      <c r="AB180" s="21">
        <f>EXP(-LN(2)/2)*AB179+(1-EXP(-LN(2)/2))/(LN(2)/2)*V180*Y180*VLOOKUP('Données projet'!$B$9,Paramètres!$A$1:$I$89,3,0)*0.475*44/12</f>
        <v>1.0314842632140611E-22</v>
      </c>
      <c r="AC180" s="22">
        <f t="shared" si="163"/>
        <v>0.35743644707632938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553.99999999999955</v>
      </c>
      <c r="AJ180" s="13">
        <f>AI180*VLOOKUP('Données projet'!$B$10,Paramètres!$A$1:$I$89,3,0)*VLOOKUP('Données projet'!$B$10,Paramètres!$A$1:$I$89,5,0)</f>
        <v>331.29199999999975</v>
      </c>
      <c r="AK180" s="13">
        <f t="shared" si="164"/>
        <v>77.698110787752</v>
      </c>
      <c r="AL180" s="20">
        <f t="shared" si="165"/>
        <v>712.32444295533423</v>
      </c>
      <c r="AM180" s="59">
        <f t="shared" si="113"/>
        <v>1005.6577762886675</v>
      </c>
      <c r="AN180" s="59">
        <f ca="1">AVERAGE(OFFSET($AM$3,0,0,'Données projet'!$E$10+1,1))-AVERAGE(OFFSET($H$3,0,0,'Données projet'!$E$10+1,1))</f>
        <v>316.58509520829671</v>
      </c>
      <c r="AO180" s="59">
        <f t="shared" si="144"/>
        <v>240.71332110643596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0.13790322450524173</v>
      </c>
      <c r="AV180" s="21">
        <f>EXP(-LN(2)/25)*AV179+(1-EXP(-LN(2)/25))/(LN(2)/25)*Calculateur!AQ180*Calculateur!AS180*VLOOKUP('Données projet'!$B$10,Paramètres!$A$1:$I$89,3,0)*0.475*44/12</f>
        <v>0.2592529413400676</v>
      </c>
      <c r="AW180" s="21">
        <f>EXP(-LN(2)/2)*AW179+(1-EXP(-LN(2)/2))/(LN(2)/2)*AQ180*AT180*VLOOKUP('Données projet'!$B$10,Paramètres!$A$1:$I$89,3,0)*0.475*44/12</f>
        <v>1.6425512839748582E-21</v>
      </c>
      <c r="AX180" s="21">
        <f t="shared" si="166"/>
        <v>0.39715616584530933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-1.8089849618263545E-13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314.94704727988847</v>
      </c>
      <c r="BJ180" s="59">
        <f t="shared" si="146"/>
        <v>366.49199094166454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0.213044859021325</v>
      </c>
      <c r="BQ180" s="21">
        <f>EXP(-LN(2)/25)*BQ179+(1-EXP(-LN(2)/25))/(LN(2)/25)*Calculateur!BL180*Calculateur!BN180*VLOOKUP('Données projet'!$B$11,Paramètres!$A$1:$I$89,3,0)*0.475*44/12</f>
        <v>0.43141494127264723</v>
      </c>
      <c r="BR180" s="21">
        <f>EXP(-LN(2)/2)*BR179+(1-EXP(-LN(2)/2))/(LN(2)/2)*BL180*BO180*VLOOKUP('Données projet'!$B$11,Paramètres!$A$1:$I$89,3,0)*0.475*44/12</f>
        <v>2.1613774606419274E-21</v>
      </c>
      <c r="BS180" s="22">
        <f t="shared" si="169"/>
        <v>0.64445980029397221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-1.8089849618263545E-13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314.94704727988847</v>
      </c>
      <c r="CE180" s="59">
        <f t="shared" si="148"/>
        <v>366.49199094166454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0.213044859021325</v>
      </c>
      <c r="CL180" s="21">
        <f>EXP(-LN(2)/25)*CL179+(1-EXP(-LN(2)/25))/(LN(2)/25)*Calculateur!CG180*Calculateur!CI180*VLOOKUP('Données projet'!$B$12,Paramètres!$A$1:$I$89,3,0)*0.475*44/12</f>
        <v>0.43141494127264723</v>
      </c>
      <c r="CM180" s="21">
        <f>EXP(-LN(2)/2)*CM179+(1-EXP(-LN(2)/2))/(LN(2)/2)*CG180*CJ180*VLOOKUP('Données projet'!$B$12,Paramètres!$A$1:$I$89,3,0)*0.475*44/12</f>
        <v>2.1613774606419274E-21</v>
      </c>
      <c r="CN180" s="22">
        <f t="shared" si="172"/>
        <v>0.64445980029397221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4.5474735088646412E-13</v>
      </c>
      <c r="CU180" s="17">
        <f>CT180*VLOOKUP('Données projet'!$B$13,Paramètres!$A$1:$I$89,3,0)*VLOOKUP('Données projet'!$B$13,Paramètres!$A$1:$I$89,5,0)</f>
        <v>4.1145540308207271E-13</v>
      </c>
      <c r="CV180" s="13">
        <f t="shared" si="173"/>
        <v>5.2428527960910789E-12</v>
      </c>
      <c r="CW180" s="20">
        <f t="shared" si="174"/>
        <v>9.8479201135599071E-12</v>
      </c>
      <c r="CX180" s="59">
        <f t="shared" si="122"/>
        <v>293.33333333334315</v>
      </c>
      <c r="CY180" s="59">
        <f ca="1">AVERAGE(OFFSET($CX$3,0,0,'Données projet'!$E$13+1,1))-AVERAGE(OFFSET($H$3,0,0,'Données projet'!$E$13+1,1))</f>
        <v>221.7429870520005</v>
      </c>
      <c r="CZ180" s="59">
        <f t="shared" si="150"/>
        <v>182.2029938397186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-1.0345502232667058E-13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199.01551760562705</v>
      </c>
      <c r="T181" s="59">
        <f t="shared" si="142"/>
        <v>269.50915104901367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0.13416430036974586</v>
      </c>
      <c r="AA181" s="21">
        <f>EXP(-LN(2)/25)*AA180+(1-EXP(-LN(2)/25))/(LN(2)/25)*Calculateur!V181*Calculateur!X181*VLOOKUP('Données projet'!$B$9,Paramètres!$A$1:$I$89,3,0)*0.475*44/12</f>
        <v>0.21455663668076766</v>
      </c>
      <c r="AB181" s="21">
        <f>EXP(-LN(2)/2)*AB180+(1-EXP(-LN(2)/2))/(LN(2)/2)*V181*Y181*VLOOKUP('Données projet'!$B$9,Paramètres!$A$1:$I$89,3,0)*0.475*44/12</f>
        <v>7.2936951720587237E-23</v>
      </c>
      <c r="AC181" s="22">
        <f t="shared" si="163"/>
        <v>0.34872093705051355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553.99999999999955</v>
      </c>
      <c r="AJ181" s="13">
        <f>AI181*VLOOKUP('Données projet'!$B$10,Paramètres!$A$1:$I$89,3,0)*VLOOKUP('Données projet'!$B$10,Paramètres!$A$1:$I$89,5,0)</f>
        <v>331.29199999999975</v>
      </c>
      <c r="AK181" s="13">
        <f t="shared" si="164"/>
        <v>77.698110787752</v>
      </c>
      <c r="AL181" s="20">
        <f t="shared" si="165"/>
        <v>712.32444295533423</v>
      </c>
      <c r="AM181" s="59">
        <f t="shared" si="113"/>
        <v>1005.6577762886675</v>
      </c>
      <c r="AN181" s="59">
        <f ca="1">AVERAGE(OFFSET($AM$3,0,0,'Données projet'!$E$10+1,1))-AVERAGE(OFFSET($H$3,0,0,'Données projet'!$E$10+1,1))</f>
        <v>316.58509520829671</v>
      </c>
      <c r="AO181" s="59">
        <f t="shared" si="144"/>
        <v>240.71332110643596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0.13519902638535544</v>
      </c>
      <c r="AV181" s="21">
        <f>EXP(-LN(2)/25)*AV180+(1-EXP(-LN(2)/25))/(LN(2)/25)*Calculateur!AQ181*Calculateur!AS181*VLOOKUP('Données projet'!$B$10,Paramètres!$A$1:$I$89,3,0)*0.475*44/12</f>
        <v>0.25216365602560381</v>
      </c>
      <c r="AW181" s="21">
        <f>EXP(-LN(2)/2)*AW180+(1-EXP(-LN(2)/2))/(LN(2)/2)*AQ181*AT181*VLOOKUP('Données projet'!$B$10,Paramètres!$A$1:$I$89,3,0)*0.475*44/12</f>
        <v>1.1614591513452927E-21</v>
      </c>
      <c r="AX181" s="21">
        <f t="shared" si="166"/>
        <v>0.38736268241095928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-1.8089849618263545E-13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314.94704727988847</v>
      </c>
      <c r="BJ181" s="59">
        <f t="shared" si="146"/>
        <v>366.49199094166454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0.20886717928044987</v>
      </c>
      <c r="BQ181" s="21">
        <f>EXP(-LN(2)/25)*BQ180+(1-EXP(-LN(2)/25))/(LN(2)/25)*Calculateur!BL181*Calculateur!BN181*VLOOKUP('Données projet'!$B$11,Paramètres!$A$1:$I$89,3,0)*0.475*44/12</f>
        <v>0.41961787701642095</v>
      </c>
      <c r="BR181" s="21">
        <f>EXP(-LN(2)/2)*BR180+(1-EXP(-LN(2)/2))/(LN(2)/2)*BL181*BO181*VLOOKUP('Données projet'!$B$11,Paramètres!$A$1:$I$89,3,0)*0.475*44/12</f>
        <v>1.5283246591236671E-21</v>
      </c>
      <c r="BS181" s="22">
        <f t="shared" si="169"/>
        <v>0.62848505629687079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-1.8089849618263545E-13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314.94704727988847</v>
      </c>
      <c r="CE181" s="59">
        <f t="shared" si="148"/>
        <v>366.49199094166454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0.20886717928044987</v>
      </c>
      <c r="CL181" s="21">
        <f>EXP(-LN(2)/25)*CL180+(1-EXP(-LN(2)/25))/(LN(2)/25)*Calculateur!CG181*Calculateur!CI181*VLOOKUP('Données projet'!$B$12,Paramètres!$A$1:$I$89,3,0)*0.475*44/12</f>
        <v>0.41961787701642095</v>
      </c>
      <c r="CM181" s="21">
        <f>EXP(-LN(2)/2)*CM180+(1-EXP(-LN(2)/2))/(LN(2)/2)*CG181*CJ181*VLOOKUP('Données projet'!$B$12,Paramètres!$A$1:$I$89,3,0)*0.475*44/12</f>
        <v>1.5283246591236671E-21</v>
      </c>
      <c r="CN181" s="22">
        <f t="shared" si="172"/>
        <v>0.62848505629687079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4.5474735088646412E-13</v>
      </c>
      <c r="CU181" s="17">
        <f>CT181*VLOOKUP('Données projet'!$B$13,Paramètres!$A$1:$I$89,3,0)*VLOOKUP('Données projet'!$B$13,Paramètres!$A$1:$I$89,5,0)</f>
        <v>4.1145540308207271E-13</v>
      </c>
      <c r="CV181" s="13">
        <f t="shared" si="173"/>
        <v>5.2428527960910789E-12</v>
      </c>
      <c r="CW181" s="20">
        <f t="shared" si="174"/>
        <v>9.8479201135599071E-12</v>
      </c>
      <c r="CX181" s="59">
        <f t="shared" si="122"/>
        <v>293.33333333334315</v>
      </c>
      <c r="CY181" s="59">
        <f ca="1">AVERAGE(OFFSET($CX$3,0,0,'Données projet'!$E$13+1,1))-AVERAGE(OFFSET($H$3,0,0,'Données projet'!$E$13+1,1))</f>
        <v>221.7429870520005</v>
      </c>
      <c r="CZ181" s="59">
        <f t="shared" si="150"/>
        <v>182.2029938397186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-1.0345502232667058E-13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199.01551760562705</v>
      </c>
      <c r="T182" s="59">
        <f t="shared" si="142"/>
        <v>269.50915104901367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0.13153342027163811</v>
      </c>
      <c r="AA182" s="21">
        <f>EXP(-LN(2)/25)*AA181+(1-EXP(-LN(2)/25))/(LN(2)/25)*Calculateur!V182*Calculateur!X182*VLOOKUP('Données projet'!$B$9,Paramètres!$A$1:$I$89,3,0)*0.475*44/12</f>
        <v>0.20868957416768891</v>
      </c>
      <c r="AB182" s="21">
        <f>EXP(-LN(2)/2)*AB181+(1-EXP(-LN(2)/2))/(LN(2)/2)*V182*Y182*VLOOKUP('Données projet'!$B$9,Paramètres!$A$1:$I$89,3,0)*0.475*44/12</f>
        <v>5.1574213160703066E-23</v>
      </c>
      <c r="AC182" s="22">
        <f t="shared" si="163"/>
        <v>0.34022299443932702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553.99999999999955</v>
      </c>
      <c r="AJ182" s="13">
        <f>AI182*VLOOKUP('Données projet'!$B$10,Paramètres!$A$1:$I$89,3,0)*VLOOKUP('Données projet'!$B$10,Paramètres!$A$1:$I$89,5,0)</f>
        <v>331.29199999999975</v>
      </c>
      <c r="AK182" s="13">
        <f t="shared" si="164"/>
        <v>77.698110787752</v>
      </c>
      <c r="AL182" s="20">
        <f t="shared" si="165"/>
        <v>712.32444295533423</v>
      </c>
      <c r="AM182" s="59">
        <f t="shared" si="113"/>
        <v>1005.6577762886675</v>
      </c>
      <c r="AN182" s="59">
        <f ca="1">AVERAGE(OFFSET($AM$3,0,0,'Données projet'!$E$10+1,1))-AVERAGE(OFFSET($H$3,0,0,'Données projet'!$E$10+1,1))</f>
        <v>316.58509520829671</v>
      </c>
      <c r="AO182" s="59">
        <f t="shared" si="144"/>
        <v>240.71332110643596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0.13254785594120214</v>
      </c>
      <c r="AV182" s="21">
        <f>EXP(-LN(2)/25)*AV181+(1-EXP(-LN(2)/25))/(LN(2)/25)*Calculateur!AQ182*Calculateur!AS182*VLOOKUP('Données projet'!$B$10,Paramètres!$A$1:$I$89,3,0)*0.475*44/12</f>
        <v>0.24526822759087333</v>
      </c>
      <c r="AW182" s="21">
        <f>EXP(-LN(2)/2)*AW181+(1-EXP(-LN(2)/2))/(LN(2)/2)*AQ182*AT182*VLOOKUP('Données projet'!$B$10,Paramètres!$A$1:$I$89,3,0)*0.475*44/12</f>
        <v>8.2127564198742911E-22</v>
      </c>
      <c r="AX182" s="21">
        <f t="shared" si="166"/>
        <v>0.37781608353207546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-1.8089849618263545E-13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314.94704727988847</v>
      </c>
      <c r="BJ182" s="59">
        <f t="shared" si="146"/>
        <v>366.49199094166454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0.20477142129116027</v>
      </c>
      <c r="BQ182" s="21">
        <f>EXP(-LN(2)/25)*BQ181+(1-EXP(-LN(2)/25))/(LN(2)/25)*Calculateur!BL182*Calculateur!BN182*VLOOKUP('Données projet'!$B$11,Paramètres!$A$1:$I$89,3,0)*0.475*44/12</f>
        <v>0.40814340410266181</v>
      </c>
      <c r="BR182" s="21">
        <f>EXP(-LN(2)/2)*BR181+(1-EXP(-LN(2)/2))/(LN(2)/2)*BL182*BO182*VLOOKUP('Données projet'!$B$11,Paramètres!$A$1:$I$89,3,0)*0.475*44/12</f>
        <v>1.0806887303209637E-21</v>
      </c>
      <c r="BS182" s="22">
        <f t="shared" si="169"/>
        <v>0.61291482539382214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-1.8089849618263545E-13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314.94704727988847</v>
      </c>
      <c r="CE182" s="59">
        <f t="shared" si="148"/>
        <v>366.49199094166454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0.20477142129116027</v>
      </c>
      <c r="CL182" s="21">
        <f>EXP(-LN(2)/25)*CL181+(1-EXP(-LN(2)/25))/(LN(2)/25)*Calculateur!CG182*Calculateur!CI182*VLOOKUP('Données projet'!$B$12,Paramètres!$A$1:$I$89,3,0)*0.475*44/12</f>
        <v>0.40814340410266181</v>
      </c>
      <c r="CM182" s="21">
        <f>EXP(-LN(2)/2)*CM181+(1-EXP(-LN(2)/2))/(LN(2)/2)*CG182*CJ182*VLOOKUP('Données projet'!$B$12,Paramètres!$A$1:$I$89,3,0)*0.475*44/12</f>
        <v>1.0806887303209637E-21</v>
      </c>
      <c r="CN182" s="22">
        <f t="shared" si="172"/>
        <v>0.61291482539382214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4.5474735088646412E-13</v>
      </c>
      <c r="CU182" s="17">
        <f>CT182*VLOOKUP('Données projet'!$B$13,Paramètres!$A$1:$I$89,3,0)*VLOOKUP('Données projet'!$B$13,Paramètres!$A$1:$I$89,5,0)</f>
        <v>4.1145540308207271E-13</v>
      </c>
      <c r="CV182" s="13">
        <f t="shared" si="173"/>
        <v>5.2428527960910789E-12</v>
      </c>
      <c r="CW182" s="20">
        <f t="shared" si="174"/>
        <v>9.8479201135599071E-12</v>
      </c>
      <c r="CX182" s="59">
        <f t="shared" si="122"/>
        <v>293.33333333334315</v>
      </c>
      <c r="CY182" s="59">
        <f ca="1">AVERAGE(OFFSET($CX$3,0,0,'Données projet'!$E$13+1,1))-AVERAGE(OFFSET($H$3,0,0,'Données projet'!$E$13+1,1))</f>
        <v>221.7429870520005</v>
      </c>
      <c r="CZ182" s="59">
        <f t="shared" si="150"/>
        <v>182.2029938397186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-1.0345502232667058E-13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199.01551760562705</v>
      </c>
      <c r="T183" s="59">
        <f t="shared" si="142"/>
        <v>269.50915104901367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0.12895413012757584</v>
      </c>
      <c r="AA183" s="21">
        <f>EXP(-LN(2)/25)*AA182+(1-EXP(-LN(2)/25))/(LN(2)/25)*Calculateur!V183*Calculateur!X183*VLOOKUP('Données projet'!$B$9,Paramètres!$A$1:$I$89,3,0)*0.475*44/12</f>
        <v>0.2029829467875657</v>
      </c>
      <c r="AB183" s="21">
        <f>EXP(-LN(2)/2)*AB182+(1-EXP(-LN(2)/2))/(LN(2)/2)*V183*Y183*VLOOKUP('Données projet'!$B$9,Paramètres!$A$1:$I$89,3,0)*0.475*44/12</f>
        <v>3.6468475860293624E-23</v>
      </c>
      <c r="AC183" s="22">
        <f t="shared" si="163"/>
        <v>0.33193707691514152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553.99999999999955</v>
      </c>
      <c r="AJ183" s="13">
        <f>AI183*VLOOKUP('Données projet'!$B$10,Paramètres!$A$1:$I$89,3,0)*VLOOKUP('Données projet'!$B$10,Paramètres!$A$1:$I$89,5,0)</f>
        <v>331.29199999999975</v>
      </c>
      <c r="AK183" s="13">
        <f t="shared" si="164"/>
        <v>77.698110787752</v>
      </c>
      <c r="AL183" s="20">
        <f t="shared" si="165"/>
        <v>712.32444295533423</v>
      </c>
      <c r="AM183" s="59">
        <f t="shared" si="113"/>
        <v>1005.6577762886675</v>
      </c>
      <c r="AN183" s="59">
        <f ca="1">AVERAGE(OFFSET($AM$3,0,0,'Données projet'!$E$10+1,1))-AVERAGE(OFFSET($H$3,0,0,'Données projet'!$E$10+1,1))</f>
        <v>316.58509520829671</v>
      </c>
      <c r="AO183" s="59">
        <f t="shared" si="144"/>
        <v>240.71332110643596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0.1299486733324044</v>
      </c>
      <c r="AV183" s="21">
        <f>EXP(-LN(2)/25)*AV182+(1-EXP(-LN(2)/25))/(LN(2)/25)*Calculateur!AQ183*Calculateur!AS183*VLOOKUP('Données projet'!$B$10,Paramètres!$A$1:$I$89,3,0)*0.475*44/12</f>
        <v>0.23856135500930536</v>
      </c>
      <c r="AW183" s="21">
        <f>EXP(-LN(2)/2)*AW182+(1-EXP(-LN(2)/2))/(LN(2)/2)*AQ183*AT183*VLOOKUP('Données projet'!$B$10,Paramètres!$A$1:$I$89,3,0)*0.475*44/12</f>
        <v>5.8072957567264637E-22</v>
      </c>
      <c r="AX183" s="21">
        <f t="shared" si="166"/>
        <v>0.36851002834170976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-1.8089849618263545E-13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314.94704727988847</v>
      </c>
      <c r="BJ183" s="59">
        <f t="shared" si="146"/>
        <v>366.49199094166454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0.20075597861787492</v>
      </c>
      <c r="BQ183" s="21">
        <f>EXP(-LN(2)/25)*BQ182+(1-EXP(-LN(2)/25))/(LN(2)/25)*Calculateur!BL183*Calculateur!BN183*VLOOKUP('Données projet'!$B$11,Paramètres!$A$1:$I$89,3,0)*0.475*44/12</f>
        <v>0.39698270125414575</v>
      </c>
      <c r="BR183" s="21">
        <f>EXP(-LN(2)/2)*BR182+(1-EXP(-LN(2)/2))/(LN(2)/2)*BL183*BO183*VLOOKUP('Données projet'!$B$11,Paramètres!$A$1:$I$89,3,0)*0.475*44/12</f>
        <v>7.6416232956183355E-22</v>
      </c>
      <c r="BS183" s="22">
        <f t="shared" si="169"/>
        <v>0.59773867987202067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-1.8089849618263545E-13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314.94704727988847</v>
      </c>
      <c r="CE183" s="59">
        <f t="shared" si="148"/>
        <v>366.49199094166454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0.20075597861787492</v>
      </c>
      <c r="CL183" s="21">
        <f>EXP(-LN(2)/25)*CL182+(1-EXP(-LN(2)/25))/(LN(2)/25)*Calculateur!CG183*Calculateur!CI183*VLOOKUP('Données projet'!$B$12,Paramètres!$A$1:$I$89,3,0)*0.475*44/12</f>
        <v>0.39698270125414575</v>
      </c>
      <c r="CM183" s="21">
        <f>EXP(-LN(2)/2)*CM182+(1-EXP(-LN(2)/2))/(LN(2)/2)*CG183*CJ183*VLOOKUP('Données projet'!$B$12,Paramètres!$A$1:$I$89,3,0)*0.475*44/12</f>
        <v>7.6416232956183355E-22</v>
      </c>
      <c r="CN183" s="22">
        <f t="shared" si="172"/>
        <v>0.59773867987202067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4.5474735088646412E-13</v>
      </c>
      <c r="CU183" s="17">
        <f>CT183*VLOOKUP('Données projet'!$B$13,Paramètres!$A$1:$I$89,3,0)*VLOOKUP('Données projet'!$B$13,Paramètres!$A$1:$I$89,5,0)</f>
        <v>4.1145540308207271E-13</v>
      </c>
      <c r="CV183" s="13">
        <f t="shared" si="173"/>
        <v>5.2428527960910789E-12</v>
      </c>
      <c r="CW183" s="20">
        <f t="shared" si="174"/>
        <v>9.8479201135599071E-12</v>
      </c>
      <c r="CX183" s="59">
        <f t="shared" si="122"/>
        <v>293.33333333334315</v>
      </c>
      <c r="CY183" s="59">
        <f ca="1">AVERAGE(OFFSET($CX$3,0,0,'Données projet'!$E$13+1,1))-AVERAGE(OFFSET($H$3,0,0,'Données projet'!$E$13+1,1))</f>
        <v>221.7429870520005</v>
      </c>
      <c r="CZ183" s="59">
        <f t="shared" si="150"/>
        <v>182.2029938397186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-1.0345502232667058E-13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199.01551760562705</v>
      </c>
      <c r="T184" s="59">
        <f t="shared" si="142"/>
        <v>269.50915104901367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0.12642541829002699</v>
      </c>
      <c r="AA184" s="21">
        <f>EXP(-LN(2)/25)*AA183+(1-EXP(-LN(2)/25))/(LN(2)/25)*Calculateur!V184*Calculateur!X184*VLOOKUP('Données projet'!$B$9,Paramètres!$A$1:$I$89,3,0)*0.475*44/12</f>
        <v>0.19743236743325046</v>
      </c>
      <c r="AB184" s="21">
        <f>EXP(-LN(2)/2)*AB183+(1-EXP(-LN(2)/2))/(LN(2)/2)*V184*Y184*VLOOKUP('Données projet'!$B$9,Paramètres!$A$1:$I$89,3,0)*0.475*44/12</f>
        <v>2.5787106580351536E-23</v>
      </c>
      <c r="AC184" s="22">
        <f t="shared" si="163"/>
        <v>0.32385778572327745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553.99999999999955</v>
      </c>
      <c r="AJ184" s="13">
        <f>AI184*VLOOKUP('Données projet'!$B$10,Paramètres!$A$1:$I$89,3,0)*VLOOKUP('Données projet'!$B$10,Paramètres!$A$1:$I$89,5,0)</f>
        <v>331.29199999999975</v>
      </c>
      <c r="AK184" s="13">
        <f t="shared" si="164"/>
        <v>77.698110787752</v>
      </c>
      <c r="AL184" s="20">
        <f t="shared" si="165"/>
        <v>712.32444295533423</v>
      </c>
      <c r="AM184" s="59">
        <f t="shared" si="113"/>
        <v>1005.6577762886675</v>
      </c>
      <c r="AN184" s="59">
        <f ca="1">AVERAGE(OFFSET($AM$3,0,0,'Données projet'!$E$10+1,1))-AVERAGE(OFFSET($H$3,0,0,'Données projet'!$E$10+1,1))</f>
        <v>316.58509520829671</v>
      </c>
      <c r="AO184" s="59">
        <f t="shared" si="144"/>
        <v>240.71332110643596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0.12740045910922032</v>
      </c>
      <c r="AV184" s="21">
        <f>EXP(-LN(2)/25)*AV183+(1-EXP(-LN(2)/25))/(LN(2)/25)*Calculateur!AQ184*Calculateur!AS184*VLOOKUP('Données projet'!$B$10,Paramètres!$A$1:$I$89,3,0)*0.475*44/12</f>
        <v>0.23203788221117949</v>
      </c>
      <c r="AW184" s="21">
        <f>EXP(-LN(2)/2)*AW183+(1-EXP(-LN(2)/2))/(LN(2)/2)*AQ184*AT184*VLOOKUP('Données projet'!$B$10,Paramètres!$A$1:$I$89,3,0)*0.475*44/12</f>
        <v>4.1063782099371456E-22</v>
      </c>
      <c r="AX184" s="21">
        <f t="shared" si="166"/>
        <v>0.35943834132039981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-1.8089849618263545E-13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314.94704727988847</v>
      </c>
      <c r="BJ184" s="59">
        <f t="shared" si="146"/>
        <v>366.49199094166454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0.1968192763262345</v>
      </c>
      <c r="BQ184" s="21">
        <f>EXP(-LN(2)/25)*BQ183+(1-EXP(-LN(2)/25))/(LN(2)/25)*Calculateur!BL184*Calculateur!BN184*VLOOKUP('Données projet'!$B$11,Paramètres!$A$1:$I$89,3,0)*0.475*44/12</f>
        <v>0.38612718841193822</v>
      </c>
      <c r="BR184" s="21">
        <f>EXP(-LN(2)/2)*BR183+(1-EXP(-LN(2)/2))/(LN(2)/2)*BL184*BO184*VLOOKUP('Données projet'!$B$11,Paramètres!$A$1:$I$89,3,0)*0.475*44/12</f>
        <v>5.4034436516048184E-22</v>
      </c>
      <c r="BS184" s="22">
        <f t="shared" si="169"/>
        <v>0.58294646473817269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-1.8089849618263545E-13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314.94704727988847</v>
      </c>
      <c r="CE184" s="59">
        <f t="shared" si="148"/>
        <v>366.49199094166454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0.1968192763262345</v>
      </c>
      <c r="CL184" s="21">
        <f>EXP(-LN(2)/25)*CL183+(1-EXP(-LN(2)/25))/(LN(2)/25)*Calculateur!CG184*Calculateur!CI184*VLOOKUP('Données projet'!$B$12,Paramètres!$A$1:$I$89,3,0)*0.475*44/12</f>
        <v>0.38612718841193822</v>
      </c>
      <c r="CM184" s="21">
        <f>EXP(-LN(2)/2)*CM183+(1-EXP(-LN(2)/2))/(LN(2)/2)*CG184*CJ184*VLOOKUP('Données projet'!$B$12,Paramètres!$A$1:$I$89,3,0)*0.475*44/12</f>
        <v>5.4034436516048184E-22</v>
      </c>
      <c r="CN184" s="22">
        <f t="shared" si="172"/>
        <v>0.58294646473817269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4.5474735088646412E-13</v>
      </c>
      <c r="CU184" s="17">
        <f>CT184*VLOOKUP('Données projet'!$B$13,Paramètres!$A$1:$I$89,3,0)*VLOOKUP('Données projet'!$B$13,Paramètres!$A$1:$I$89,5,0)</f>
        <v>4.1145540308207271E-13</v>
      </c>
      <c r="CV184" s="13">
        <f t="shared" si="173"/>
        <v>5.2428527960910789E-12</v>
      </c>
      <c r="CW184" s="20">
        <f t="shared" si="174"/>
        <v>9.8479201135599071E-12</v>
      </c>
      <c r="CX184" s="59">
        <f t="shared" si="122"/>
        <v>293.33333333334315</v>
      </c>
      <c r="CY184" s="59">
        <f ca="1">AVERAGE(OFFSET($CX$3,0,0,'Données projet'!$E$13+1,1))-AVERAGE(OFFSET($H$3,0,0,'Données projet'!$E$13+1,1))</f>
        <v>221.7429870520005</v>
      </c>
      <c r="CZ184" s="59">
        <f t="shared" si="150"/>
        <v>182.2029938397186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-1.0345502232667058E-13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199.01551760562705</v>
      </c>
      <c r="T185" s="59">
        <f t="shared" si="142"/>
        <v>269.50915104901367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0.12394629294925055</v>
      </c>
      <c r="AA185" s="21">
        <f>EXP(-LN(2)/25)*AA184+(1-EXP(-LN(2)/25))/(LN(2)/25)*Calculateur!V185*Calculateur!X185*VLOOKUP('Données projet'!$B$9,Paramètres!$A$1:$I$89,3,0)*0.475*44/12</f>
        <v>0.19203356896327126</v>
      </c>
      <c r="AB185" s="21">
        <f>EXP(-LN(2)/2)*AB184+(1-EXP(-LN(2)/2))/(LN(2)/2)*V185*Y185*VLOOKUP('Données projet'!$B$9,Paramètres!$A$1:$I$89,3,0)*0.475*44/12</f>
        <v>1.8234237930146815E-23</v>
      </c>
      <c r="AC185" s="22">
        <f t="shared" si="163"/>
        <v>0.31597986191252181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553.99999999999955</v>
      </c>
      <c r="AJ185" s="13">
        <f>AI185*VLOOKUP('Données projet'!$B$10,Paramètres!$A$1:$I$89,3,0)*VLOOKUP('Données projet'!$B$10,Paramètres!$A$1:$I$89,5,0)</f>
        <v>331.29199999999975</v>
      </c>
      <c r="AK185" s="13">
        <f t="shared" si="164"/>
        <v>77.698110787752</v>
      </c>
      <c r="AL185" s="20">
        <f t="shared" si="165"/>
        <v>712.32444295533423</v>
      </c>
      <c r="AM185" s="59">
        <f t="shared" si="113"/>
        <v>1005.6577762886675</v>
      </c>
      <c r="AN185" s="59">
        <f ca="1">AVERAGE(OFFSET($AM$3,0,0,'Données projet'!$E$10+1,1))-AVERAGE(OFFSET($H$3,0,0,'Données projet'!$E$10+1,1))</f>
        <v>316.58509520829671</v>
      </c>
      <c r="AO185" s="59">
        <f t="shared" si="144"/>
        <v>240.71332110643596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0.12490221381269567</v>
      </c>
      <c r="AV185" s="21">
        <f>EXP(-LN(2)/25)*AV184+(1-EXP(-LN(2)/25))/(LN(2)/25)*Calculateur!AQ185*Calculateur!AS185*VLOOKUP('Données projet'!$B$10,Paramètres!$A$1:$I$89,3,0)*0.475*44/12</f>
        <v>0.22569279411977289</v>
      </c>
      <c r="AW185" s="21">
        <f>EXP(-LN(2)/2)*AW184+(1-EXP(-LN(2)/2))/(LN(2)/2)*AQ185*AT185*VLOOKUP('Données projet'!$B$10,Paramètres!$A$1:$I$89,3,0)*0.475*44/12</f>
        <v>2.9036478783632319E-22</v>
      </c>
      <c r="AX185" s="21">
        <f t="shared" si="166"/>
        <v>0.35059500793246856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-1.8089849618263545E-13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314.94704727988847</v>
      </c>
      <c r="BJ185" s="59">
        <f t="shared" si="146"/>
        <v>366.49199094166454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0.19295977036538187</v>
      </c>
      <c r="BQ185" s="21">
        <f>EXP(-LN(2)/25)*BQ184+(1-EXP(-LN(2)/25))/(LN(2)/25)*Calculateur!BL185*Calculateur!BN185*VLOOKUP('Données projet'!$B$11,Paramètres!$A$1:$I$89,3,0)*0.475*44/12</f>
        <v>0.37556852013926745</v>
      </c>
      <c r="BR185" s="21">
        <f>EXP(-LN(2)/2)*BR184+(1-EXP(-LN(2)/2))/(LN(2)/2)*BL185*BO185*VLOOKUP('Données projet'!$B$11,Paramètres!$A$1:$I$89,3,0)*0.475*44/12</f>
        <v>3.8208116478091677E-22</v>
      </c>
      <c r="BS185" s="22">
        <f t="shared" si="169"/>
        <v>0.56852829050464937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-1.8089849618263545E-13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314.94704727988847</v>
      </c>
      <c r="CE185" s="59">
        <f t="shared" si="148"/>
        <v>366.49199094166454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0.19295977036538187</v>
      </c>
      <c r="CL185" s="21">
        <f>EXP(-LN(2)/25)*CL184+(1-EXP(-LN(2)/25))/(LN(2)/25)*Calculateur!CG185*Calculateur!CI185*VLOOKUP('Données projet'!$B$12,Paramètres!$A$1:$I$89,3,0)*0.475*44/12</f>
        <v>0.37556852013926745</v>
      </c>
      <c r="CM185" s="21">
        <f>EXP(-LN(2)/2)*CM184+(1-EXP(-LN(2)/2))/(LN(2)/2)*CG185*CJ185*VLOOKUP('Données projet'!$B$12,Paramètres!$A$1:$I$89,3,0)*0.475*44/12</f>
        <v>3.8208116478091677E-22</v>
      </c>
      <c r="CN185" s="22">
        <f t="shared" si="172"/>
        <v>0.56852829050464937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4.5474735088646412E-13</v>
      </c>
      <c r="CU185" s="17">
        <f>CT185*VLOOKUP('Données projet'!$B$13,Paramètres!$A$1:$I$89,3,0)*VLOOKUP('Données projet'!$B$13,Paramètres!$A$1:$I$89,5,0)</f>
        <v>4.1145540308207271E-13</v>
      </c>
      <c r="CV185" s="13">
        <f t="shared" si="173"/>
        <v>5.2428527960910789E-12</v>
      </c>
      <c r="CW185" s="20">
        <f t="shared" si="174"/>
        <v>9.8479201135599071E-12</v>
      </c>
      <c r="CX185" s="59">
        <f t="shared" si="122"/>
        <v>293.33333333334315</v>
      </c>
      <c r="CY185" s="59">
        <f ca="1">AVERAGE(OFFSET($CX$3,0,0,'Données projet'!$E$13+1,1))-AVERAGE(OFFSET($H$3,0,0,'Données projet'!$E$13+1,1))</f>
        <v>221.7429870520005</v>
      </c>
      <c r="CZ185" s="59">
        <f t="shared" si="150"/>
        <v>182.2029938397186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-1.0345502232667058E-13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199.01551760562705</v>
      </c>
      <c r="T186" s="59">
        <f t="shared" si="142"/>
        <v>269.50915104901367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0.12151578174428959</v>
      </c>
      <c r="AA186" s="21">
        <f>EXP(-LN(2)/25)*AA185+(1-EXP(-LN(2)/25))/(LN(2)/25)*Calculateur!V186*Calculateur!X186*VLOOKUP('Données projet'!$B$9,Paramètres!$A$1:$I$89,3,0)*0.475*44/12</f>
        <v>0.18678240092136411</v>
      </c>
      <c r="AB186" s="21">
        <f>EXP(-LN(2)/2)*AB185+(1-EXP(-LN(2)/2))/(LN(2)/2)*V186*Y186*VLOOKUP('Données projet'!$B$9,Paramètres!$A$1:$I$89,3,0)*0.475*44/12</f>
        <v>1.2893553290175769E-23</v>
      </c>
      <c r="AC186" s="22">
        <f t="shared" si="163"/>
        <v>0.30829818266565368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553.99999999999955</v>
      </c>
      <c r="AJ186" s="13">
        <f>AI186*VLOOKUP('Données projet'!$B$10,Paramètres!$A$1:$I$89,3,0)*VLOOKUP('Données projet'!$B$10,Paramètres!$A$1:$I$89,5,0)</f>
        <v>331.29199999999975</v>
      </c>
      <c r="AK186" s="13">
        <f t="shared" si="164"/>
        <v>77.698110787752</v>
      </c>
      <c r="AL186" s="20">
        <f t="shared" si="165"/>
        <v>712.32444295533423</v>
      </c>
      <c r="AM186" s="59">
        <f t="shared" si="113"/>
        <v>1005.6577762886675</v>
      </c>
      <c r="AN186" s="59">
        <f ca="1">AVERAGE(OFFSET($AM$3,0,0,'Données projet'!$E$10+1,1))-AVERAGE(OFFSET($H$3,0,0,'Données projet'!$E$10+1,1))</f>
        <v>316.58509520829671</v>
      </c>
      <c r="AO186" s="59">
        <f t="shared" si="144"/>
        <v>240.71332110643596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0.1224529575826567</v>
      </c>
      <c r="AV186" s="21">
        <f>EXP(-LN(2)/25)*AV185+(1-EXP(-LN(2)/25))/(LN(2)/25)*Calculateur!AQ186*Calculateur!AS186*VLOOKUP('Données projet'!$B$10,Paramètres!$A$1:$I$89,3,0)*0.475*44/12</f>
        <v>0.21952121279589948</v>
      </c>
      <c r="AW186" s="21">
        <f>EXP(-LN(2)/2)*AW185+(1-EXP(-LN(2)/2))/(LN(2)/2)*AQ186*AT186*VLOOKUP('Données projet'!$B$10,Paramètres!$A$1:$I$89,3,0)*0.475*44/12</f>
        <v>2.0531891049685728E-22</v>
      </c>
      <c r="AX186" s="21">
        <f t="shared" si="166"/>
        <v>0.34197417037855615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-1.8089849618263545E-13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314.94704727988847</v>
      </c>
      <c r="BJ186" s="59">
        <f t="shared" si="146"/>
        <v>366.49199094166454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0.18917594696235535</v>
      </c>
      <c r="BQ186" s="21">
        <f>EXP(-LN(2)/25)*BQ185+(1-EXP(-LN(2)/25))/(LN(2)/25)*Calculateur!BL186*Calculateur!BN186*VLOOKUP('Données projet'!$B$11,Paramètres!$A$1:$I$89,3,0)*0.475*44/12</f>
        <v>0.36529857920576908</v>
      </c>
      <c r="BR186" s="21">
        <f>EXP(-LN(2)/2)*BR185+(1-EXP(-LN(2)/2))/(LN(2)/2)*BL186*BO186*VLOOKUP('Données projet'!$B$11,Paramètres!$A$1:$I$89,3,0)*0.475*44/12</f>
        <v>2.7017218258024092E-22</v>
      </c>
      <c r="BS186" s="22">
        <f t="shared" si="169"/>
        <v>0.55447452616812443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-1.8089849618263545E-13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314.94704727988847</v>
      </c>
      <c r="CE186" s="59">
        <f t="shared" si="148"/>
        <v>366.49199094166454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0.18917594696235535</v>
      </c>
      <c r="CL186" s="21">
        <f>EXP(-LN(2)/25)*CL185+(1-EXP(-LN(2)/25))/(LN(2)/25)*Calculateur!CG186*Calculateur!CI186*VLOOKUP('Données projet'!$B$12,Paramètres!$A$1:$I$89,3,0)*0.475*44/12</f>
        <v>0.36529857920576908</v>
      </c>
      <c r="CM186" s="21">
        <f>EXP(-LN(2)/2)*CM185+(1-EXP(-LN(2)/2))/(LN(2)/2)*CG186*CJ186*VLOOKUP('Données projet'!$B$12,Paramètres!$A$1:$I$89,3,0)*0.475*44/12</f>
        <v>2.7017218258024092E-22</v>
      </c>
      <c r="CN186" s="22">
        <f t="shared" si="172"/>
        <v>0.55447452616812443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4.5474735088646412E-13</v>
      </c>
      <c r="CU186" s="17">
        <f>CT186*VLOOKUP('Données projet'!$B$13,Paramètres!$A$1:$I$89,3,0)*VLOOKUP('Données projet'!$B$13,Paramètres!$A$1:$I$89,5,0)</f>
        <v>4.1145540308207271E-13</v>
      </c>
      <c r="CV186" s="13">
        <f t="shared" si="173"/>
        <v>5.2428527960910789E-12</v>
      </c>
      <c r="CW186" s="20">
        <f t="shared" si="174"/>
        <v>9.8479201135599071E-12</v>
      </c>
      <c r="CX186" s="59">
        <f t="shared" si="122"/>
        <v>293.33333333334315</v>
      </c>
      <c r="CY186" s="59">
        <f ca="1">AVERAGE(OFFSET($CX$3,0,0,'Données projet'!$E$13+1,1))-AVERAGE(OFFSET($H$3,0,0,'Données projet'!$E$13+1,1))</f>
        <v>221.7429870520005</v>
      </c>
      <c r="CZ186" s="59">
        <f t="shared" si="150"/>
        <v>182.2029938397186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-1.0345502232667058E-13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199.01551760562705</v>
      </c>
      <c r="T187" s="59">
        <f t="shared" si="142"/>
        <v>269.50915104901367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0.11913293138159246</v>
      </c>
      <c r="AA187" s="21">
        <f>EXP(-LN(2)/25)*AA186+(1-EXP(-LN(2)/25))/(LN(2)/25)*Calculateur!V187*Calculateur!X187*VLOOKUP('Données projet'!$B$9,Paramètres!$A$1:$I$89,3,0)*0.475*44/12</f>
        <v>0.18167482634570983</v>
      </c>
      <c r="AB187" s="21">
        <f>EXP(-LN(2)/2)*AB186+(1-EXP(-LN(2)/2))/(LN(2)/2)*V187*Y187*VLOOKUP('Données projet'!$B$9,Paramètres!$A$1:$I$89,3,0)*0.475*44/12</f>
        <v>9.117118965073409E-24</v>
      </c>
      <c r="AC187" s="22">
        <f t="shared" si="163"/>
        <v>0.30080775772730228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553.99999999999955</v>
      </c>
      <c r="AJ187" s="13">
        <f>AI187*VLOOKUP('Données projet'!$B$10,Paramètres!$A$1:$I$89,3,0)*VLOOKUP('Données projet'!$B$10,Paramètres!$A$1:$I$89,5,0)</f>
        <v>331.29199999999975</v>
      </c>
      <c r="AK187" s="13">
        <f t="shared" si="164"/>
        <v>77.698110787752</v>
      </c>
      <c r="AL187" s="20">
        <f t="shared" si="165"/>
        <v>712.32444295533423</v>
      </c>
      <c r="AM187" s="59">
        <f t="shared" si="113"/>
        <v>1005.6577762886675</v>
      </c>
      <c r="AN187" s="59">
        <f ca="1">AVERAGE(OFFSET($AM$3,0,0,'Données projet'!$E$10+1,1))-AVERAGE(OFFSET($H$3,0,0,'Données projet'!$E$10+1,1))</f>
        <v>316.58509520829671</v>
      </c>
      <c r="AO187" s="59">
        <f t="shared" si="144"/>
        <v>240.71332110643596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0.12005172977339001</v>
      </c>
      <c r="AV187" s="21">
        <f>EXP(-LN(2)/25)*AV186+(1-EXP(-LN(2)/25))/(LN(2)/25)*Calculateur!AQ187*Calculateur!AS187*VLOOKUP('Données projet'!$B$10,Paramètres!$A$1:$I$89,3,0)*0.475*44/12</f>
        <v>0.21351839368787676</v>
      </c>
      <c r="AW187" s="21">
        <f>EXP(-LN(2)/2)*AW186+(1-EXP(-LN(2)/2))/(LN(2)/2)*AQ187*AT187*VLOOKUP('Données projet'!$B$10,Paramètres!$A$1:$I$89,3,0)*0.475*44/12</f>
        <v>1.4518239391816159E-22</v>
      </c>
      <c r="AX187" s="21">
        <f t="shared" si="166"/>
        <v>0.3335701234612668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-1.8089849618263545E-13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314.94704727988847</v>
      </c>
      <c r="BJ187" s="59">
        <f t="shared" si="146"/>
        <v>366.49199094166454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0.18546632202835778</v>
      </c>
      <c r="BQ187" s="21">
        <f>EXP(-LN(2)/25)*BQ186+(1-EXP(-LN(2)/25))/(LN(2)/25)*Calculateur!BL187*Calculateur!BN187*VLOOKUP('Données projet'!$B$11,Paramètres!$A$1:$I$89,3,0)*0.475*44/12</f>
        <v>0.35530947034716992</v>
      </c>
      <c r="BR187" s="21">
        <f>EXP(-LN(2)/2)*BR186+(1-EXP(-LN(2)/2))/(LN(2)/2)*BL187*BO187*VLOOKUP('Données projet'!$B$11,Paramètres!$A$1:$I$89,3,0)*0.475*44/12</f>
        <v>1.9104058239045839E-22</v>
      </c>
      <c r="BS187" s="22">
        <f t="shared" si="169"/>
        <v>0.54077579237552764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-1.8089849618263545E-13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314.94704727988847</v>
      </c>
      <c r="CE187" s="59">
        <f t="shared" si="148"/>
        <v>366.49199094166454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0.18546632202835778</v>
      </c>
      <c r="CL187" s="21">
        <f>EXP(-LN(2)/25)*CL186+(1-EXP(-LN(2)/25))/(LN(2)/25)*Calculateur!CG187*Calculateur!CI187*VLOOKUP('Données projet'!$B$12,Paramètres!$A$1:$I$89,3,0)*0.475*44/12</f>
        <v>0.35530947034716992</v>
      </c>
      <c r="CM187" s="21">
        <f>EXP(-LN(2)/2)*CM186+(1-EXP(-LN(2)/2))/(LN(2)/2)*CG187*CJ187*VLOOKUP('Données projet'!$B$12,Paramètres!$A$1:$I$89,3,0)*0.475*44/12</f>
        <v>1.9104058239045839E-22</v>
      </c>
      <c r="CN187" s="22">
        <f t="shared" si="172"/>
        <v>0.54077579237552764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4.5474735088646412E-13</v>
      </c>
      <c r="CU187" s="17">
        <f>CT187*VLOOKUP('Données projet'!$B$13,Paramètres!$A$1:$I$89,3,0)*VLOOKUP('Données projet'!$B$13,Paramètres!$A$1:$I$89,5,0)</f>
        <v>4.1145540308207271E-13</v>
      </c>
      <c r="CV187" s="13">
        <f t="shared" si="173"/>
        <v>5.2428527960910789E-12</v>
      </c>
      <c r="CW187" s="20">
        <f t="shared" si="174"/>
        <v>9.8479201135599071E-12</v>
      </c>
      <c r="CX187" s="59">
        <f t="shared" si="122"/>
        <v>293.33333333334315</v>
      </c>
      <c r="CY187" s="59">
        <f ca="1">AVERAGE(OFFSET($CX$3,0,0,'Données projet'!$E$13+1,1))-AVERAGE(OFFSET($H$3,0,0,'Données projet'!$E$13+1,1))</f>
        <v>221.7429870520005</v>
      </c>
      <c r="CZ187" s="59">
        <f t="shared" si="150"/>
        <v>182.2029938397186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-1.0345502232667058E-13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199.01551760562705</v>
      </c>
      <c r="T188" s="59">
        <f t="shared" si="142"/>
        <v>269.50915104901367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0.11679680726111261</v>
      </c>
      <c r="AA188" s="21">
        <f>EXP(-LN(2)/25)*AA187+(1-EXP(-LN(2)/25))/(LN(2)/25)*Calculateur!V188*Calculateur!X188*VLOOKUP('Données projet'!$B$9,Paramètres!$A$1:$I$89,3,0)*0.475*44/12</f>
        <v>0.17670691866542251</v>
      </c>
      <c r="AB188" s="21">
        <f>EXP(-LN(2)/2)*AB187+(1-EXP(-LN(2)/2))/(LN(2)/2)*V188*Y188*VLOOKUP('Données projet'!$B$9,Paramètres!$A$1:$I$89,3,0)*0.475*44/12</f>
        <v>6.4467766450878861E-24</v>
      </c>
      <c r="AC188" s="22">
        <f t="shared" si="163"/>
        <v>0.29350372592653512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553.99999999999955</v>
      </c>
      <c r="AJ188" s="13">
        <f>AI188*VLOOKUP('Données projet'!$B$10,Paramètres!$A$1:$I$89,3,0)*VLOOKUP('Données projet'!$B$10,Paramètres!$A$1:$I$89,5,0)</f>
        <v>331.29199999999975</v>
      </c>
      <c r="AK188" s="13">
        <f t="shared" si="164"/>
        <v>77.698110787752</v>
      </c>
      <c r="AL188" s="20">
        <f t="shared" si="165"/>
        <v>712.32444295533423</v>
      </c>
      <c r="AM188" s="59">
        <f t="shared" si="113"/>
        <v>1005.6577762886675</v>
      </c>
      <c r="AN188" s="59">
        <f ca="1">AVERAGE(OFFSET($AM$3,0,0,'Données projet'!$E$10+1,1))-AVERAGE(OFFSET($H$3,0,0,'Données projet'!$E$10+1,1))</f>
        <v>316.58509520829671</v>
      </c>
      <c r="AO188" s="59">
        <f t="shared" si="144"/>
        <v>240.71332110643596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0.11769758857685869</v>
      </c>
      <c r="AV188" s="21">
        <f>EXP(-LN(2)/25)*AV187+(1-EXP(-LN(2)/25))/(LN(2)/25)*Calculateur!AQ188*Calculateur!AS188*VLOOKUP('Données projet'!$B$10,Paramètres!$A$1:$I$89,3,0)*0.475*44/12</f>
        <v>0.20767972198403745</v>
      </c>
      <c r="AW188" s="21">
        <f>EXP(-LN(2)/2)*AW187+(1-EXP(-LN(2)/2))/(LN(2)/2)*AQ188*AT188*VLOOKUP('Données projet'!$B$10,Paramètres!$A$1:$I$89,3,0)*0.475*44/12</f>
        <v>1.0265945524842864E-22</v>
      </c>
      <c r="AX188" s="21">
        <f t="shared" si="166"/>
        <v>0.32537731056089614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-1.8089849618263545E-13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314.94704727988847</v>
      </c>
      <c r="BJ188" s="59">
        <f t="shared" si="146"/>
        <v>366.49199094166454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0.18182944057666811</v>
      </c>
      <c r="BQ188" s="21">
        <f>EXP(-LN(2)/25)*BQ187+(1-EXP(-LN(2)/25))/(LN(2)/25)*Calculateur!BL188*Calculateur!BN188*VLOOKUP('Données projet'!$B$11,Paramètres!$A$1:$I$89,3,0)*0.475*44/12</f>
        <v>0.34559351419561357</v>
      </c>
      <c r="BR188" s="21">
        <f>EXP(-LN(2)/2)*BR187+(1-EXP(-LN(2)/2))/(LN(2)/2)*BL188*BO188*VLOOKUP('Données projet'!$B$11,Paramètres!$A$1:$I$89,3,0)*0.475*44/12</f>
        <v>1.3508609129012046E-22</v>
      </c>
      <c r="BS188" s="22">
        <f t="shared" si="169"/>
        <v>0.52742295477228174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-1.8089849618263545E-13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314.94704727988847</v>
      </c>
      <c r="CE188" s="59">
        <f t="shared" si="148"/>
        <v>366.49199094166454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0.18182944057666811</v>
      </c>
      <c r="CL188" s="21">
        <f>EXP(-LN(2)/25)*CL187+(1-EXP(-LN(2)/25))/(LN(2)/25)*Calculateur!CG188*Calculateur!CI188*VLOOKUP('Données projet'!$B$12,Paramètres!$A$1:$I$89,3,0)*0.475*44/12</f>
        <v>0.34559351419561357</v>
      </c>
      <c r="CM188" s="21">
        <f>EXP(-LN(2)/2)*CM187+(1-EXP(-LN(2)/2))/(LN(2)/2)*CG188*CJ188*VLOOKUP('Données projet'!$B$12,Paramètres!$A$1:$I$89,3,0)*0.475*44/12</f>
        <v>1.3508609129012046E-22</v>
      </c>
      <c r="CN188" s="22">
        <f t="shared" si="172"/>
        <v>0.52742295477228174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4.5474735088646412E-13</v>
      </c>
      <c r="CU188" s="17">
        <f>CT188*VLOOKUP('Données projet'!$B$13,Paramètres!$A$1:$I$89,3,0)*VLOOKUP('Données projet'!$B$13,Paramètres!$A$1:$I$89,5,0)</f>
        <v>4.1145540308207271E-13</v>
      </c>
      <c r="CV188" s="13">
        <f t="shared" si="173"/>
        <v>5.2428527960910789E-12</v>
      </c>
      <c r="CW188" s="20">
        <f t="shared" si="174"/>
        <v>9.8479201135599071E-12</v>
      </c>
      <c r="CX188" s="59">
        <f t="shared" si="122"/>
        <v>293.33333333334315</v>
      </c>
      <c r="CY188" s="59">
        <f ca="1">AVERAGE(OFFSET($CX$3,0,0,'Données projet'!$E$13+1,1))-AVERAGE(OFFSET($H$3,0,0,'Données projet'!$E$13+1,1))</f>
        <v>221.7429870520005</v>
      </c>
      <c r="CZ188" s="59">
        <f t="shared" si="150"/>
        <v>182.2029938397186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-1.0345502232667058E-13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199.01551760562705</v>
      </c>
      <c r="T189" s="59">
        <f t="shared" si="142"/>
        <v>269.50915104901367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0.11450649310974034</v>
      </c>
      <c r="AA189" s="21">
        <f>EXP(-LN(2)/25)*AA188+(1-EXP(-LN(2)/25))/(LN(2)/25)*Calculateur!V189*Calculateur!X189*VLOOKUP('Données projet'!$B$9,Paramètres!$A$1:$I$89,3,0)*0.475*44/12</f>
        <v>0.17187485868190355</v>
      </c>
      <c r="AB189" s="21">
        <f>EXP(-LN(2)/2)*AB188+(1-EXP(-LN(2)/2))/(LN(2)/2)*V189*Y189*VLOOKUP('Données projet'!$B$9,Paramètres!$A$1:$I$89,3,0)*0.475*44/12</f>
        <v>4.5585594825367052E-24</v>
      </c>
      <c r="AC189" s="22">
        <f t="shared" si="163"/>
        <v>0.28638135179164392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553.99999999999955</v>
      </c>
      <c r="AJ189" s="13">
        <f>AI189*VLOOKUP('Données projet'!$B$10,Paramètres!$A$1:$I$89,3,0)*VLOOKUP('Données projet'!$B$10,Paramètres!$A$1:$I$89,5,0)</f>
        <v>331.29199999999975</v>
      </c>
      <c r="AK189" s="13">
        <f t="shared" si="164"/>
        <v>77.698110787752</v>
      </c>
      <c r="AL189" s="20">
        <f t="shared" si="165"/>
        <v>712.32444295533423</v>
      </c>
      <c r="AM189" s="59">
        <f t="shared" si="113"/>
        <v>1005.6577762886675</v>
      </c>
      <c r="AN189" s="59">
        <f ca="1">AVERAGE(OFFSET($AM$3,0,0,'Données projet'!$E$10+1,1))-AVERAGE(OFFSET($H$3,0,0,'Données projet'!$E$10+1,1))</f>
        <v>316.58509520829671</v>
      </c>
      <c r="AO189" s="59">
        <f t="shared" si="144"/>
        <v>240.71332110643596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0.11538961065330701</v>
      </c>
      <c r="AV189" s="21">
        <f>EXP(-LN(2)/25)*AV188+(1-EXP(-LN(2)/25))/(LN(2)/25)*Calculateur!AQ189*Calculateur!AS189*VLOOKUP('Données projet'!$B$10,Paramètres!$A$1:$I$89,3,0)*0.475*44/12</f>
        <v>0.20200070906498202</v>
      </c>
      <c r="AW189" s="21">
        <f>EXP(-LN(2)/2)*AW188+(1-EXP(-LN(2)/2))/(LN(2)/2)*AQ189*AT189*VLOOKUP('Données projet'!$B$10,Paramètres!$A$1:$I$89,3,0)*0.475*44/12</f>
        <v>7.2591196959080796E-23</v>
      </c>
      <c r="AX189" s="21">
        <f t="shared" si="166"/>
        <v>0.31739031971828902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-1.8089849618263545E-13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314.94704727988847</v>
      </c>
      <c r="BJ189" s="59">
        <f t="shared" si="146"/>
        <v>366.49199094166454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0.17826387615196745</v>
      </c>
      <c r="BQ189" s="21">
        <f>EXP(-LN(2)/25)*BQ188+(1-EXP(-LN(2)/25))/(LN(2)/25)*Calculateur!BL189*Calculateur!BN189*VLOOKUP('Données projet'!$B$11,Paramètres!$A$1:$I$89,3,0)*0.475*44/12</f>
        <v>0.33614324137596147</v>
      </c>
      <c r="BR189" s="21">
        <f>EXP(-LN(2)/2)*BR188+(1-EXP(-LN(2)/2))/(LN(2)/2)*BL189*BO189*VLOOKUP('Données projet'!$B$11,Paramètres!$A$1:$I$89,3,0)*0.475*44/12</f>
        <v>9.5520291195229193E-23</v>
      </c>
      <c r="BS189" s="22">
        <f t="shared" si="169"/>
        <v>0.51440711752792889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-1.8089849618263545E-13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314.94704727988847</v>
      </c>
      <c r="CE189" s="59">
        <f t="shared" si="148"/>
        <v>366.49199094166454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0.17826387615196745</v>
      </c>
      <c r="CL189" s="21">
        <f>EXP(-LN(2)/25)*CL188+(1-EXP(-LN(2)/25))/(LN(2)/25)*Calculateur!CG189*Calculateur!CI189*VLOOKUP('Données projet'!$B$12,Paramètres!$A$1:$I$89,3,0)*0.475*44/12</f>
        <v>0.33614324137596147</v>
      </c>
      <c r="CM189" s="21">
        <f>EXP(-LN(2)/2)*CM188+(1-EXP(-LN(2)/2))/(LN(2)/2)*CG189*CJ189*VLOOKUP('Données projet'!$B$12,Paramètres!$A$1:$I$89,3,0)*0.475*44/12</f>
        <v>9.5520291195229193E-23</v>
      </c>
      <c r="CN189" s="22">
        <f t="shared" si="172"/>
        <v>0.51440711752792889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4.5474735088646412E-13</v>
      </c>
      <c r="CU189" s="17">
        <f>CT189*VLOOKUP('Données projet'!$B$13,Paramètres!$A$1:$I$89,3,0)*VLOOKUP('Données projet'!$B$13,Paramètres!$A$1:$I$89,5,0)</f>
        <v>4.1145540308207271E-13</v>
      </c>
      <c r="CV189" s="13">
        <f t="shared" si="173"/>
        <v>5.2428527960910789E-12</v>
      </c>
      <c r="CW189" s="20">
        <f t="shared" si="174"/>
        <v>9.8479201135599071E-12</v>
      </c>
      <c r="CX189" s="59">
        <f t="shared" si="122"/>
        <v>293.33333333334315</v>
      </c>
      <c r="CY189" s="59">
        <f ca="1">AVERAGE(OFFSET($CX$3,0,0,'Données projet'!$E$13+1,1))-AVERAGE(OFFSET($H$3,0,0,'Données projet'!$E$13+1,1))</f>
        <v>221.7429870520005</v>
      </c>
      <c r="CZ189" s="59">
        <f t="shared" si="150"/>
        <v>182.2029938397186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-1.0345502232667058E-13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199.01551760562705</v>
      </c>
      <c r="T190" s="59">
        <f t="shared" si="142"/>
        <v>269.50915104901367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0.1122610906219228</v>
      </c>
      <c r="AA190" s="21">
        <f>EXP(-LN(2)/25)*AA189+(1-EXP(-LN(2)/25))/(LN(2)/25)*Calculateur!V190*Calculateur!X190*VLOOKUP('Données projet'!$B$9,Paramètres!$A$1:$I$89,3,0)*0.475*44/12</f>
        <v>0.16717493163274091</v>
      </c>
      <c r="AB190" s="21">
        <f>EXP(-LN(2)/2)*AB189+(1-EXP(-LN(2)/2))/(LN(2)/2)*V190*Y190*VLOOKUP('Données projet'!$B$9,Paramètres!$A$1:$I$89,3,0)*0.475*44/12</f>
        <v>3.2233883225439434E-24</v>
      </c>
      <c r="AC190" s="22">
        <f t="shared" si="163"/>
        <v>0.27943602225466369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553.99999999999955</v>
      </c>
      <c r="AJ190" s="13">
        <f>AI190*VLOOKUP('Données projet'!$B$10,Paramètres!$A$1:$I$89,3,0)*VLOOKUP('Données projet'!$B$10,Paramètres!$A$1:$I$89,5,0)</f>
        <v>331.29199999999975</v>
      </c>
      <c r="AK190" s="13">
        <f t="shared" si="164"/>
        <v>77.698110787752</v>
      </c>
      <c r="AL190" s="20">
        <f t="shared" si="165"/>
        <v>712.32444295533423</v>
      </c>
      <c r="AM190" s="59">
        <f t="shared" si="113"/>
        <v>1005.6577762886675</v>
      </c>
      <c r="AN190" s="59">
        <f ca="1">AVERAGE(OFFSET($AM$3,0,0,'Données projet'!$E$10+1,1))-AVERAGE(OFFSET($H$3,0,0,'Données projet'!$E$10+1,1))</f>
        <v>316.58509520829671</v>
      </c>
      <c r="AO190" s="59">
        <f t="shared" si="144"/>
        <v>240.71332110643596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0.11312689076910865</v>
      </c>
      <c r="AV190" s="21">
        <f>EXP(-LN(2)/25)*AV189+(1-EXP(-LN(2)/25))/(LN(2)/25)*Calculateur!AQ190*Calculateur!AS190*VLOOKUP('Données projet'!$B$10,Paramètres!$A$1:$I$89,3,0)*0.475*44/12</f>
        <v>0.19647698905284447</v>
      </c>
      <c r="AW190" s="21">
        <f>EXP(-LN(2)/2)*AW189+(1-EXP(-LN(2)/2))/(LN(2)/2)*AQ190*AT190*VLOOKUP('Données projet'!$B$10,Paramètres!$A$1:$I$89,3,0)*0.475*44/12</f>
        <v>5.1329727624214319E-23</v>
      </c>
      <c r="AX190" s="21">
        <f t="shared" si="166"/>
        <v>0.30960387982195314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-1.8089849618263545E-13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314.94704727988847</v>
      </c>
      <c r="BJ190" s="59">
        <f t="shared" si="146"/>
        <v>366.49199094166454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0.17476823027085561</v>
      </c>
      <c r="BQ190" s="21">
        <f>EXP(-LN(2)/25)*BQ189+(1-EXP(-LN(2)/25))/(LN(2)/25)*Calculateur!BL190*Calculateur!BN190*VLOOKUP('Données projet'!$B$11,Paramètres!$A$1:$I$89,3,0)*0.475*44/12</f>
        <v>0.32695138676353103</v>
      </c>
      <c r="BR190" s="21">
        <f>EXP(-LN(2)/2)*BR189+(1-EXP(-LN(2)/2))/(LN(2)/2)*BL190*BO190*VLOOKUP('Données projet'!$B$11,Paramètres!$A$1:$I$89,3,0)*0.475*44/12</f>
        <v>6.754304564506023E-23</v>
      </c>
      <c r="BS190" s="22">
        <f t="shared" si="169"/>
        <v>0.50171961703438661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-1.8089849618263545E-13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314.94704727988847</v>
      </c>
      <c r="CE190" s="59">
        <f t="shared" si="148"/>
        <v>366.49199094166454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0.17476823027085561</v>
      </c>
      <c r="CL190" s="21">
        <f>EXP(-LN(2)/25)*CL189+(1-EXP(-LN(2)/25))/(LN(2)/25)*Calculateur!CG190*Calculateur!CI190*VLOOKUP('Données projet'!$B$12,Paramètres!$A$1:$I$89,3,0)*0.475*44/12</f>
        <v>0.32695138676353103</v>
      </c>
      <c r="CM190" s="21">
        <f>EXP(-LN(2)/2)*CM189+(1-EXP(-LN(2)/2))/(LN(2)/2)*CG190*CJ190*VLOOKUP('Données projet'!$B$12,Paramètres!$A$1:$I$89,3,0)*0.475*44/12</f>
        <v>6.754304564506023E-23</v>
      </c>
      <c r="CN190" s="22">
        <f t="shared" si="172"/>
        <v>0.50171961703438661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4.5474735088646412E-13</v>
      </c>
      <c r="CU190" s="17">
        <f>CT190*VLOOKUP('Données projet'!$B$13,Paramètres!$A$1:$I$89,3,0)*VLOOKUP('Données projet'!$B$13,Paramètres!$A$1:$I$89,5,0)</f>
        <v>4.1145540308207271E-13</v>
      </c>
      <c r="CV190" s="13">
        <f t="shared" si="173"/>
        <v>5.2428527960910789E-12</v>
      </c>
      <c r="CW190" s="20">
        <f t="shared" si="174"/>
        <v>9.8479201135599071E-12</v>
      </c>
      <c r="CX190" s="59">
        <f t="shared" si="122"/>
        <v>293.33333333334315</v>
      </c>
      <c r="CY190" s="59">
        <f ca="1">AVERAGE(OFFSET($CX$3,0,0,'Données projet'!$E$13+1,1))-AVERAGE(OFFSET($H$3,0,0,'Données projet'!$E$13+1,1))</f>
        <v>221.7429870520005</v>
      </c>
      <c r="CZ190" s="59">
        <f t="shared" si="150"/>
        <v>182.2029938397186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-1.0345502232667058E-13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199.01551760562705</v>
      </c>
      <c r="T191" s="59">
        <f t="shared" si="142"/>
        <v>269.50915104901367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0.11005971910733107</v>
      </c>
      <c r="AA191" s="21">
        <f>EXP(-LN(2)/25)*AA190+(1-EXP(-LN(2)/25))/(LN(2)/25)*Calculateur!V191*Calculateur!X191*VLOOKUP('Données projet'!$B$9,Paramètres!$A$1:$I$89,3,0)*0.475*44/12</f>
        <v>0.16260352433589603</v>
      </c>
      <c r="AB191" s="21">
        <f>EXP(-LN(2)/2)*AB190+(1-EXP(-LN(2)/2))/(LN(2)/2)*V191*Y191*VLOOKUP('Données projet'!$B$9,Paramètres!$A$1:$I$89,3,0)*0.475*44/12</f>
        <v>2.279279741268353E-24</v>
      </c>
      <c r="AC191" s="22">
        <f t="shared" si="163"/>
        <v>0.27266324344322712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553.99999999999955</v>
      </c>
      <c r="AJ191" s="13">
        <f>AI191*VLOOKUP('Données projet'!$B$10,Paramètres!$A$1:$I$89,3,0)*VLOOKUP('Données projet'!$B$10,Paramètres!$A$1:$I$89,5,0)</f>
        <v>331.29199999999975</v>
      </c>
      <c r="AK191" s="13">
        <f t="shared" si="164"/>
        <v>77.698110787752</v>
      </c>
      <c r="AL191" s="20">
        <f t="shared" si="165"/>
        <v>712.32444295533423</v>
      </c>
      <c r="AM191" s="59">
        <f t="shared" si="113"/>
        <v>1005.6577762886675</v>
      </c>
      <c r="AN191" s="59">
        <f ca="1">AVERAGE(OFFSET($AM$3,0,0,'Données projet'!$E$10+1,1))-AVERAGE(OFFSET($H$3,0,0,'Données projet'!$E$10+1,1))</f>
        <v>316.58509520829671</v>
      </c>
      <c r="AO191" s="59">
        <f t="shared" si="144"/>
        <v>240.71332110643596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0.11090854144171655</v>
      </c>
      <c r="AV191" s="21">
        <f>EXP(-LN(2)/25)*AV190+(1-EXP(-LN(2)/25))/(LN(2)/25)*Calculateur!AQ191*Calculateur!AS191*VLOOKUP('Données projet'!$B$10,Paramètres!$A$1:$I$89,3,0)*0.475*44/12</f>
        <v>0.19110431545491863</v>
      </c>
      <c r="AW191" s="21">
        <f>EXP(-LN(2)/2)*AW190+(1-EXP(-LN(2)/2))/(LN(2)/2)*AQ191*AT191*VLOOKUP('Données projet'!$B$10,Paramètres!$A$1:$I$89,3,0)*0.475*44/12</f>
        <v>3.6295598479540398E-23</v>
      </c>
      <c r="AX191" s="21">
        <f t="shared" si="166"/>
        <v>0.30201285689663515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-1.8089849618263545E-13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314.94704727988847</v>
      </c>
      <c r="BJ191" s="59">
        <f t="shared" si="146"/>
        <v>366.49199094166454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0.17134113187333891</v>
      </c>
      <c r="BQ191" s="21">
        <f>EXP(-LN(2)/25)*BQ190+(1-EXP(-LN(2)/25))/(LN(2)/25)*Calculateur!BL191*Calculateur!BN191*VLOOKUP('Données projet'!$B$11,Paramètres!$A$1:$I$89,3,0)*0.475*44/12</f>
        <v>0.31801088389885612</v>
      </c>
      <c r="BR191" s="21">
        <f>EXP(-LN(2)/2)*BR190+(1-EXP(-LN(2)/2))/(LN(2)/2)*BL191*BO191*VLOOKUP('Données projet'!$B$11,Paramètres!$A$1:$I$89,3,0)*0.475*44/12</f>
        <v>4.7760145597614597E-23</v>
      </c>
      <c r="BS191" s="22">
        <f t="shared" si="169"/>
        <v>0.489352015772195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-1.8089849618263545E-13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314.94704727988847</v>
      </c>
      <c r="CE191" s="59">
        <f t="shared" si="148"/>
        <v>366.49199094166454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0.17134113187333891</v>
      </c>
      <c r="CL191" s="21">
        <f>EXP(-LN(2)/25)*CL190+(1-EXP(-LN(2)/25))/(LN(2)/25)*Calculateur!CG191*Calculateur!CI191*VLOOKUP('Données projet'!$B$12,Paramètres!$A$1:$I$89,3,0)*0.475*44/12</f>
        <v>0.31801088389885612</v>
      </c>
      <c r="CM191" s="21">
        <f>EXP(-LN(2)/2)*CM190+(1-EXP(-LN(2)/2))/(LN(2)/2)*CG191*CJ191*VLOOKUP('Données projet'!$B$12,Paramètres!$A$1:$I$89,3,0)*0.475*44/12</f>
        <v>4.7760145597614597E-23</v>
      </c>
      <c r="CN191" s="22">
        <f t="shared" si="172"/>
        <v>0.489352015772195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4.5474735088646412E-13</v>
      </c>
      <c r="CU191" s="17">
        <f>CT191*VLOOKUP('Données projet'!$B$13,Paramètres!$A$1:$I$89,3,0)*VLOOKUP('Données projet'!$B$13,Paramètres!$A$1:$I$89,5,0)</f>
        <v>4.1145540308207271E-13</v>
      </c>
      <c r="CV191" s="13">
        <f t="shared" si="173"/>
        <v>5.2428527960910789E-12</v>
      </c>
      <c r="CW191" s="20">
        <f t="shared" si="174"/>
        <v>9.8479201135599071E-12</v>
      </c>
      <c r="CX191" s="59">
        <f t="shared" si="122"/>
        <v>293.33333333334315</v>
      </c>
      <c r="CY191" s="59">
        <f ca="1">AVERAGE(OFFSET($CX$3,0,0,'Données projet'!$E$13+1,1))-AVERAGE(OFFSET($H$3,0,0,'Données projet'!$E$13+1,1))</f>
        <v>221.7429870520005</v>
      </c>
      <c r="CZ191" s="59">
        <f t="shared" si="150"/>
        <v>182.2029938397186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-1.0345502232667058E-13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199.01551760562705</v>
      </c>
      <c r="T192" s="59">
        <f t="shared" si="142"/>
        <v>269.50915104901367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0.10790151514543644</v>
      </c>
      <c r="AA192" s="21">
        <f>EXP(-LN(2)/25)*AA191+(1-EXP(-LN(2)/25))/(LN(2)/25)*Calculateur!V192*Calculateur!X192*VLOOKUP('Données projet'!$B$9,Paramètres!$A$1:$I$89,3,0)*0.475*44/12</f>
        <v>0.15815712241198324</v>
      </c>
      <c r="AB192" s="21">
        <f>EXP(-LN(2)/2)*AB191+(1-EXP(-LN(2)/2))/(LN(2)/2)*V192*Y192*VLOOKUP('Données projet'!$B$9,Paramètres!$A$1:$I$89,3,0)*0.475*44/12</f>
        <v>1.6116941612719721E-24</v>
      </c>
      <c r="AC192" s="22">
        <f t="shared" si="163"/>
        <v>0.26605863755741965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553.99999999999955</v>
      </c>
      <c r="AJ192" s="13">
        <f>AI192*VLOOKUP('Données projet'!$B$10,Paramètres!$A$1:$I$89,3,0)*VLOOKUP('Données projet'!$B$10,Paramètres!$A$1:$I$89,5,0)</f>
        <v>331.29199999999975</v>
      </c>
      <c r="AK192" s="13">
        <f t="shared" si="164"/>
        <v>77.698110787752</v>
      </c>
      <c r="AL192" s="20">
        <f t="shared" si="165"/>
        <v>712.32444295533423</v>
      </c>
      <c r="AM192" s="59">
        <f t="shared" si="113"/>
        <v>1005.6577762886675</v>
      </c>
      <c r="AN192" s="59">
        <f ca="1">AVERAGE(OFFSET($AM$3,0,0,'Données projet'!$E$10+1,1))-AVERAGE(OFFSET($H$3,0,0,'Données projet'!$E$10+1,1))</f>
        <v>316.58509520829671</v>
      </c>
      <c r="AO192" s="59">
        <f t="shared" si="144"/>
        <v>240.71332110643596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0.10873369259157513</v>
      </c>
      <c r="AV192" s="21">
        <f>EXP(-LN(2)/25)*AV191+(1-EXP(-LN(2)/25))/(LN(2)/25)*Calculateur!AQ192*Calculateur!AS192*VLOOKUP('Données projet'!$B$10,Paramètres!$A$1:$I$89,3,0)*0.475*44/12</f>
        <v>0.18587855789906471</v>
      </c>
      <c r="AW192" s="21">
        <f>EXP(-LN(2)/2)*AW191+(1-EXP(-LN(2)/2))/(LN(2)/2)*AQ192*AT192*VLOOKUP('Données projet'!$B$10,Paramètres!$A$1:$I$89,3,0)*0.475*44/12</f>
        <v>2.566486381210716E-23</v>
      </c>
      <c r="AX192" s="21">
        <f t="shared" si="166"/>
        <v>0.29461225049063983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-1.8089849618263545E-13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314.94704727988847</v>
      </c>
      <c r="BJ192" s="59">
        <f t="shared" si="146"/>
        <v>366.49199094166454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0.1679812367850739</v>
      </c>
      <c r="BQ192" s="21">
        <f>EXP(-LN(2)/25)*BQ191+(1-EXP(-LN(2)/25))/(LN(2)/25)*Calculateur!BL192*Calculateur!BN192*VLOOKUP('Données projet'!$B$11,Paramètres!$A$1:$I$89,3,0)*0.475*44/12</f>
        <v>0.30931485955517635</v>
      </c>
      <c r="BR192" s="21">
        <f>EXP(-LN(2)/2)*BR191+(1-EXP(-LN(2)/2))/(LN(2)/2)*BL192*BO192*VLOOKUP('Données projet'!$B$11,Paramètres!$A$1:$I$89,3,0)*0.475*44/12</f>
        <v>3.3771522822530115E-23</v>
      </c>
      <c r="BS192" s="22">
        <f t="shared" si="169"/>
        <v>0.47729609634025028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-1.8089849618263545E-13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314.94704727988847</v>
      </c>
      <c r="CE192" s="59">
        <f t="shared" si="148"/>
        <v>366.49199094166454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0.1679812367850739</v>
      </c>
      <c r="CL192" s="21">
        <f>EXP(-LN(2)/25)*CL191+(1-EXP(-LN(2)/25))/(LN(2)/25)*Calculateur!CG192*Calculateur!CI192*VLOOKUP('Données projet'!$B$12,Paramètres!$A$1:$I$89,3,0)*0.475*44/12</f>
        <v>0.30931485955517635</v>
      </c>
      <c r="CM192" s="21">
        <f>EXP(-LN(2)/2)*CM191+(1-EXP(-LN(2)/2))/(LN(2)/2)*CG192*CJ192*VLOOKUP('Données projet'!$B$12,Paramètres!$A$1:$I$89,3,0)*0.475*44/12</f>
        <v>3.3771522822530115E-23</v>
      </c>
      <c r="CN192" s="22">
        <f t="shared" si="172"/>
        <v>0.47729609634025028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4.5474735088646412E-13</v>
      </c>
      <c r="CU192" s="17">
        <f>CT192*VLOOKUP('Données projet'!$B$13,Paramètres!$A$1:$I$89,3,0)*VLOOKUP('Données projet'!$B$13,Paramètres!$A$1:$I$89,5,0)</f>
        <v>4.1145540308207271E-13</v>
      </c>
      <c r="CV192" s="13">
        <f t="shared" si="173"/>
        <v>5.2428527960910789E-12</v>
      </c>
      <c r="CW192" s="20">
        <f t="shared" si="174"/>
        <v>9.8479201135599071E-12</v>
      </c>
      <c r="CX192" s="59">
        <f t="shared" si="122"/>
        <v>293.33333333334315</v>
      </c>
      <c r="CY192" s="59">
        <f ca="1">AVERAGE(OFFSET($CX$3,0,0,'Données projet'!$E$13+1,1))-AVERAGE(OFFSET($H$3,0,0,'Données projet'!$E$13+1,1))</f>
        <v>221.7429870520005</v>
      </c>
      <c r="CZ192" s="59">
        <f t="shared" si="150"/>
        <v>182.2029938397186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-1.0345502232667058E-13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199.01551760562705</v>
      </c>
      <c r="T193" s="59">
        <f t="shared" si="142"/>
        <v>269.50915104901367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0.10578563224686013</v>
      </c>
      <c r="AA193" s="21">
        <f>EXP(-LN(2)/25)*AA192+(1-EXP(-LN(2)/25))/(LN(2)/25)*Calculateur!V193*Calculateur!X193*VLOOKUP('Données projet'!$B$9,Paramètres!$A$1:$I$89,3,0)*0.475*44/12</f>
        <v>0.15383230758250596</v>
      </c>
      <c r="AB193" s="21">
        <f>EXP(-LN(2)/2)*AB192+(1-EXP(-LN(2)/2))/(LN(2)/2)*V193*Y193*VLOOKUP('Données projet'!$B$9,Paramètres!$A$1:$I$89,3,0)*0.475*44/12</f>
        <v>1.1396398706341767E-24</v>
      </c>
      <c r="AC193" s="22">
        <f t="shared" si="163"/>
        <v>0.2596179398293661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553.99999999999955</v>
      </c>
      <c r="AJ193" s="13">
        <f>AI193*VLOOKUP('Données projet'!$B$10,Paramètres!$A$1:$I$89,3,0)*VLOOKUP('Données projet'!$B$10,Paramètres!$A$1:$I$89,5,0)</f>
        <v>331.29199999999975</v>
      </c>
      <c r="AK193" s="13">
        <f t="shared" si="164"/>
        <v>77.698110787752</v>
      </c>
      <c r="AL193" s="20">
        <f t="shared" si="165"/>
        <v>712.32444295533423</v>
      </c>
      <c r="AM193" s="59">
        <f t="shared" si="113"/>
        <v>1005.6577762886675</v>
      </c>
      <c r="AN193" s="59">
        <f ca="1">AVERAGE(OFFSET($AM$3,0,0,'Données projet'!$E$10+1,1))-AVERAGE(OFFSET($H$3,0,0,'Données projet'!$E$10+1,1))</f>
        <v>316.58509520829671</v>
      </c>
      <c r="AO193" s="59">
        <f t="shared" si="144"/>
        <v>240.71332110643596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0.10660149120085817</v>
      </c>
      <c r="AV193" s="21">
        <f>EXP(-LN(2)/25)*AV192+(1-EXP(-LN(2)/25))/(LN(2)/25)*Calculateur!AQ193*Calculateur!AS193*VLOOKUP('Données projet'!$B$10,Paramètres!$A$1:$I$89,3,0)*0.475*44/12</f>
        <v>0.18079569895838626</v>
      </c>
      <c r="AW193" s="21">
        <f>EXP(-LN(2)/2)*AW192+(1-EXP(-LN(2)/2))/(LN(2)/2)*AQ193*AT193*VLOOKUP('Données projet'!$B$10,Paramètres!$A$1:$I$89,3,0)*0.475*44/12</f>
        <v>1.8147799239770199E-23</v>
      </c>
      <c r="AX193" s="21">
        <f t="shared" si="166"/>
        <v>0.28739719015924442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-1.8089849618263545E-13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314.94704727988847</v>
      </c>
      <c r="BJ193" s="59">
        <f t="shared" si="146"/>
        <v>366.49199094166454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0.1646872271901561</v>
      </c>
      <c r="BQ193" s="21">
        <f>EXP(-LN(2)/25)*BQ192+(1-EXP(-LN(2)/25))/(LN(2)/25)*Calculateur!BL193*Calculateur!BN193*VLOOKUP('Données projet'!$B$11,Paramètres!$A$1:$I$89,3,0)*0.475*44/12</f>
        <v>0.30085662845447853</v>
      </c>
      <c r="BR193" s="21">
        <f>EXP(-LN(2)/2)*BR192+(1-EXP(-LN(2)/2))/(LN(2)/2)*BL193*BO193*VLOOKUP('Données projet'!$B$11,Paramètres!$A$1:$I$89,3,0)*0.475*44/12</f>
        <v>2.3880072798807298E-23</v>
      </c>
      <c r="BS193" s="22">
        <f t="shared" si="169"/>
        <v>0.46554385564463463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-1.8089849618263545E-13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314.94704727988847</v>
      </c>
      <c r="CE193" s="59">
        <f t="shared" si="148"/>
        <v>366.49199094166454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0.1646872271901561</v>
      </c>
      <c r="CL193" s="21">
        <f>EXP(-LN(2)/25)*CL192+(1-EXP(-LN(2)/25))/(LN(2)/25)*Calculateur!CG193*Calculateur!CI193*VLOOKUP('Données projet'!$B$12,Paramètres!$A$1:$I$89,3,0)*0.475*44/12</f>
        <v>0.30085662845447853</v>
      </c>
      <c r="CM193" s="21">
        <f>EXP(-LN(2)/2)*CM192+(1-EXP(-LN(2)/2))/(LN(2)/2)*CG193*CJ193*VLOOKUP('Données projet'!$B$12,Paramètres!$A$1:$I$89,3,0)*0.475*44/12</f>
        <v>2.3880072798807298E-23</v>
      </c>
      <c r="CN193" s="22">
        <f t="shared" si="172"/>
        <v>0.46554385564463463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4.5474735088646412E-13</v>
      </c>
      <c r="CU193" s="17">
        <f>CT193*VLOOKUP('Données projet'!$B$13,Paramètres!$A$1:$I$89,3,0)*VLOOKUP('Données projet'!$B$13,Paramètres!$A$1:$I$89,5,0)</f>
        <v>4.1145540308207271E-13</v>
      </c>
      <c r="CV193" s="13">
        <f t="shared" si="173"/>
        <v>5.2428527960910789E-12</v>
      </c>
      <c r="CW193" s="20">
        <f t="shared" si="174"/>
        <v>9.8479201135599071E-12</v>
      </c>
      <c r="CX193" s="59">
        <f t="shared" si="122"/>
        <v>293.33333333334315</v>
      </c>
      <c r="CY193" s="59">
        <f ca="1">AVERAGE(OFFSET($CX$3,0,0,'Données projet'!$E$13+1,1))-AVERAGE(OFFSET($H$3,0,0,'Données projet'!$E$13+1,1))</f>
        <v>221.7429870520005</v>
      </c>
      <c r="CZ193" s="59">
        <f t="shared" si="150"/>
        <v>182.2029938397186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-1.0345502232667058E-13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199.01551760562705</v>
      </c>
      <c r="T194" s="59">
        <f t="shared" si="142"/>
        <v>269.50915104901367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0.10371124052136377</v>
      </c>
      <c r="AA194" s="21">
        <f>EXP(-LN(2)/25)*AA193+(1-EXP(-LN(2)/25))/(LN(2)/25)*Calculateur!V194*Calculateur!X194*VLOOKUP('Données projet'!$B$9,Paramètres!$A$1:$I$89,3,0)*0.475*44/12</f>
        <v>0.14962575504197287</v>
      </c>
      <c r="AB194" s="21">
        <f>EXP(-LN(2)/2)*AB193+(1-EXP(-LN(2)/2))/(LN(2)/2)*V194*Y194*VLOOKUP('Données projet'!$B$9,Paramètres!$A$1:$I$89,3,0)*0.475*44/12</f>
        <v>8.0584708063598613E-25</v>
      </c>
      <c r="AC194" s="22">
        <f t="shared" si="163"/>
        <v>0.25333699556333666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553.99999999999955</v>
      </c>
      <c r="AJ194" s="13">
        <f>AI194*VLOOKUP('Données projet'!$B$10,Paramètres!$A$1:$I$89,3,0)*VLOOKUP('Données projet'!$B$10,Paramètres!$A$1:$I$89,5,0)</f>
        <v>331.29199999999975</v>
      </c>
      <c r="AK194" s="13">
        <f t="shared" si="164"/>
        <v>77.698110787752</v>
      </c>
      <c r="AL194" s="20">
        <f t="shared" si="165"/>
        <v>712.32444295533423</v>
      </c>
      <c r="AM194" s="59">
        <f t="shared" si="113"/>
        <v>1005.6577762886675</v>
      </c>
      <c r="AN194" s="59">
        <f ca="1">AVERAGE(OFFSET($AM$3,0,0,'Données projet'!$E$10+1,1))-AVERAGE(OFFSET($H$3,0,0,'Données projet'!$E$10+1,1))</f>
        <v>316.58509520829671</v>
      </c>
      <c r="AO194" s="59">
        <f t="shared" si="144"/>
        <v>240.71332110643596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0.10451110097889874</v>
      </c>
      <c r="AV194" s="21">
        <f>EXP(-LN(2)/25)*AV193+(1-EXP(-LN(2)/25))/(LN(2)/25)*Calculateur!AQ194*Calculateur!AS194*VLOOKUP('Données projet'!$B$10,Paramètres!$A$1:$I$89,3,0)*0.475*44/12</f>
        <v>0.17585183106273661</v>
      </c>
      <c r="AW194" s="21">
        <f>EXP(-LN(2)/2)*AW193+(1-EXP(-LN(2)/2))/(LN(2)/2)*AQ194*AT194*VLOOKUP('Données projet'!$B$10,Paramètres!$A$1:$I$89,3,0)*0.475*44/12</f>
        <v>1.283243190605358E-23</v>
      </c>
      <c r="AX194" s="21">
        <f t="shared" si="166"/>
        <v>0.28036293204163532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-1.8089849618263545E-13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314.94704727988847</v>
      </c>
      <c r="BJ194" s="59">
        <f t="shared" si="146"/>
        <v>366.49199094166454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0.16145781111424717</v>
      </c>
      <c r="BQ194" s="21">
        <f>EXP(-LN(2)/25)*BQ193+(1-EXP(-LN(2)/25))/(LN(2)/25)*Calculateur!BL194*Calculateur!BN194*VLOOKUP('Données projet'!$B$11,Paramètres!$A$1:$I$89,3,0)*0.475*44/12</f>
        <v>0.29262968812802831</v>
      </c>
      <c r="BR194" s="21">
        <f>EXP(-LN(2)/2)*BR193+(1-EXP(-LN(2)/2))/(LN(2)/2)*BL194*BO194*VLOOKUP('Données projet'!$B$11,Paramètres!$A$1:$I$89,3,0)*0.475*44/12</f>
        <v>1.6885761411265058E-23</v>
      </c>
      <c r="BS194" s="22">
        <f t="shared" si="169"/>
        <v>0.45408749924227548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-1.8089849618263545E-13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314.94704727988847</v>
      </c>
      <c r="CE194" s="59">
        <f t="shared" si="148"/>
        <v>366.49199094166454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0.16145781111424717</v>
      </c>
      <c r="CL194" s="21">
        <f>EXP(-LN(2)/25)*CL193+(1-EXP(-LN(2)/25))/(LN(2)/25)*Calculateur!CG194*Calculateur!CI194*VLOOKUP('Données projet'!$B$12,Paramètres!$A$1:$I$89,3,0)*0.475*44/12</f>
        <v>0.29262968812802831</v>
      </c>
      <c r="CM194" s="21">
        <f>EXP(-LN(2)/2)*CM193+(1-EXP(-LN(2)/2))/(LN(2)/2)*CG194*CJ194*VLOOKUP('Données projet'!$B$12,Paramètres!$A$1:$I$89,3,0)*0.475*44/12</f>
        <v>1.6885761411265058E-23</v>
      </c>
      <c r="CN194" s="22">
        <f t="shared" si="172"/>
        <v>0.45408749924227548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4.5474735088646412E-13</v>
      </c>
      <c r="CU194" s="17">
        <f>CT194*VLOOKUP('Données projet'!$B$13,Paramètres!$A$1:$I$89,3,0)*VLOOKUP('Données projet'!$B$13,Paramètres!$A$1:$I$89,5,0)</f>
        <v>4.1145540308207271E-13</v>
      </c>
      <c r="CV194" s="13">
        <f t="shared" si="173"/>
        <v>5.2428527960910789E-12</v>
      </c>
      <c r="CW194" s="20">
        <f t="shared" si="174"/>
        <v>9.8479201135599071E-12</v>
      </c>
      <c r="CX194" s="59">
        <f t="shared" si="122"/>
        <v>293.33333333334315</v>
      </c>
      <c r="CY194" s="59">
        <f ca="1">AVERAGE(OFFSET($CX$3,0,0,'Données projet'!$E$13+1,1))-AVERAGE(OFFSET($H$3,0,0,'Données projet'!$E$13+1,1))</f>
        <v>221.7429870520005</v>
      </c>
      <c r="CZ194" s="59">
        <f t="shared" si="150"/>
        <v>182.2029938397186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-1.0345502232667058E-13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199.01551760562705</v>
      </c>
      <c r="T195" s="59">
        <f t="shared" si="142"/>
        <v>269.50915104901367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0.10167752635235038</v>
      </c>
      <c r="AA195" s="21">
        <f>EXP(-LN(2)/25)*AA194+(1-EXP(-LN(2)/25))/(LN(2)/25)*Calculateur!V195*Calculateur!X195*VLOOKUP('Données projet'!$B$9,Paramètres!$A$1:$I$89,3,0)*0.475*44/12</f>
        <v>0.14553423090187365</v>
      </c>
      <c r="AB195" s="21">
        <f>EXP(-LN(2)/2)*AB194+(1-EXP(-LN(2)/2))/(LN(2)/2)*V195*Y195*VLOOKUP('Données projet'!$B$9,Paramètres!$A$1:$I$89,3,0)*0.475*44/12</f>
        <v>5.6981993531708843E-25</v>
      </c>
      <c r="AC195" s="22">
        <f t="shared" si="163"/>
        <v>0.24721175725422401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553.99999999999955</v>
      </c>
      <c r="AJ195" s="13">
        <f>AI195*VLOOKUP('Données projet'!$B$10,Paramètres!$A$1:$I$89,3,0)*VLOOKUP('Données projet'!$B$10,Paramètres!$A$1:$I$89,5,0)</f>
        <v>331.29199999999975</v>
      </c>
      <c r="AK195" s="13">
        <f t="shared" si="164"/>
        <v>77.698110787752</v>
      </c>
      <c r="AL195" s="20">
        <f t="shared" si="165"/>
        <v>712.32444295533423</v>
      </c>
      <c r="AM195" s="59">
        <f t="shared" si="113"/>
        <v>1005.6577762886675</v>
      </c>
      <c r="AN195" s="59">
        <f ca="1">AVERAGE(OFFSET($AM$3,0,0,'Données projet'!$E$10+1,1))-AVERAGE(OFFSET($H$3,0,0,'Données projet'!$E$10+1,1))</f>
        <v>316.58509520829671</v>
      </c>
      <c r="AO195" s="59">
        <f t="shared" si="144"/>
        <v>240.71332110643596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0.10246170203417979</v>
      </c>
      <c r="AV195" s="21">
        <f>EXP(-LN(2)/25)*AV194+(1-EXP(-LN(2)/25))/(LN(2)/25)*Calculateur!AQ195*Calculateur!AS195*VLOOKUP('Données projet'!$B$10,Paramètres!$A$1:$I$89,3,0)*0.475*44/12</f>
        <v>0.17104315349468019</v>
      </c>
      <c r="AW195" s="21">
        <f>EXP(-LN(2)/2)*AW194+(1-EXP(-LN(2)/2))/(LN(2)/2)*AQ195*AT195*VLOOKUP('Données projet'!$B$10,Paramètres!$A$1:$I$89,3,0)*0.475*44/12</f>
        <v>9.0738996198850996E-24</v>
      </c>
      <c r="AX195" s="21">
        <f t="shared" si="166"/>
        <v>0.27350485552885995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-1.8089849618263545E-13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314.94704727988847</v>
      </c>
      <c r="BJ195" s="59">
        <f t="shared" si="146"/>
        <v>366.49199094166454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0.15829172191783752</v>
      </c>
      <c r="BQ195" s="21">
        <f>EXP(-LN(2)/25)*BQ194+(1-EXP(-LN(2)/25))/(LN(2)/25)*Calculateur!BL195*Calculateur!BN195*VLOOKUP('Données projet'!$B$11,Paramètres!$A$1:$I$89,3,0)*0.475*44/12</f>
        <v>0.28462771391744091</v>
      </c>
      <c r="BR195" s="21">
        <f>EXP(-LN(2)/2)*BR194+(1-EXP(-LN(2)/2))/(LN(2)/2)*BL195*BO195*VLOOKUP('Données projet'!$B$11,Paramètres!$A$1:$I$89,3,0)*0.475*44/12</f>
        <v>1.1940036399403649E-23</v>
      </c>
      <c r="BS195" s="22">
        <f t="shared" si="169"/>
        <v>0.44291943583527843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-1.8089849618263545E-13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314.94704727988847</v>
      </c>
      <c r="CE195" s="59">
        <f t="shared" si="148"/>
        <v>366.49199094166454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0.15829172191783752</v>
      </c>
      <c r="CL195" s="21">
        <f>EXP(-LN(2)/25)*CL194+(1-EXP(-LN(2)/25))/(LN(2)/25)*Calculateur!CG195*Calculateur!CI195*VLOOKUP('Données projet'!$B$12,Paramètres!$A$1:$I$89,3,0)*0.475*44/12</f>
        <v>0.28462771391744091</v>
      </c>
      <c r="CM195" s="21">
        <f>EXP(-LN(2)/2)*CM194+(1-EXP(-LN(2)/2))/(LN(2)/2)*CG195*CJ195*VLOOKUP('Données projet'!$B$12,Paramètres!$A$1:$I$89,3,0)*0.475*44/12</f>
        <v>1.1940036399403649E-23</v>
      </c>
      <c r="CN195" s="22">
        <f t="shared" si="172"/>
        <v>0.44291943583527843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4.5474735088646412E-13</v>
      </c>
      <c r="CU195" s="17">
        <f>CT195*VLOOKUP('Données projet'!$B$13,Paramètres!$A$1:$I$89,3,0)*VLOOKUP('Données projet'!$B$13,Paramètres!$A$1:$I$89,5,0)</f>
        <v>4.1145540308207271E-13</v>
      </c>
      <c r="CV195" s="13">
        <f t="shared" si="173"/>
        <v>5.2428527960910789E-12</v>
      </c>
      <c r="CW195" s="20">
        <f t="shared" si="174"/>
        <v>9.8479201135599071E-12</v>
      </c>
      <c r="CX195" s="59">
        <f t="shared" si="122"/>
        <v>293.33333333334315</v>
      </c>
      <c r="CY195" s="59">
        <f ca="1">AVERAGE(OFFSET($CX$3,0,0,'Données projet'!$E$13+1,1))-AVERAGE(OFFSET($H$3,0,0,'Données projet'!$E$13+1,1))</f>
        <v>221.7429870520005</v>
      </c>
      <c r="CZ195" s="59">
        <f t="shared" si="150"/>
        <v>182.2029938397186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-1.0345502232667058E-13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199.01551760562705</v>
      </c>
      <c r="T196" s="59">
        <f t="shared" si="142"/>
        <v>269.50915104901367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9.9683692077748173E-2</v>
      </c>
      <c r="AA196" s="21">
        <f>EXP(-LN(2)/25)*AA195+(1-EXP(-LN(2)/25))/(LN(2)/25)*Calculateur!V196*Calculateur!X196*VLOOKUP('Données projet'!$B$9,Paramètres!$A$1:$I$89,3,0)*0.475*44/12</f>
        <v>0.14155458970454934</v>
      </c>
      <c r="AB196" s="21">
        <f>EXP(-LN(2)/2)*AB195+(1-EXP(-LN(2)/2))/(LN(2)/2)*V196*Y196*VLOOKUP('Données projet'!$B$9,Paramètres!$A$1:$I$89,3,0)*0.475*44/12</f>
        <v>4.0292354031799316E-25</v>
      </c>
      <c r="AC196" s="22">
        <f t="shared" si="163"/>
        <v>0.2412382817822975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553.99999999999955</v>
      </c>
      <c r="AJ196" s="13">
        <f>AI196*VLOOKUP('Données projet'!$B$10,Paramètres!$A$1:$I$89,3,0)*VLOOKUP('Données projet'!$B$10,Paramètres!$A$1:$I$89,5,0)</f>
        <v>331.29199999999975</v>
      </c>
      <c r="AK196" s="13">
        <f t="shared" si="164"/>
        <v>77.698110787752</v>
      </c>
      <c r="AL196" s="20">
        <f t="shared" si="165"/>
        <v>712.32444295533423</v>
      </c>
      <c r="AM196" s="59">
        <f t="shared" ref="AM196:AM203" si="193">AL196+(AD196+AE196)*44/12</f>
        <v>1005.6577762886675</v>
      </c>
      <c r="AN196" s="59">
        <f ca="1">AVERAGE(OFFSET($AM$3,0,0,'Données projet'!$E$10+1,1))-AVERAGE(OFFSET($H$3,0,0,'Données projet'!$E$10+1,1))</f>
        <v>316.58509520829671</v>
      </c>
      <c r="AO196" s="59">
        <f t="shared" si="144"/>
        <v>240.71332110643596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0.10045249055275685</v>
      </c>
      <c r="AV196" s="21">
        <f>EXP(-LN(2)/25)*AV195+(1-EXP(-LN(2)/25))/(LN(2)/25)*Calculateur!AQ196*Calculateur!AS196*VLOOKUP('Données projet'!$B$10,Paramètres!$A$1:$I$89,3,0)*0.475*44/12</f>
        <v>0.16636596946759963</v>
      </c>
      <c r="AW196" s="21">
        <f>EXP(-LN(2)/2)*AW195+(1-EXP(-LN(2)/2))/(LN(2)/2)*AQ196*AT196*VLOOKUP('Données projet'!$B$10,Paramètres!$A$1:$I$89,3,0)*0.475*44/12</f>
        <v>6.4162159530267899E-24</v>
      </c>
      <c r="AX196" s="21">
        <f t="shared" si="166"/>
        <v>0.26681846002035647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-1.8089849618263545E-13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314.94704727988847</v>
      </c>
      <c r="BJ196" s="59">
        <f t="shared" si="146"/>
        <v>366.49199094166454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0.15518771779944573</v>
      </c>
      <c r="BQ196" s="21">
        <f>EXP(-LN(2)/25)*BQ195+(1-EXP(-LN(2)/25))/(LN(2)/25)*Calculateur!BL196*Calculateur!BN196*VLOOKUP('Données projet'!$B$11,Paramètres!$A$1:$I$89,3,0)*0.475*44/12</f>
        <v>0.27684455411244752</v>
      </c>
      <c r="BR196" s="21">
        <f>EXP(-LN(2)/2)*BR195+(1-EXP(-LN(2)/2))/(LN(2)/2)*BL196*BO196*VLOOKUP('Données projet'!$B$11,Paramètres!$A$1:$I$89,3,0)*0.475*44/12</f>
        <v>8.4428807056325288E-24</v>
      </c>
      <c r="BS196" s="22">
        <f t="shared" si="169"/>
        <v>0.43203227191189325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-1.8089849618263545E-13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314.94704727988847</v>
      </c>
      <c r="CE196" s="59">
        <f t="shared" si="148"/>
        <v>366.49199094166454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0.15518771779944573</v>
      </c>
      <c r="CL196" s="21">
        <f>EXP(-LN(2)/25)*CL195+(1-EXP(-LN(2)/25))/(LN(2)/25)*Calculateur!CG196*Calculateur!CI196*VLOOKUP('Données projet'!$B$12,Paramètres!$A$1:$I$89,3,0)*0.475*44/12</f>
        <v>0.27684455411244752</v>
      </c>
      <c r="CM196" s="21">
        <f>EXP(-LN(2)/2)*CM195+(1-EXP(-LN(2)/2))/(LN(2)/2)*CG196*CJ196*VLOOKUP('Données projet'!$B$12,Paramètres!$A$1:$I$89,3,0)*0.475*44/12</f>
        <v>8.4428807056325288E-24</v>
      </c>
      <c r="CN196" s="22">
        <f t="shared" si="172"/>
        <v>0.43203227191189325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4.5474735088646412E-13</v>
      </c>
      <c r="CU196" s="17">
        <f>CT196*VLOOKUP('Données projet'!$B$13,Paramètres!$A$1:$I$89,3,0)*VLOOKUP('Données projet'!$B$13,Paramètres!$A$1:$I$89,5,0)</f>
        <v>4.1145540308207271E-13</v>
      </c>
      <c r="CV196" s="13">
        <f t="shared" si="173"/>
        <v>5.2428527960910789E-12</v>
      </c>
      <c r="CW196" s="20">
        <f t="shared" si="174"/>
        <v>9.8479201135599071E-12</v>
      </c>
      <c r="CX196" s="59">
        <f t="shared" ref="CX196:CX203" si="196">CW196+(CO196+CP196)*44/12</f>
        <v>293.33333333334315</v>
      </c>
      <c r="CY196" s="59">
        <f ca="1">AVERAGE(OFFSET($CX$3,0,0,'Données projet'!$E$13+1,1))-AVERAGE(OFFSET($H$3,0,0,'Données projet'!$E$13+1,1))</f>
        <v>221.7429870520005</v>
      </c>
      <c r="CZ196" s="59">
        <f t="shared" si="150"/>
        <v>182.2029938397186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-1.0345502232667058E-13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199.01551760562705</v>
      </c>
      <c r="T197" s="59">
        <f t="shared" ref="T197:T203" si="204">$T$3</f>
        <v>269.50915104901367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9.7728955677152091E-2</v>
      </c>
      <c r="AA197" s="21">
        <f>EXP(-LN(2)/25)*AA196+(1-EXP(-LN(2)/25))/(LN(2)/25)*Calculateur!V197*Calculateur!X197*VLOOKUP('Données projet'!$B$9,Paramètres!$A$1:$I$89,3,0)*0.475*44/12</f>
        <v>0.13768377200504608</v>
      </c>
      <c r="AB197" s="21">
        <f>EXP(-LN(2)/2)*AB196+(1-EXP(-LN(2)/2))/(LN(2)/2)*V197*Y197*VLOOKUP('Données projet'!$B$9,Paramètres!$A$1:$I$89,3,0)*0.475*44/12</f>
        <v>2.8490996765854426E-25</v>
      </c>
      <c r="AC197" s="22">
        <f t="shared" si="163"/>
        <v>0.23541272768219818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553.99999999999955</v>
      </c>
      <c r="AJ197" s="13">
        <f>AI197*VLOOKUP('Données projet'!$B$10,Paramètres!$A$1:$I$89,3,0)*VLOOKUP('Données projet'!$B$10,Paramètres!$A$1:$I$89,5,0)</f>
        <v>331.29199999999975</v>
      </c>
      <c r="AK197" s="13">
        <f t="shared" si="164"/>
        <v>77.698110787752</v>
      </c>
      <c r="AL197" s="20">
        <f t="shared" si="165"/>
        <v>712.32444295533423</v>
      </c>
      <c r="AM197" s="59">
        <f t="shared" si="193"/>
        <v>1005.6577762886675</v>
      </c>
      <c r="AN197" s="59">
        <f ca="1">AVERAGE(OFFSET($AM$3,0,0,'Données projet'!$E$10+1,1))-AVERAGE(OFFSET($H$3,0,0,'Données projet'!$E$10+1,1))</f>
        <v>316.58509520829671</v>
      </c>
      <c r="AO197" s="59">
        <f t="shared" ref="AO197:AO203" si="205">$AO$3</f>
        <v>240.71332110643596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9.8482678482986613E-2</v>
      </c>
      <c r="AV197" s="21">
        <f>EXP(-LN(2)/25)*AV196+(1-EXP(-LN(2)/25))/(LN(2)/25)*Calculateur!AQ197*Calculateur!AS197*VLOOKUP('Données projet'!$B$10,Paramètres!$A$1:$I$89,3,0)*0.475*44/12</f>
        <v>0.16181668328370202</v>
      </c>
      <c r="AW197" s="21">
        <f>EXP(-LN(2)/2)*AW196+(1-EXP(-LN(2)/2))/(LN(2)/2)*AQ197*AT197*VLOOKUP('Données projet'!$B$10,Paramètres!$A$1:$I$89,3,0)*0.475*44/12</f>
        <v>4.5369498099425498E-24</v>
      </c>
      <c r="AX197" s="21">
        <f t="shared" si="166"/>
        <v>0.26029936176668866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-1.8089849618263545E-13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314.94704727988847</v>
      </c>
      <c r="BJ197" s="59">
        <f t="shared" ref="BJ197:BJ203" si="206">$BJ$3</f>
        <v>366.49199094166454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0.15214458130856004</v>
      </c>
      <c r="BQ197" s="21">
        <f>EXP(-LN(2)/25)*BQ196+(1-EXP(-LN(2)/25))/(LN(2)/25)*Calculateur!BL197*Calculateur!BN197*VLOOKUP('Données projet'!$B$11,Paramètres!$A$1:$I$89,3,0)*0.475*44/12</f>
        <v>0.26927422522162026</v>
      </c>
      <c r="BR197" s="21">
        <f>EXP(-LN(2)/2)*BR196+(1-EXP(-LN(2)/2))/(LN(2)/2)*BL197*BO197*VLOOKUP('Données projet'!$B$11,Paramètres!$A$1:$I$89,3,0)*0.475*44/12</f>
        <v>5.9700181997018246E-24</v>
      </c>
      <c r="BS197" s="22">
        <f t="shared" si="169"/>
        <v>0.42141880653018027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-1.8089849618263545E-13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314.94704727988847</v>
      </c>
      <c r="CE197" s="59">
        <f t="shared" ref="CE197:CE203" si="207">$CE$3</f>
        <v>366.49199094166454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0.15214458130856004</v>
      </c>
      <c r="CL197" s="21">
        <f>EXP(-LN(2)/25)*CL196+(1-EXP(-LN(2)/25))/(LN(2)/25)*Calculateur!CG197*Calculateur!CI197*VLOOKUP('Données projet'!$B$12,Paramètres!$A$1:$I$89,3,0)*0.475*44/12</f>
        <v>0.26927422522162026</v>
      </c>
      <c r="CM197" s="21">
        <f>EXP(-LN(2)/2)*CM196+(1-EXP(-LN(2)/2))/(LN(2)/2)*CG197*CJ197*VLOOKUP('Données projet'!$B$12,Paramètres!$A$1:$I$89,3,0)*0.475*44/12</f>
        <v>5.9700181997018246E-24</v>
      </c>
      <c r="CN197" s="22">
        <f t="shared" si="172"/>
        <v>0.42141880653018027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4.5474735088646412E-13</v>
      </c>
      <c r="CU197" s="17">
        <f>CT197*VLOOKUP('Données projet'!$B$13,Paramètres!$A$1:$I$89,3,0)*VLOOKUP('Données projet'!$B$13,Paramètres!$A$1:$I$89,5,0)</f>
        <v>4.1145540308207271E-13</v>
      </c>
      <c r="CV197" s="13">
        <f t="shared" si="173"/>
        <v>5.2428527960910789E-12</v>
      </c>
      <c r="CW197" s="20">
        <f t="shared" si="174"/>
        <v>9.8479201135599071E-12</v>
      </c>
      <c r="CX197" s="59">
        <f t="shared" si="196"/>
        <v>293.33333333334315</v>
      </c>
      <c r="CY197" s="59">
        <f ca="1">AVERAGE(OFFSET($CX$3,0,0,'Données projet'!$E$13+1,1))-AVERAGE(OFFSET($H$3,0,0,'Données projet'!$E$13+1,1))</f>
        <v>221.7429870520005</v>
      </c>
      <c r="CZ197" s="59">
        <f t="shared" ref="CZ197:CZ203" si="208">$CZ$3</f>
        <v>182.2029938397186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-1.0345502232667058E-13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199.01551760562705</v>
      </c>
      <c r="T198" s="59">
        <f t="shared" si="204"/>
        <v>269.50915104901367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9.5812550465100219E-2</v>
      </c>
      <c r="AA198" s="21">
        <f>EXP(-LN(2)/25)*AA197+(1-EXP(-LN(2)/25))/(LN(2)/25)*Calculateur!V198*Calculateur!X198*VLOOKUP('Données projet'!$B$9,Paramètres!$A$1:$I$89,3,0)*0.475*44/12</f>
        <v>0.1339188020190932</v>
      </c>
      <c r="AB198" s="21">
        <f>EXP(-LN(2)/2)*AB197+(1-EXP(-LN(2)/2))/(LN(2)/2)*V198*Y198*VLOOKUP('Données projet'!$B$9,Paramètres!$A$1:$I$89,3,0)*0.475*44/12</f>
        <v>2.014617701589966E-25</v>
      </c>
      <c r="AC198" s="22">
        <f t="shared" si="163"/>
        <v>0.22973135248419341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553.99999999999955</v>
      </c>
      <c r="AJ198" s="13">
        <f>AI198*VLOOKUP('Données projet'!$B$10,Paramètres!$A$1:$I$89,3,0)*VLOOKUP('Données projet'!$B$10,Paramètres!$A$1:$I$89,5,0)</f>
        <v>331.29199999999975</v>
      </c>
      <c r="AK198" s="13">
        <f t="shared" si="164"/>
        <v>77.698110787752</v>
      </c>
      <c r="AL198" s="20">
        <f t="shared" si="165"/>
        <v>712.32444295533423</v>
      </c>
      <c r="AM198" s="59">
        <f t="shared" si="193"/>
        <v>1005.6577762886675</v>
      </c>
      <c r="AN198" s="59">
        <f ca="1">AVERAGE(OFFSET($AM$3,0,0,'Données projet'!$E$10+1,1))-AVERAGE(OFFSET($H$3,0,0,'Données projet'!$E$10+1,1))</f>
        <v>316.58509520829671</v>
      </c>
      <c r="AO198" s="59">
        <f t="shared" si="205"/>
        <v>240.71332110643596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9.6551493226437843E-2</v>
      </c>
      <c r="AV198" s="21">
        <f>EXP(-LN(2)/25)*AV197+(1-EXP(-LN(2)/25))/(LN(2)/25)*Calculateur!AQ198*Calculateur!AS198*VLOOKUP('Données projet'!$B$10,Paramètres!$A$1:$I$89,3,0)*0.475*44/12</f>
        <v>0.15739179756973964</v>
      </c>
      <c r="AW198" s="21">
        <f>EXP(-LN(2)/2)*AW197+(1-EXP(-LN(2)/2))/(LN(2)/2)*AQ198*AT198*VLOOKUP('Données projet'!$B$10,Paramètres!$A$1:$I$89,3,0)*0.475*44/12</f>
        <v>3.208107976513395E-24</v>
      </c>
      <c r="AX198" s="21">
        <f t="shared" si="166"/>
        <v>0.2539432907961775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-1.8089849618263545E-13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314.94704727988847</v>
      </c>
      <c r="BJ198" s="59">
        <f t="shared" si="206"/>
        <v>366.49199094166454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0.14916111886813063</v>
      </c>
      <c r="BQ198" s="21">
        <f>EXP(-LN(2)/25)*BQ197+(1-EXP(-LN(2)/25))/(LN(2)/25)*Calculateur!BL198*Calculateur!BN198*VLOOKUP('Données projet'!$B$11,Paramètres!$A$1:$I$89,3,0)*0.475*44/12</f>
        <v>0.26191090737241896</v>
      </c>
      <c r="BR198" s="21">
        <f>EXP(-LN(2)/2)*BR197+(1-EXP(-LN(2)/2))/(LN(2)/2)*BL198*BO198*VLOOKUP('Données projet'!$B$11,Paramètres!$A$1:$I$89,3,0)*0.475*44/12</f>
        <v>4.2214403528162644E-24</v>
      </c>
      <c r="BS198" s="22">
        <f t="shared" si="169"/>
        <v>0.41107202624054962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-1.8089849618263545E-13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314.94704727988847</v>
      </c>
      <c r="CE198" s="59">
        <f t="shared" si="207"/>
        <v>366.49199094166454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0.14916111886813063</v>
      </c>
      <c r="CL198" s="21">
        <f>EXP(-LN(2)/25)*CL197+(1-EXP(-LN(2)/25))/(LN(2)/25)*Calculateur!CG198*Calculateur!CI198*VLOOKUP('Données projet'!$B$12,Paramètres!$A$1:$I$89,3,0)*0.475*44/12</f>
        <v>0.26191090737241896</v>
      </c>
      <c r="CM198" s="21">
        <f>EXP(-LN(2)/2)*CM197+(1-EXP(-LN(2)/2))/(LN(2)/2)*CG198*CJ198*VLOOKUP('Données projet'!$B$12,Paramètres!$A$1:$I$89,3,0)*0.475*44/12</f>
        <v>4.2214403528162644E-24</v>
      </c>
      <c r="CN198" s="22">
        <f t="shared" si="172"/>
        <v>0.41107202624054962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4.5474735088646412E-13</v>
      </c>
      <c r="CU198" s="17">
        <f>CT198*VLOOKUP('Données projet'!$B$13,Paramètres!$A$1:$I$89,3,0)*VLOOKUP('Données projet'!$B$13,Paramètres!$A$1:$I$89,5,0)</f>
        <v>4.1145540308207271E-13</v>
      </c>
      <c r="CV198" s="13">
        <f t="shared" si="173"/>
        <v>5.2428527960910789E-12</v>
      </c>
      <c r="CW198" s="20">
        <f t="shared" si="174"/>
        <v>9.8479201135599071E-12</v>
      </c>
      <c r="CX198" s="59">
        <f t="shared" si="196"/>
        <v>293.33333333334315</v>
      </c>
      <c r="CY198" s="59">
        <f ca="1">AVERAGE(OFFSET($CX$3,0,0,'Données projet'!$E$13+1,1))-AVERAGE(OFFSET($H$3,0,0,'Données projet'!$E$13+1,1))</f>
        <v>221.7429870520005</v>
      </c>
      <c r="CZ198" s="59">
        <f t="shared" si="208"/>
        <v>182.2029938397186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-1.0345502232667058E-13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199.01551760562705</v>
      </c>
      <c r="T199" s="59">
        <f t="shared" si="204"/>
        <v>269.50915104901367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9.3933724790364923E-2</v>
      </c>
      <c r="AA199" s="21">
        <f>EXP(-LN(2)/25)*AA198+(1-EXP(-LN(2)/25))/(LN(2)/25)*Calculateur!V199*Calculateur!X199*VLOOKUP('Données projet'!$B$9,Paramètres!$A$1:$I$89,3,0)*0.475*44/12</f>
        <v>0.13025678533539736</v>
      </c>
      <c r="AB199" s="21">
        <f>EXP(-LN(2)/2)*AB198+(1-EXP(-LN(2)/2))/(LN(2)/2)*V199*Y199*VLOOKUP('Données projet'!$B$9,Paramètres!$A$1:$I$89,3,0)*0.475*44/12</f>
        <v>1.4245498382927215E-25</v>
      </c>
      <c r="AC199" s="22">
        <f t="shared" si="163"/>
        <v>0.2241905101257623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553.99999999999955</v>
      </c>
      <c r="AJ199" s="13">
        <f>AI199*VLOOKUP('Données projet'!$B$10,Paramètres!$A$1:$I$89,3,0)*VLOOKUP('Données projet'!$B$10,Paramètres!$A$1:$I$89,5,0)</f>
        <v>331.29199999999975</v>
      </c>
      <c r="AK199" s="13">
        <f t="shared" si="164"/>
        <v>77.698110787752</v>
      </c>
      <c r="AL199" s="20">
        <f t="shared" si="165"/>
        <v>712.32444295533423</v>
      </c>
      <c r="AM199" s="59">
        <f t="shared" si="193"/>
        <v>1005.6577762886675</v>
      </c>
      <c r="AN199" s="59">
        <f ca="1">AVERAGE(OFFSET($AM$3,0,0,'Données projet'!$E$10+1,1))-AVERAGE(OFFSET($H$3,0,0,'Données projet'!$E$10+1,1))</f>
        <v>316.58509520829671</v>
      </c>
      <c r="AO199" s="59">
        <f t="shared" si="205"/>
        <v>240.71332110643596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9.46581773348633E-2</v>
      </c>
      <c r="AV199" s="21">
        <f>EXP(-LN(2)/25)*AV198+(1-EXP(-LN(2)/25))/(LN(2)/25)*Calculateur!AQ199*Calculateur!AS199*VLOOKUP('Données projet'!$B$10,Paramètres!$A$1:$I$89,3,0)*0.475*44/12</f>
        <v>0.15308791058832019</v>
      </c>
      <c r="AW199" s="21">
        <f>EXP(-LN(2)/2)*AW198+(1-EXP(-LN(2)/2))/(LN(2)/2)*AQ199*AT199*VLOOKUP('Données projet'!$B$10,Paramètres!$A$1:$I$89,3,0)*0.475*44/12</f>
        <v>2.2684749049712749E-24</v>
      </c>
      <c r="AX199" s="21">
        <f t="shared" si="166"/>
        <v>0.24774608792318348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-1.8089849618263545E-13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314.94704727988847</v>
      </c>
      <c r="BJ199" s="59">
        <f t="shared" si="206"/>
        <v>366.49199094166454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0.14623616030642564</v>
      </c>
      <c r="BQ199" s="21">
        <f>EXP(-LN(2)/25)*BQ198+(1-EXP(-LN(2)/25))/(LN(2)/25)*Calculateur!BL199*Calculateur!BN199*VLOOKUP('Données projet'!$B$11,Paramètres!$A$1:$I$89,3,0)*0.475*44/12</f>
        <v>0.25474893983702412</v>
      </c>
      <c r="BR199" s="21">
        <f>EXP(-LN(2)/2)*BR198+(1-EXP(-LN(2)/2))/(LN(2)/2)*BL199*BO199*VLOOKUP('Données projet'!$B$11,Paramètres!$A$1:$I$89,3,0)*0.475*44/12</f>
        <v>2.9850090998509123E-24</v>
      </c>
      <c r="BS199" s="22">
        <f t="shared" si="169"/>
        <v>0.40098510014344979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-1.8089849618263545E-13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314.94704727988847</v>
      </c>
      <c r="CE199" s="59">
        <f t="shared" si="207"/>
        <v>366.49199094166454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0.14623616030642564</v>
      </c>
      <c r="CL199" s="21">
        <f>EXP(-LN(2)/25)*CL198+(1-EXP(-LN(2)/25))/(LN(2)/25)*Calculateur!CG199*Calculateur!CI199*VLOOKUP('Données projet'!$B$12,Paramètres!$A$1:$I$89,3,0)*0.475*44/12</f>
        <v>0.25474893983702412</v>
      </c>
      <c r="CM199" s="21">
        <f>EXP(-LN(2)/2)*CM198+(1-EXP(-LN(2)/2))/(LN(2)/2)*CG199*CJ199*VLOOKUP('Données projet'!$B$12,Paramètres!$A$1:$I$89,3,0)*0.475*44/12</f>
        <v>2.9850090998509123E-24</v>
      </c>
      <c r="CN199" s="22">
        <f t="shared" si="172"/>
        <v>0.40098510014344979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4.5474735088646412E-13</v>
      </c>
      <c r="CU199" s="17">
        <f>CT199*VLOOKUP('Données projet'!$B$13,Paramètres!$A$1:$I$89,3,0)*VLOOKUP('Données projet'!$B$13,Paramètres!$A$1:$I$89,5,0)</f>
        <v>4.1145540308207271E-13</v>
      </c>
      <c r="CV199" s="13">
        <f t="shared" si="173"/>
        <v>5.2428527960910789E-12</v>
      </c>
      <c r="CW199" s="20">
        <f t="shared" si="174"/>
        <v>9.8479201135599071E-12</v>
      </c>
      <c r="CX199" s="59">
        <f t="shared" si="196"/>
        <v>293.33333333334315</v>
      </c>
      <c r="CY199" s="59">
        <f ca="1">AVERAGE(OFFSET($CX$3,0,0,'Données projet'!$E$13+1,1))-AVERAGE(OFFSET($H$3,0,0,'Données projet'!$E$13+1,1))</f>
        <v>221.7429870520005</v>
      </c>
      <c r="CZ199" s="59">
        <f t="shared" si="208"/>
        <v>182.2029938397186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-1.0345502232667058E-13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199.01551760562705</v>
      </c>
      <c r="T200" s="59">
        <f t="shared" si="204"/>
        <v>269.50915104901367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9.2091741741140681E-2</v>
      </c>
      <c r="AA200" s="21">
        <f>EXP(-LN(2)/25)*AA199+(1-EXP(-LN(2)/25))/(LN(2)/25)*Calculateur!V200*Calculateur!X200*VLOOKUP('Données projet'!$B$9,Paramètres!$A$1:$I$89,3,0)*0.475*44/12</f>
        <v>0.1266949066904943</v>
      </c>
      <c r="AB200" s="21">
        <f>EXP(-LN(2)/2)*AB199+(1-EXP(-LN(2)/2))/(LN(2)/2)*V200*Y200*VLOOKUP('Données projet'!$B$9,Paramètres!$A$1:$I$89,3,0)*0.475*44/12</f>
        <v>1.0073088507949831E-25</v>
      </c>
      <c r="AC200" s="22">
        <f t="shared" si="163"/>
        <v>0.21878664843163498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553.99999999999955</v>
      </c>
      <c r="AJ200" s="13">
        <f>AI200*VLOOKUP('Données projet'!$B$10,Paramètres!$A$1:$I$89,3,0)*VLOOKUP('Données projet'!$B$10,Paramètres!$A$1:$I$89,5,0)</f>
        <v>331.29199999999975</v>
      </c>
      <c r="AK200" s="13">
        <f t="shared" si="164"/>
        <v>77.698110787752</v>
      </c>
      <c r="AL200" s="20">
        <f t="shared" si="165"/>
        <v>712.32444295533423</v>
      </c>
      <c r="AM200" s="59">
        <f t="shared" si="193"/>
        <v>1005.6577762886675</v>
      </c>
      <c r="AN200" s="59">
        <f ca="1">AVERAGE(OFFSET($AM$3,0,0,'Données projet'!$E$10+1,1))-AVERAGE(OFFSET($H$3,0,0,'Données projet'!$E$10+1,1))</f>
        <v>316.58509520829671</v>
      </c>
      <c r="AO200" s="59">
        <f t="shared" si="205"/>
        <v>240.71332110643596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9.2801988213113876E-2</v>
      </c>
      <c r="AV200" s="21">
        <f>EXP(-LN(2)/25)*AV199+(1-EXP(-LN(2)/25))/(LN(2)/25)*Calculateur!AQ200*Calculateur!AS200*VLOOKUP('Données projet'!$B$10,Paramètres!$A$1:$I$89,3,0)*0.475*44/12</f>
        <v>0.14890171362273924</v>
      </c>
      <c r="AW200" s="21">
        <f>EXP(-LN(2)/2)*AW199+(1-EXP(-LN(2)/2))/(LN(2)/2)*AQ200*AT200*VLOOKUP('Données projet'!$B$10,Paramètres!$A$1:$I$89,3,0)*0.475*44/12</f>
        <v>1.6040539882566975E-24</v>
      </c>
      <c r="AX200" s="21">
        <f t="shared" si="166"/>
        <v>0.2417037018358531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-1.8089849618263545E-13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314.94704727988847</v>
      </c>
      <c r="BJ200" s="59">
        <f t="shared" si="206"/>
        <v>366.49199094166454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0.14336855839806711</v>
      </c>
      <c r="BQ200" s="21">
        <f>EXP(-LN(2)/25)*BQ199+(1-EXP(-LN(2)/25))/(LN(2)/25)*Calculateur!BL200*Calculateur!BN200*VLOOKUP('Données projet'!$B$11,Paramètres!$A$1:$I$89,3,0)*0.475*44/12</f>
        <v>0.24778281668051619</v>
      </c>
      <c r="BR200" s="21">
        <f>EXP(-LN(2)/2)*BR199+(1-EXP(-LN(2)/2))/(LN(2)/2)*BL200*BO200*VLOOKUP('Données projet'!$B$11,Paramètres!$A$1:$I$89,3,0)*0.475*44/12</f>
        <v>2.1107201764081322E-24</v>
      </c>
      <c r="BS200" s="22">
        <f t="shared" si="169"/>
        <v>0.39115137507858333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-1.8089849618263545E-13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314.94704727988847</v>
      </c>
      <c r="CE200" s="59">
        <f t="shared" si="207"/>
        <v>366.49199094166454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0.14336855839806711</v>
      </c>
      <c r="CL200" s="21">
        <f>EXP(-LN(2)/25)*CL199+(1-EXP(-LN(2)/25))/(LN(2)/25)*Calculateur!CG200*Calculateur!CI200*VLOOKUP('Données projet'!$B$12,Paramètres!$A$1:$I$89,3,0)*0.475*44/12</f>
        <v>0.24778281668051619</v>
      </c>
      <c r="CM200" s="21">
        <f>EXP(-LN(2)/2)*CM199+(1-EXP(-LN(2)/2))/(LN(2)/2)*CG200*CJ200*VLOOKUP('Données projet'!$B$12,Paramètres!$A$1:$I$89,3,0)*0.475*44/12</f>
        <v>2.1107201764081322E-24</v>
      </c>
      <c r="CN200" s="22">
        <f t="shared" si="172"/>
        <v>0.39115137507858333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4.5474735088646412E-13</v>
      </c>
      <c r="CU200" s="17">
        <f>CT200*VLOOKUP('Données projet'!$B$13,Paramètres!$A$1:$I$89,3,0)*VLOOKUP('Données projet'!$B$13,Paramètres!$A$1:$I$89,5,0)</f>
        <v>4.1145540308207271E-13</v>
      </c>
      <c r="CV200" s="13">
        <f t="shared" si="173"/>
        <v>5.2428527960910789E-12</v>
      </c>
      <c r="CW200" s="20">
        <f t="shared" si="174"/>
        <v>9.8479201135599071E-12</v>
      </c>
      <c r="CX200" s="59">
        <f t="shared" si="196"/>
        <v>293.33333333334315</v>
      </c>
      <c r="CY200" s="59">
        <f ca="1">AVERAGE(OFFSET($CX$3,0,0,'Données projet'!$E$13+1,1))-AVERAGE(OFFSET($H$3,0,0,'Données projet'!$E$13+1,1))</f>
        <v>221.7429870520005</v>
      </c>
      <c r="CZ200" s="59">
        <f t="shared" si="208"/>
        <v>182.2029938397186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-1.0345502232667058E-13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199.01551760562705</v>
      </c>
      <c r="T201" s="59">
        <f t="shared" si="204"/>
        <v>269.50915104901367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9.028587885601301E-2</v>
      </c>
      <c r="AA201" s="21">
        <f>EXP(-LN(2)/25)*AA200+(1-EXP(-LN(2)/25))/(LN(2)/25)*Calculateur!V201*Calculateur!X201*VLOOKUP('Données projet'!$B$9,Paramètres!$A$1:$I$89,3,0)*0.475*44/12</f>
        <v>0.12323042780444715</v>
      </c>
      <c r="AB201" s="21">
        <f>EXP(-LN(2)/2)*AB200+(1-EXP(-LN(2)/2))/(LN(2)/2)*V201*Y201*VLOOKUP('Données projet'!$B$9,Paramètres!$A$1:$I$89,3,0)*0.475*44/12</f>
        <v>7.1227491914636088E-26</v>
      </c>
      <c r="AC201" s="22">
        <f t="shared" si="163"/>
        <v>0.21351630666046018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553.99999999999955</v>
      </c>
      <c r="AJ201" s="13">
        <f>AI201*VLOOKUP('Données projet'!$B$10,Paramètres!$A$1:$I$89,3,0)*VLOOKUP('Données projet'!$B$10,Paramètres!$A$1:$I$89,5,0)</f>
        <v>331.29199999999975</v>
      </c>
      <c r="AK201" s="13">
        <f t="shared" si="164"/>
        <v>77.698110787752</v>
      </c>
      <c r="AL201" s="20">
        <f t="shared" si="165"/>
        <v>712.32444295533423</v>
      </c>
      <c r="AM201" s="59">
        <f t="shared" si="193"/>
        <v>1005.6577762886675</v>
      </c>
      <c r="AN201" s="59">
        <f ca="1">AVERAGE(OFFSET($AM$3,0,0,'Données projet'!$E$10+1,1))-AVERAGE(OFFSET($H$3,0,0,'Données projet'!$E$10+1,1))</f>
        <v>316.58509520829671</v>
      </c>
      <c r="AO201" s="59">
        <f t="shared" si="205"/>
        <v>240.71332110643596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9.0982197827878378E-2</v>
      </c>
      <c r="AV201" s="21">
        <f>EXP(-LN(2)/25)*AV200+(1-EXP(-LN(2)/25))/(LN(2)/25)*Calculateur!AQ201*Calculateur!AS201*VLOOKUP('Données projet'!$B$10,Paramètres!$A$1:$I$89,3,0)*0.475*44/12</f>
        <v>0.14482998843332465</v>
      </c>
      <c r="AW201" s="21">
        <f>EXP(-LN(2)/2)*AW200+(1-EXP(-LN(2)/2))/(LN(2)/2)*AQ201*AT201*VLOOKUP('Données projet'!$B$10,Paramètres!$A$1:$I$89,3,0)*0.475*44/12</f>
        <v>1.1342374524856374E-24</v>
      </c>
      <c r="AX201" s="21">
        <f t="shared" si="166"/>
        <v>0.23581218626120304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-1.8089849618263545E-13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314.94704727988847</v>
      </c>
      <c r="BJ201" s="59">
        <f t="shared" si="206"/>
        <v>366.49199094166454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0.14055718841406706</v>
      </c>
      <c r="BQ201" s="21">
        <f>EXP(-LN(2)/25)*BQ200+(1-EXP(-LN(2)/25))/(LN(2)/25)*Calculateur!BL201*Calculateur!BN201*VLOOKUP('Données projet'!$B$11,Paramètres!$A$1:$I$89,3,0)*0.475*44/12</f>
        <v>0.24100718252805545</v>
      </c>
      <c r="BR201" s="21">
        <f>EXP(-LN(2)/2)*BR200+(1-EXP(-LN(2)/2))/(LN(2)/2)*BL201*BO201*VLOOKUP('Données projet'!$B$11,Paramètres!$A$1:$I$89,3,0)*0.475*44/12</f>
        <v>1.4925045499254561E-24</v>
      </c>
      <c r="BS201" s="22">
        <f t="shared" si="169"/>
        <v>0.38156437094212248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-1.8089849618263545E-13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314.94704727988847</v>
      </c>
      <c r="CE201" s="59">
        <f t="shared" si="207"/>
        <v>366.49199094166454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0.14055718841406706</v>
      </c>
      <c r="CL201" s="21">
        <f>EXP(-LN(2)/25)*CL200+(1-EXP(-LN(2)/25))/(LN(2)/25)*Calculateur!CG201*Calculateur!CI201*VLOOKUP('Données projet'!$B$12,Paramètres!$A$1:$I$89,3,0)*0.475*44/12</f>
        <v>0.24100718252805545</v>
      </c>
      <c r="CM201" s="21">
        <f>EXP(-LN(2)/2)*CM200+(1-EXP(-LN(2)/2))/(LN(2)/2)*CG201*CJ201*VLOOKUP('Données projet'!$B$12,Paramètres!$A$1:$I$89,3,0)*0.475*44/12</f>
        <v>1.4925045499254561E-24</v>
      </c>
      <c r="CN201" s="22">
        <f t="shared" si="172"/>
        <v>0.38156437094212248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4.5474735088646412E-13</v>
      </c>
      <c r="CU201" s="17">
        <f>CT201*VLOOKUP('Données projet'!$B$13,Paramètres!$A$1:$I$89,3,0)*VLOOKUP('Données projet'!$B$13,Paramètres!$A$1:$I$89,5,0)</f>
        <v>4.1145540308207271E-13</v>
      </c>
      <c r="CV201" s="13">
        <f t="shared" si="173"/>
        <v>5.2428527960910789E-12</v>
      </c>
      <c r="CW201" s="20">
        <f t="shared" si="174"/>
        <v>9.8479201135599071E-12</v>
      </c>
      <c r="CX201" s="59">
        <f t="shared" si="196"/>
        <v>293.33333333334315</v>
      </c>
      <c r="CY201" s="59">
        <f ca="1">AVERAGE(OFFSET($CX$3,0,0,'Données projet'!$E$13+1,1))-AVERAGE(OFFSET($H$3,0,0,'Données projet'!$E$13+1,1))</f>
        <v>221.7429870520005</v>
      </c>
      <c r="CZ201" s="59">
        <f t="shared" si="208"/>
        <v>182.2029938397186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-1.0345502232667058E-13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199.01551760562705</v>
      </c>
      <c r="T202" s="59">
        <f t="shared" si="204"/>
        <v>269.50915104901367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8.8515427840595087E-2</v>
      </c>
      <c r="AA202" s="21">
        <f>EXP(-LN(2)/25)*AA201+(1-EXP(-LN(2)/25))/(LN(2)/25)*Calculateur!V202*Calculateur!X202*VLOOKUP('Données projet'!$B$9,Paramètres!$A$1:$I$89,3,0)*0.475*44/12</f>
        <v>0.11986068527572799</v>
      </c>
      <c r="AB202" s="21">
        <f>EXP(-LN(2)/2)*AB201+(1-EXP(-LN(2)/2))/(LN(2)/2)*V202*Y202*VLOOKUP('Données projet'!$B$9,Paramètres!$A$1:$I$89,3,0)*0.475*44/12</f>
        <v>5.0365442539749168E-26</v>
      </c>
      <c r="AC202" s="22">
        <f t="shared" si="163"/>
        <v>0.20837611311632309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553.99999999999955</v>
      </c>
      <c r="AJ202" s="13">
        <f>AI202*VLOOKUP('Données projet'!$B$10,Paramètres!$A$1:$I$89,3,0)*VLOOKUP('Données projet'!$B$10,Paramètres!$A$1:$I$89,5,0)</f>
        <v>331.29199999999975</v>
      </c>
      <c r="AK202" s="13">
        <f t="shared" si="164"/>
        <v>77.698110787752</v>
      </c>
      <c r="AL202" s="20">
        <f t="shared" si="165"/>
        <v>712.32444295533423</v>
      </c>
      <c r="AM202" s="59">
        <f t="shared" si="193"/>
        <v>1005.6577762886675</v>
      </c>
      <c r="AN202" s="59">
        <f ca="1">AVERAGE(OFFSET($AM$3,0,0,'Données projet'!$E$10+1,1))-AVERAGE(OFFSET($H$3,0,0,'Données projet'!$E$10+1,1))</f>
        <v>316.58509520829671</v>
      </c>
      <c r="AO202" s="59">
        <f t="shared" si="205"/>
        <v>240.71332110643596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8.919809242213482E-2</v>
      </c>
      <c r="AV202" s="21">
        <f>EXP(-LN(2)/25)*AV201+(1-EXP(-LN(2)/25))/(LN(2)/25)*Calculateur!AQ202*Calculateur!AS202*VLOOKUP('Données projet'!$B$10,Paramètres!$A$1:$I$89,3,0)*0.475*44/12</f>
        <v>0.14086960478333729</v>
      </c>
      <c r="AW202" s="21">
        <f>EXP(-LN(2)/2)*AW201+(1-EXP(-LN(2)/2))/(LN(2)/2)*AQ202*AT202*VLOOKUP('Données projet'!$B$10,Paramètres!$A$1:$I$89,3,0)*0.475*44/12</f>
        <v>8.0202699412834874E-25</v>
      </c>
      <c r="AX202" s="21">
        <f t="shared" si="166"/>
        <v>0.2300676972054721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-1.8089849618263545E-13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314.94704727988847</v>
      </c>
      <c r="BJ202" s="59">
        <f t="shared" si="206"/>
        <v>366.49199094166454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0.13780094768068685</v>
      </c>
      <c r="BQ202" s="21">
        <f>EXP(-LN(2)/25)*BQ201+(1-EXP(-LN(2)/25))/(LN(2)/25)*Calculateur!BL202*Calculateur!BN202*VLOOKUP('Données projet'!$B$11,Paramètres!$A$1:$I$89,3,0)*0.475*44/12</f>
        <v>0.23441682844780887</v>
      </c>
      <c r="BR202" s="21">
        <f>EXP(-LN(2)/2)*BR201+(1-EXP(-LN(2)/2))/(LN(2)/2)*BL202*BO202*VLOOKUP('Données projet'!$B$11,Paramètres!$A$1:$I$89,3,0)*0.475*44/12</f>
        <v>1.0553600882040661E-24</v>
      </c>
      <c r="BS202" s="22">
        <f t="shared" si="169"/>
        <v>0.37221777612849571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-1.8089849618263545E-13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314.94704727988847</v>
      </c>
      <c r="CE202" s="59">
        <f t="shared" si="207"/>
        <v>366.49199094166454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0.13780094768068685</v>
      </c>
      <c r="CL202" s="21">
        <f>EXP(-LN(2)/25)*CL201+(1-EXP(-LN(2)/25))/(LN(2)/25)*Calculateur!CG202*Calculateur!CI202*VLOOKUP('Données projet'!$B$12,Paramètres!$A$1:$I$89,3,0)*0.475*44/12</f>
        <v>0.23441682844780887</v>
      </c>
      <c r="CM202" s="21">
        <f>EXP(-LN(2)/2)*CM201+(1-EXP(-LN(2)/2))/(LN(2)/2)*CG202*CJ202*VLOOKUP('Données projet'!$B$12,Paramètres!$A$1:$I$89,3,0)*0.475*44/12</f>
        <v>1.0553600882040661E-24</v>
      </c>
      <c r="CN202" s="22">
        <f t="shared" si="172"/>
        <v>0.37221777612849571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4.5474735088646412E-13</v>
      </c>
      <c r="CU202" s="17">
        <f>CT202*VLOOKUP('Données projet'!$B$13,Paramètres!$A$1:$I$89,3,0)*VLOOKUP('Données projet'!$B$13,Paramètres!$A$1:$I$89,5,0)</f>
        <v>4.1145540308207271E-13</v>
      </c>
      <c r="CV202" s="13">
        <f t="shared" si="173"/>
        <v>5.2428527960910789E-12</v>
      </c>
      <c r="CW202" s="20">
        <f t="shared" si="174"/>
        <v>9.8479201135599071E-12</v>
      </c>
      <c r="CX202" s="59">
        <f t="shared" si="196"/>
        <v>293.33333333334315</v>
      </c>
      <c r="CY202" s="59">
        <f ca="1">AVERAGE(OFFSET($CX$3,0,0,'Données projet'!$E$13+1,1))-AVERAGE(OFFSET($H$3,0,0,'Données projet'!$E$13+1,1))</f>
        <v>221.7429870520005</v>
      </c>
      <c r="CZ202" s="59">
        <f t="shared" si="208"/>
        <v>182.2029938397186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-1.0345502232667058E-13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199.01551760562705</v>
      </c>
      <c r="T203" s="59">
        <f t="shared" si="204"/>
        <v>269.50915104901367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8.6779694289721016E-2</v>
      </c>
      <c r="AA203" s="21">
        <f>EXP(-LN(2)/25)*AA202+(1-EXP(-LN(2)/25))/(LN(2)/25)*Calculateur!V203*Calculateur!X203*VLOOKUP('Données projet'!$B$9,Paramètres!$A$1:$I$89,3,0)*0.475*44/12</f>
        <v>0.11658308853366371</v>
      </c>
      <c r="AB203" s="21">
        <f>EXP(-LN(2)/2)*AB202+(1-EXP(-LN(2)/2))/(LN(2)/2)*V203*Y203*VLOOKUP('Données projet'!$B$9,Paramètres!$A$1:$I$89,3,0)*0.475*44/12</f>
        <v>3.561374595731805E-26</v>
      </c>
      <c r="AC203" s="22">
        <f t="shared" si="163"/>
        <v>0.20336278282338471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553.99999999999955</v>
      </c>
      <c r="AJ203" s="13">
        <f>AI203*VLOOKUP('Données projet'!$B$10,Paramètres!$A$1:$I$89,3,0)*VLOOKUP('Données projet'!$B$10,Paramètres!$A$1:$I$89,5,0)</f>
        <v>331.29199999999975</v>
      </c>
      <c r="AK203" s="13">
        <f t="shared" si="164"/>
        <v>77.698110787752</v>
      </c>
      <c r="AL203" s="20">
        <f t="shared" si="165"/>
        <v>712.32444295533423</v>
      </c>
      <c r="AM203" s="59">
        <f t="shared" si="193"/>
        <v>1005.6577762886675</v>
      </c>
      <c r="AN203" s="59">
        <f ca="1">AVERAGE(OFFSET($AM$3,0,0,'Données projet'!$E$10+1,1))-AVERAGE(OFFSET($H$3,0,0,'Données projet'!$E$10+1,1))</f>
        <v>316.58509520829671</v>
      </c>
      <c r="AO203" s="59">
        <f t="shared" si="205"/>
        <v>240.71332110643596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8.7448972235201039E-2</v>
      </c>
      <c r="AV203" s="21">
        <f>EXP(-LN(2)/25)*AV202+(1-EXP(-LN(2)/25))/(LN(2)/25)*Calculateur!AQ203*Calculateur!AS203*VLOOKUP('Données projet'!$B$10,Paramètres!$A$1:$I$89,3,0)*0.475*44/12</f>
        <v>0.13701751803252638</v>
      </c>
      <c r="AW203" s="21">
        <f>EXP(-LN(2)/2)*AW202+(1-EXP(-LN(2)/2))/(LN(2)/2)*AQ203*AT203*VLOOKUP('Données projet'!$B$10,Paramètres!$A$1:$I$89,3,0)*0.475*44/12</f>
        <v>5.6711872624281872E-25</v>
      </c>
      <c r="AX203" s="21">
        <f t="shared" si="166"/>
        <v>0.22446649026772741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-1.8089849618263545E-13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314.94704727988847</v>
      </c>
      <c r="BJ203" s="59">
        <f t="shared" si="206"/>
        <v>366.49199094166454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0.13509875514694739</v>
      </c>
      <c r="BQ203" s="21">
        <f>EXP(-LN(2)/25)*BQ202+(1-EXP(-LN(2)/25))/(LN(2)/25)*Calculateur!BL203*Calculateur!BN203*VLOOKUP('Données projet'!$B$11,Paramètres!$A$1:$I$89,3,0)*0.475*44/12</f>
        <v>0.22800668794645829</v>
      </c>
      <c r="BR203" s="21">
        <f>EXP(-LN(2)/2)*BR202+(1-EXP(-LN(2)/2))/(LN(2)/2)*BL203*BO203*VLOOKUP('Données projet'!$B$11,Paramètres!$A$1:$I$89,3,0)*0.475*44/12</f>
        <v>7.4625227496272807E-25</v>
      </c>
      <c r="BS203" s="22">
        <f t="shared" si="169"/>
        <v>0.36310544309340564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-1.8089849618263545E-13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314.94704727988847</v>
      </c>
      <c r="CE203" s="59">
        <f t="shared" si="207"/>
        <v>366.49199094166454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0.13509875514694739</v>
      </c>
      <c r="CL203" s="21">
        <f>EXP(-LN(2)/25)*CL202+(1-EXP(-LN(2)/25))/(LN(2)/25)*Calculateur!CG203*Calculateur!CI203*VLOOKUP('Données projet'!$B$12,Paramètres!$A$1:$I$89,3,0)*0.475*44/12</f>
        <v>0.22800668794645829</v>
      </c>
      <c r="CM203" s="21">
        <f>EXP(-LN(2)/2)*CM202+(1-EXP(-LN(2)/2))/(LN(2)/2)*CG203*CJ203*VLOOKUP('Données projet'!$B$12,Paramètres!$A$1:$I$89,3,0)*0.475*44/12</f>
        <v>7.4625227496272807E-25</v>
      </c>
      <c r="CN203" s="22">
        <f t="shared" si="172"/>
        <v>0.36310544309340564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4.5474735088646412E-13</v>
      </c>
      <c r="CU203" s="17">
        <f>CT203*VLOOKUP('Données projet'!$B$13,Paramètres!$A$1:$I$89,3,0)*VLOOKUP('Données projet'!$B$13,Paramètres!$A$1:$I$89,5,0)</f>
        <v>4.1145540308207271E-13</v>
      </c>
      <c r="CV203" s="13">
        <f t="shared" si="173"/>
        <v>5.2428527960910789E-12</v>
      </c>
      <c r="CW203" s="20">
        <f t="shared" si="174"/>
        <v>9.8479201135599071E-12</v>
      </c>
      <c r="CX203" s="59">
        <f t="shared" si="196"/>
        <v>293.33333333334315</v>
      </c>
      <c r="CY203" s="59">
        <f ca="1">AVERAGE(OFFSET($CX$3,0,0,'Données projet'!$E$13+1,1))-AVERAGE(OFFSET($H$3,0,0,'Données projet'!$E$13+1,1))</f>
        <v>221.7429870520005</v>
      </c>
      <c r="CZ203" s="59">
        <f t="shared" si="208"/>
        <v>182.2029938397186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1.2625985704272813</v>
      </c>
      <c r="BA205" s="82">
        <f>EXP(LN('Données projet'!B88)/'Données projet'!A88)</f>
        <v>1.3423796509621049</v>
      </c>
      <c r="BV205" s="82">
        <f>EXP(LN('Données projet'!B114)/'Données projet'!A114)</f>
        <v>1.3423796509621049</v>
      </c>
      <c r="CQ205" s="82">
        <f>EXP(LN('Données projet'!B140)/'Données projet'!A140)</f>
        <v>1.1736311550444201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Séquoia géant</v>
      </c>
      <c r="B6" s="146">
        <f>'Données projet'!D9</f>
        <v>0.29350000000000004</v>
      </c>
      <c r="C6" s="147">
        <f ca="1">IF(OR('Données projet'!B9="",'Données projet'!C9="",'Données projet'!C9=0%),0,Calculateur!S3)</f>
        <v>199.01551760562705</v>
      </c>
      <c r="D6" s="147">
        <f>IF(OR('Données projet'!B9="",'Données projet'!C9="",'Données projet'!C9=0%),0,Calculateur!T3)</f>
        <v>269.50915104901367</v>
      </c>
      <c r="E6" s="147">
        <f ca="1">MIN(C6,D6)</f>
        <v>199.01551760562705</v>
      </c>
      <c r="F6" s="147">
        <f ca="1">E6*B6</f>
        <v>58.411054417251549</v>
      </c>
      <c r="G6" s="147">
        <f ca="1">F6*(100%-'Données projet'!$C$24)*(100%-'Données projet'!$C$25)*(100%-'Données projet'!$C$26)*(100%-'Données projet'!$C$27)</f>
        <v>52.569948975526394</v>
      </c>
      <c r="H6" s="148">
        <f>IF(OR('Données projet'!B9="",'Données projet'!C9="",'Données projet'!C9=0%),0,AVERAGE(Calculateur!$AC$3:$AC$33)*B6)</f>
        <v>2.5514990960738926</v>
      </c>
      <c r="I6" s="149">
        <f>H6*(100%-'Données projet'!$C$24)*(100%-'Données projet'!$C$25)*(100%-'Données projet'!$C$26)*(100%-'Données projet'!$C$27)</f>
        <v>2.2963491864665033</v>
      </c>
      <c r="J6" s="150">
        <f>IF(OR('Données projet'!B9="",'Données projet'!C9="",'Données projet'!C9=0%),0,SUM(Calculateur!$V$3:$V$33)*VLOOKUP('Données projet'!$B$9,Paramètres!$A$1:$I$89,9,0)*B6)</f>
        <v>22.415949615384612</v>
      </c>
      <c r="K6" s="151">
        <f>J6*(100%-'Données projet'!$C$24)*(100%-'Données projet'!$C$25)*(100%-'Données projet'!$C$26)*(100%-'Données projet'!$C$27)</f>
        <v>20.174354653846152</v>
      </c>
      <c r="L6" s="152">
        <f ca="1">G6+I6+K6</f>
        <v>75.040652815839053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3.3458999999999999</v>
      </c>
      <c r="C7" s="147">
        <f ca="1">IF(OR('Données projet'!B10="",'Données projet'!C10="",'Données projet'!C10=0%),0,Calculateur!AN3)</f>
        <v>316.58509520829671</v>
      </c>
      <c r="D7" s="147">
        <f>IF(OR('Données projet'!B10="",'Données projet'!C10="",'Données projet'!C10=0%),0,Calculateur!AO3)</f>
        <v>240.71332110643596</v>
      </c>
      <c r="E7" s="147">
        <f t="shared" ref="E7:E15" ca="1" si="0">MIN(C7,D7)</f>
        <v>240.71332110643596</v>
      </c>
      <c r="F7" s="147">
        <f t="shared" ref="F7:F15" ca="1" si="1">E7*B7</f>
        <v>805.40270109002404</v>
      </c>
      <c r="G7" s="147">
        <f ca="1">F7*(100%-'Données projet'!$C$24)*(100%-'Données projet'!$C$25)*(100%-'Données projet'!$C$26)*(100%-'Données projet'!$C$27)</f>
        <v>724.8624309810217</v>
      </c>
      <c r="H7" s="155">
        <f>IF(OR('Données projet'!B10="",'Données projet'!C10="",'Données projet'!C10=0%),0,AVERAGE(Calculateur!$AX$3:$AX$33)*B7)</f>
        <v>12.721823122455282</v>
      </c>
      <c r="I7" s="149">
        <f>H7*(100%-'Données projet'!$C$24)*(100%-'Données projet'!$C$25)*(100%-'Données projet'!$C$26)*(100%-'Données projet'!$C$27)</f>
        <v>11.449640810209754</v>
      </c>
      <c r="J7" s="150">
        <f>IF(OR('Données projet'!B10="",'Données projet'!C10="",'Données projet'!C10=0%),0,SUM(Calculateur!$AQ$3:$AQ$33)*VLOOKUP('Données projet'!$B$10,Paramètres!$A$1:$I$89,9,0)*B7)</f>
        <v>143.87369999999999</v>
      </c>
      <c r="K7" s="151">
        <f>J7*(100%-'Données projet'!$C$24)*(100%-'Données projet'!$C$25)*(100%-'Données projet'!$C$26)*(100%-'Données projet'!$C$27)</f>
        <v>129.48632999999998</v>
      </c>
      <c r="L7" s="152">
        <f t="shared" ref="L7:L15" ca="1" si="2">G7+I7+K7</f>
        <v>865.79840179123141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Erable sycomore</v>
      </c>
      <c r="B8" s="154">
        <f>'Données projet'!D11</f>
        <v>0.46960000000000002</v>
      </c>
      <c r="C8" s="147">
        <f ca="1">IF(OR('Données projet'!B11="",'Données projet'!C11="",'Données projet'!C11=0%),0,Calculateur!BI3)</f>
        <v>314.94704727988847</v>
      </c>
      <c r="D8" s="147">
        <f>IF(OR('Données projet'!B11="",'Données projet'!C11="",'Données projet'!C11=0%),0,Calculateur!BJ3)</f>
        <v>366.49199094166454</v>
      </c>
      <c r="E8" s="147">
        <f t="shared" ca="1" si="0"/>
        <v>314.94704727988847</v>
      </c>
      <c r="F8" s="147">
        <f t="shared" ca="1" si="1"/>
        <v>147.89913340263564</v>
      </c>
      <c r="G8" s="147">
        <f ca="1">F8*(100%-'Données projet'!$C$24)*(100%-'Données projet'!$C$25)*(100%-'Données projet'!$C$26)*(100%-'Données projet'!$C$27)</f>
        <v>133.10922006237209</v>
      </c>
      <c r="H8" s="155">
        <f>IF(OR('Données projet'!B11="",'Données projet'!C11="",'Données projet'!C11=0%),0,AVERAGE(Calculateur!$BS$3:$BS$33)*B8)</f>
        <v>3.2387376573761477</v>
      </c>
      <c r="I8" s="149">
        <f>H8*(100%-'Données projet'!$C$24)*(100%-'Données projet'!$C$25)*(100%-'Données projet'!$C$26)*(100%-'Données projet'!$C$27)</f>
        <v>2.9148638916385332</v>
      </c>
      <c r="J8" s="150">
        <f>IF(OR('Données projet'!B11="",'Données projet'!C11="",'Données projet'!C11=0%),0,SUM(Calculateur!$BL$3:$BL$33)*VLOOKUP('Données projet'!$B$11,Paramètres!$A$1:$I$89,9,0)*B8)</f>
        <v>20.545000000000002</v>
      </c>
      <c r="K8" s="151">
        <f>J8*(100%-'Données projet'!$C$24)*(100%-'Données projet'!$C$25)*(100%-'Données projet'!$C$26)*(100%-'Données projet'!$C$27)</f>
        <v>18.490500000000001</v>
      </c>
      <c r="L8" s="152">
        <f t="shared" ca="1" si="2"/>
        <v>154.51458395401062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plane</v>
      </c>
      <c r="B9" s="154">
        <f>'Données projet'!D12</f>
        <v>0.88049999999999995</v>
      </c>
      <c r="C9" s="147">
        <f ca="1">IF(OR('Données projet'!B12="",'Données projet'!C12="",'Données projet'!C12=0%),0,Calculateur!CD3)</f>
        <v>314.94704727988847</v>
      </c>
      <c r="D9" s="147">
        <f>IF(OR('Données projet'!B12="",'Données projet'!C12="",'Données projet'!C12=0%),0,Calculateur!CE3)</f>
        <v>366.49199094166454</v>
      </c>
      <c r="E9" s="147">
        <f t="shared" ca="1" si="0"/>
        <v>314.94704727988847</v>
      </c>
      <c r="F9" s="147">
        <f t="shared" ca="1" si="1"/>
        <v>277.31087512994179</v>
      </c>
      <c r="G9" s="147">
        <f ca="1">F9*(100%-'Données projet'!$C$24)*(100%-'Données projet'!$C$25)*(100%-'Données projet'!$C$26)*(100%-'Données projet'!$C$27)</f>
        <v>249.57978761694761</v>
      </c>
      <c r="H9" s="155">
        <f>IF(OR('Données projet'!B12="",'Données projet'!C12="",'Données projet'!C12=0%),0,AVERAGE(Calculateur!$CN$3:$CN$33)*B9)</f>
        <v>6.072633107580276</v>
      </c>
      <c r="I9" s="149">
        <f>H9*(100%-'Données projet'!$C$24)*(100%-'Données projet'!$C$25)*(100%-'Données projet'!$C$26)*(100%-'Données projet'!$C$27)</f>
        <v>5.4653697968222481</v>
      </c>
      <c r="J9" s="150">
        <f>IF(OR('Données projet'!B12="",'Données projet'!C12="",'Données projet'!C12=0%),0,SUM(Calculateur!$CG$3:$CG$33)*VLOOKUP('Données projet'!$B$12,Paramètres!$A$1:$I$89,9,0)*B9)</f>
        <v>38.521874999999994</v>
      </c>
      <c r="K9" s="151">
        <f>J9*(100%-'Données projet'!$C$24)*(100%-'Données projet'!$C$25)*(100%-'Données projet'!$C$26)*(100%-'Données projet'!$C$27)</f>
        <v>34.669687499999995</v>
      </c>
      <c r="L9" s="152">
        <f t="shared" ca="1" si="2"/>
        <v>289.71484491376987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sessile</v>
      </c>
      <c r="B10" s="154">
        <f>'Données projet'!D13</f>
        <v>0.88049999999999995</v>
      </c>
      <c r="C10" s="147">
        <f ca="1">IF(OR('Données projet'!B13="",'Données projet'!C13="",'Données projet'!C13=0%),0,Calculateur!CY3)</f>
        <v>221.7429870520005</v>
      </c>
      <c r="D10" s="147">
        <f>IF(OR('Données projet'!B13="",'Données projet'!C13="",'Données projet'!C13=0%),0,Calculateur!CZ3)</f>
        <v>182.2029938397186</v>
      </c>
      <c r="E10" s="147">
        <f t="shared" ca="1" si="0"/>
        <v>182.2029938397186</v>
      </c>
      <c r="F10" s="147">
        <f t="shared" ca="1" si="1"/>
        <v>160.42973607587223</v>
      </c>
      <c r="G10" s="147">
        <f ca="1">F10*(100%-'Données projet'!$C$24)*(100%-'Données projet'!$C$25)*(100%-'Données projet'!$C$26)*(100%-'Données projet'!$C$27)</f>
        <v>144.38676246828501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144.38676246828501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1449.4535001157253</v>
      </c>
      <c r="G16" s="166">
        <f t="shared" ca="1" si="3"/>
        <v>1304.5081501041527</v>
      </c>
      <c r="H16" s="167">
        <f t="shared" si="3"/>
        <v>24.584692983485599</v>
      </c>
      <c r="I16" s="167">
        <f t="shared" si="3"/>
        <v>22.126223685137038</v>
      </c>
      <c r="J16" s="168">
        <f t="shared" si="3"/>
        <v>225.35652461538459</v>
      </c>
      <c r="K16" s="168">
        <f t="shared" si="3"/>
        <v>202.82087215384615</v>
      </c>
      <c r="L16" s="169">
        <f t="shared" ca="1" si="3"/>
        <v>1529.4552459431359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Séquoia géant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6" zoomScale="80" zoomScaleNormal="80" workbookViewId="0">
      <selection activeCell="C65" sqref="C6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Séquoia géant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4926.153723513482</v>
      </c>
      <c r="U10" s="178">
        <f>'Données projet'!D9</f>
        <v>0.29350000000000004</v>
      </c>
      <c r="V10" s="177">
        <f>U10*T10</f>
        <v>1445.8261178512071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-393.79526096344262</v>
      </c>
      <c r="U11" s="178">
        <f>'Données projet'!D10</f>
        <v>3.3458999999999999</v>
      </c>
      <c r="V11" s="177">
        <f t="shared" ref="V11" si="0">U11*T11</f>
        <v>-1317.5995636575826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-119.9927968837643</v>
      </c>
      <c r="U12" s="178">
        <f>'Données projet'!D11</f>
        <v>0.46960000000000002</v>
      </c>
      <c r="V12" s="177">
        <f t="shared" ref="V12:V19" si="1">U12*T12</f>
        <v>-56.348617416615717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plane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-293.99279688376441</v>
      </c>
      <c r="U13" s="178">
        <f>'Données projet'!D12</f>
        <v>0.88049999999999995</v>
      </c>
      <c r="V13" s="177">
        <f t="shared" si="1"/>
        <v>-258.86065765615456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Séquoia géant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-1089.5506436169503</v>
      </c>
      <c r="U14" s="178">
        <f>'Données projet'!D13</f>
        <v>0.88049999999999995</v>
      </c>
      <c r="V14" s="177">
        <f t="shared" si="1"/>
        <v>-959.34934170472468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2904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750+950</f>
        <v>1700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900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900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-23401.220794384426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69.284615384615378</v>
      </c>
      <c r="C24" s="193">
        <v>12</v>
      </c>
      <c r="D24" s="182">
        <f t="shared" ref="D24:D42" si="2">B24*C24</f>
        <v>831.41538461538448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416.43392969312583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-23817.654724077551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65.669230769230765</v>
      </c>
      <c r="C26" s="193">
        <v>45</v>
      </c>
      <c r="D26" s="182">
        <f t="shared" si="2"/>
        <v>2955.1153846153843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36</v>
      </c>
      <c r="B27" s="181">
        <f>'Données projet'!D40</f>
        <v>69.3</v>
      </c>
      <c r="C27" s="193">
        <v>50</v>
      </c>
      <c r="D27" s="182">
        <f t="shared" si="2"/>
        <v>3465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42</v>
      </c>
      <c r="B28" s="181">
        <f>'Données projet'!D41</f>
        <v>73.392307692307682</v>
      </c>
      <c r="C28" s="193">
        <v>55</v>
      </c>
      <c r="D28" s="182">
        <f t="shared" si="2"/>
        <v>4036.5769230769224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1365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29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71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95</v>
      </c>
      <c r="C56" s="191">
        <v>10</v>
      </c>
      <c r="D56" s="179">
        <f t="shared" si="4"/>
        <v>950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107</v>
      </c>
      <c r="C57" s="191">
        <v>15</v>
      </c>
      <c r="D57" s="179">
        <f t="shared" si="4"/>
        <v>1605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108</v>
      </c>
      <c r="C58" s="191">
        <v>30</v>
      </c>
      <c r="D58" s="179">
        <f t="shared" si="4"/>
        <v>3240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103</v>
      </c>
      <c r="C59" s="191">
        <v>35</v>
      </c>
      <c r="D59" s="179">
        <f t="shared" si="4"/>
        <v>3605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94</v>
      </c>
      <c r="C60" s="191">
        <v>50</v>
      </c>
      <c r="D60" s="179">
        <f t="shared" si="4"/>
        <v>4700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83</v>
      </c>
      <c r="C61" s="191">
        <v>60</v>
      </c>
      <c r="D61" s="179">
        <f t="shared" si="4"/>
        <v>4980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2234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7</v>
      </c>
      <c r="C85" s="191">
        <v>5</v>
      </c>
      <c r="D85" s="179">
        <f>B85*C85</f>
        <v>35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84</v>
      </c>
      <c r="C86" s="191">
        <v>10</v>
      </c>
      <c r="D86" s="179">
        <f t="shared" ref="D86:D104" si="6">B86*C86</f>
        <v>840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84</v>
      </c>
      <c r="C87" s="191">
        <v>15</v>
      </c>
      <c r="D87" s="179">
        <f t="shared" si="6"/>
        <v>1260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82</v>
      </c>
      <c r="C88" s="191">
        <v>20</v>
      </c>
      <c r="D88" s="179">
        <f t="shared" si="6"/>
        <v>1640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47</v>
      </c>
      <c r="C89" s="191">
        <v>30</v>
      </c>
      <c r="D89" s="179">
        <f t="shared" si="6"/>
        <v>1410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35</v>
      </c>
      <c r="C90" s="191">
        <v>35</v>
      </c>
      <c r="D90" s="179">
        <f t="shared" si="6"/>
        <v>1225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31</v>
      </c>
      <c r="C91" s="191">
        <v>45</v>
      </c>
      <c r="D91" s="179">
        <f t="shared" si="6"/>
        <v>1395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395</v>
      </c>
      <c r="C92" s="191">
        <v>70</v>
      </c>
      <c r="D92" s="179">
        <f t="shared" si="6"/>
        <v>27650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plane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2408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7</v>
      </c>
      <c r="C116" s="191">
        <v>5</v>
      </c>
      <c r="D116" s="179">
        <f>B116*C116</f>
        <v>35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84</v>
      </c>
      <c r="C117" s="191">
        <v>10</v>
      </c>
      <c r="D117" s="179">
        <f t="shared" ref="D117:D135" si="8">B117*C117</f>
        <v>840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1">
        <v>15</v>
      </c>
      <c r="D118" s="179">
        <f t="shared" si="8"/>
        <v>1260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82</v>
      </c>
      <c r="C119" s="191">
        <v>20</v>
      </c>
      <c r="D119" s="179">
        <f t="shared" si="8"/>
        <v>1640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47</v>
      </c>
      <c r="C120" s="191">
        <v>30</v>
      </c>
      <c r="D120" s="179">
        <f t="shared" si="8"/>
        <v>1410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35</v>
      </c>
      <c r="C121" s="191">
        <v>35</v>
      </c>
      <c r="D121" s="179">
        <f t="shared" si="8"/>
        <v>1225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31</v>
      </c>
      <c r="C122" s="191">
        <v>45</v>
      </c>
      <c r="D122" s="179">
        <f t="shared" si="8"/>
        <v>1395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395</v>
      </c>
      <c r="C123" s="191">
        <v>70</v>
      </c>
      <c r="D123" s="179">
        <f t="shared" si="8"/>
        <v>27650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2581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35</v>
      </c>
      <c r="B148" s="175">
        <f>'Données projet'!D141</f>
        <v>60.602564102564102</v>
      </c>
      <c r="C148" s="191">
        <v>12</v>
      </c>
      <c r="D148" s="182">
        <f t="shared" ref="D148:D166" si="10">B148*C148</f>
        <v>727.23076923076928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41</v>
      </c>
      <c r="B149" s="175">
        <f>'Données projet'!D142</f>
        <v>38.512820512820511</v>
      </c>
      <c r="C149" s="191">
        <v>35</v>
      </c>
      <c r="D149" s="182">
        <f t="shared" si="10"/>
        <v>1347.9487179487178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48</v>
      </c>
      <c r="B150" s="175">
        <f>'Données projet'!D143</f>
        <v>48.025641025641022</v>
      </c>
      <c r="C150" s="191">
        <v>45</v>
      </c>
      <c r="D150" s="182">
        <f t="shared" si="10"/>
        <v>2161.1538461538462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55</v>
      </c>
      <c r="B151" s="175">
        <f>'Données projet'!D144</f>
        <v>45.147435897435898</v>
      </c>
      <c r="C151" s="191">
        <v>50</v>
      </c>
      <c r="D151" s="182">
        <f t="shared" si="10"/>
        <v>2257.3717948717949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63</v>
      </c>
      <c r="B152" s="175">
        <f>'Données projet'!D145</f>
        <v>41.724358974358978</v>
      </c>
      <c r="C152" s="191">
        <v>55</v>
      </c>
      <c r="D152" s="182">
        <f t="shared" si="10"/>
        <v>2294.8397435897436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71</v>
      </c>
      <c r="B153" s="175">
        <f>'Données projet'!D146</f>
        <v>39.935897435897431</v>
      </c>
      <c r="C153" s="191">
        <v>60</v>
      </c>
      <c r="D153" s="182">
        <f t="shared" si="10"/>
        <v>2396.1538461538457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45.608974358974358</v>
      </c>
      <c r="C154" s="191">
        <v>80</v>
      </c>
      <c r="D154" s="182">
        <f t="shared" si="10"/>
        <v>3648.7179487179487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89</v>
      </c>
      <c r="B155" s="175">
        <f>'Données projet'!D148</f>
        <v>49.391025641025635</v>
      </c>
      <c r="C155" s="191">
        <v>80</v>
      </c>
      <c r="D155" s="182">
        <f t="shared" si="10"/>
        <v>3951.2820512820508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99</v>
      </c>
      <c r="B156" s="175">
        <f>'Données projet'!D149</f>
        <v>48.019230769230766</v>
      </c>
      <c r="C156" s="191">
        <v>80</v>
      </c>
      <c r="D156" s="182">
        <f t="shared" si="10"/>
        <v>3841.5384615384614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109</v>
      </c>
      <c r="B157" s="175">
        <f>'Données projet'!D150</f>
        <v>51.28846153846154</v>
      </c>
      <c r="C157" s="191">
        <v>80</v>
      </c>
      <c r="D157" s="182">
        <f t="shared" si="10"/>
        <v>4103.0769230769229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119</v>
      </c>
      <c r="B158" s="175">
        <f>'Données projet'!D151</f>
        <v>150.02564102564102</v>
      </c>
      <c r="C158" s="191">
        <v>80</v>
      </c>
      <c r="D158" s="182">
        <f t="shared" si="10"/>
        <v>12002.051282051281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123</v>
      </c>
      <c r="B159" s="175">
        <f>'Données projet'!D152</f>
        <v>77.17307692307692</v>
      </c>
      <c r="C159" s="191">
        <v>80</v>
      </c>
      <c r="D159" s="182">
        <f t="shared" si="10"/>
        <v>6173.8461538461534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127</v>
      </c>
      <c r="B160" s="175">
        <f>'Données projet'!D153</f>
        <v>49.916666666666671</v>
      </c>
      <c r="C160" s="191">
        <v>80</v>
      </c>
      <c r="D160" s="182">
        <f t="shared" si="10"/>
        <v>3993.3333333333339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131</v>
      </c>
      <c r="B161" s="175">
        <f>'Données projet'!D154</f>
        <v>110.91025641025641</v>
      </c>
      <c r="C161" s="191">
        <v>80</v>
      </c>
      <c r="D161" s="182">
        <f t="shared" si="10"/>
        <v>8872.8205128205118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2024-11-26T09:23:47Z</dcterms:modified>
</cp:coreProperties>
</file>