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CHASTEL (43) - M. ROBERT Nicolas-SWC A6\Dossier déposé 15042024\"/>
    </mc:Choice>
  </mc:AlternateContent>
  <xr:revisionPtr revIDLastSave="0" documentId="13_ncr:1_{FF351E83-18D1-48CB-BD3B-10EED4A66F47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7" i="2" a="1"/>
  <c r="BC7" i="2" s="1"/>
  <c r="BC151" i="2" a="1"/>
  <c r="BC151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26" i="2" l="1" a="1"/>
  <c r="BC126" i="2" s="1"/>
  <c r="BC143" i="2" a="1"/>
  <c r="BC143" i="2" s="1"/>
  <c r="BC164" i="2" a="1"/>
  <c r="BC164" i="2" s="1"/>
  <c r="BC117" i="2" a="1"/>
  <c r="BC117" i="2" s="1"/>
  <c r="BC185" i="2" a="1"/>
  <c r="BC185" i="2" s="1"/>
  <c r="BC181" i="2" a="1"/>
  <c r="BC181" i="2" s="1"/>
  <c r="BC84" i="2" a="1"/>
  <c r="BC84" i="2" s="1"/>
  <c r="BC65" i="2" a="1"/>
  <c r="BC65" i="2" s="1"/>
  <c r="BC31" i="2" a="1"/>
  <c r="BC31" i="2" s="1"/>
  <c r="BC32" i="2" a="1"/>
  <c r="BC32" i="2" s="1"/>
  <c r="BC114" i="2" a="1"/>
  <c r="BC114" i="2" s="1"/>
  <c r="BC18" i="2" a="1"/>
  <c r="BC18" i="2" s="1"/>
  <c r="BC55" i="2" a="1"/>
  <c r="BC55" i="2" s="1"/>
  <c r="BC47" i="2" a="1"/>
  <c r="BC47" i="2" s="1"/>
  <c r="BC192" i="2" a="1"/>
  <c r="BC192" i="2" s="1"/>
  <c r="BC130" i="2" a="1"/>
  <c r="BC130" i="2" s="1"/>
  <c r="BC82" i="2" a="1"/>
  <c r="BC82" i="2" s="1"/>
  <c r="BC38" i="2" a="1"/>
  <c r="BC38" i="2" s="1"/>
  <c r="BC83" i="2" a="1"/>
  <c r="BC83" i="2" s="1"/>
  <c r="BC68" i="2" a="1"/>
  <c r="BC68" i="2" s="1"/>
  <c r="BC58" i="2" a="1"/>
  <c r="BC58" i="2" s="1"/>
  <c r="BC34" i="2" a="1"/>
  <c r="BC34" i="2" s="1"/>
  <c r="AH19" i="2" a="1"/>
  <c r="AH19" i="2" s="1"/>
  <c r="AH151" i="2" a="1"/>
  <c r="AH151" i="2" s="1"/>
  <c r="AH90" i="2" a="1"/>
  <c r="AH90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<sst xmlns="http://schemas.openxmlformats.org/spreadsheetml/2006/main" count="1171" uniqueCount="324">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</sst>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/>
      <protection locked="0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/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1.926314882834071</c:v>
                </c:pt>
                <c:pt idx="2">
                  <c:v>2.5532474106476828</c:v>
                </c:pt>
                <c:pt idx="3">
                  <c:v>3.3850673009441832</c:v>
                </c:pt>
                <c:pt idx="4">
                  <c:v>4.4889949430577785</c:v>
                </c:pt>
                <c:pt idx="5">
                  <c:v>5.954384900376918</c:v>
                </c:pt>
                <c:pt idx="6">
                  <c:v>7.9000387192750807</c:v>
                </c:pt>
                <c:pt idx="7">
                  <c:v>10.483941252844305</c:v>
                </c:pt>
                <c:pt idx="8">
                  <c:v>13.916225936437435</c:v>
                </c:pt>
                <c:pt idx="9">
                  <c:v>18.476442819328614</c:v>
                </c:pt>
                <c:pt idx="10">
                  <c:v>24.536561149803063</c:v>
                </c:pt>
                <c:pt idx="11">
                  <c:v>32.591615924031565</c:v>
                </c:pt>
                <c:pt idx="12">
                  <c:v>44.826212120359862</c:v>
                </c:pt>
                <c:pt idx="13">
                  <c:v>65.678542983439797</c:v>
                </c:pt>
                <c:pt idx="14">
                  <c:v>86.35761715132638</c:v>
                </c:pt>
                <c:pt idx="15">
                  <c:v>106.91133858352821</c:v>
                </c:pt>
                <c:pt idx="16">
                  <c:v>127.36736159028824</c:v>
                </c:pt>
                <c:pt idx="17">
                  <c:v>147.74364184630954</c:v>
                </c:pt>
                <c:pt idx="18">
                  <c:v>168.05274649271524</c:v>
                </c:pt>
                <c:pt idx="19">
                  <c:v>137.51621307046494</c:v>
                </c:pt>
                <c:pt idx="20">
                  <c:v>165.35609439035721</c:v>
                </c:pt>
                <c:pt idx="21">
                  <c:v>193.08503334502541</c:v>
                </c:pt>
                <c:pt idx="22">
                  <c:v>220.72122887104692</c:v>
                </c:pt>
                <c:pt idx="23">
                  <c:v>248.27793278265418</c:v>
                </c:pt>
                <c:pt idx="24">
                  <c:v>275.76520815708415</c:v>
                </c:pt>
                <c:pt idx="25">
                  <c:v>303.19094548652555</c:v>
                </c:pt>
                <c:pt idx="26">
                  <c:v>330.56149026614338</c:v>
                </c:pt>
                <c:pt idx="27">
                  <c:v>357.88205118735056</c:v>
                </c:pt>
                <c:pt idx="28">
                  <c:v>299.98657109396248</c:v>
                </c:pt>
                <c:pt idx="29">
                  <c:v>328.14781216838452</c:v>
                </c:pt>
                <c:pt idx="30">
                  <c:v>356.25570990739305</c:v>
                </c:pt>
                <c:pt idx="31">
                  <c:v>384.31506065077718</c:v>
                </c:pt>
                <c:pt idx="32">
                  <c:v>412.32990345958405</c:v>
                </c:pt>
                <c:pt idx="33">
                  <c:v>440.30368407602055</c:v>
                </c:pt>
                <c:pt idx="34">
                  <c:v>468.23937501008982</c:v>
                </c:pt>
                <c:pt idx="35">
                  <c:v>496.13956546209948</c:v>
                </c:pt>
                <c:pt idx="36">
                  <c:v>524.00652996147824</c:v>
                </c:pt>
                <c:pt idx="37">
                  <c:v>551.84228164560091</c:v>
                </c:pt>
                <c:pt idx="38">
                  <c:v>579.64861423230298</c:v>
                </c:pt>
                <c:pt idx="39">
                  <c:v>497.78128068494561</c:v>
                </c:pt>
                <c:pt idx="40">
                  <c:v>522.3397128256164</c:v>
                </c:pt>
                <c:pt idx="41">
                  <c:v>546.87381842343837</c:v>
                </c:pt>
                <c:pt idx="42">
                  <c:v>571.38484111103992</c:v>
                </c:pt>
                <c:pt idx="43">
                  <c:v>595.87390923757721</c:v>
                </c:pt>
                <c:pt idx="44">
                  <c:v>620.34205094868571</c:v>
                </c:pt>
                <c:pt idx="45">
                  <c:v>644.79020676522134</c:v>
                </c:pt>
                <c:pt idx="46">
                  <c:v>669.21924015656953</c:v>
                </c:pt>
                <c:pt idx="47">
                  <c:v>693.62994649119219</c:v>
                </c:pt>
                <c:pt idx="48">
                  <c:v>718.02306066290214</c:v>
                </c:pt>
                <c:pt idx="49">
                  <c:v>742.39926362799406</c:v>
                </c:pt>
                <c:pt idx="50">
                  <c:v>766.75918804010917</c:v>
                </c:pt>
                <c:pt idx="51">
                  <c:v>694.09193941061665</c:v>
                </c:pt>
                <c:pt idx="52">
                  <c:v>717.77123997525314</c:v>
                </c:pt>
                <c:pt idx="53">
                  <c:v>741.43459832817109</c:v>
                </c:pt>
                <c:pt idx="54">
                  <c:v>765.08259421150342</c:v>
                </c:pt>
                <c:pt idx="55">
                  <c:v>788.71576865535792</c:v>
                </c:pt>
                <c:pt idx="56">
                  <c:v>812.33462766831974</c:v>
                </c:pt>
                <c:pt idx="57">
                  <c:v>835.93964547696658</c:v>
                </c:pt>
                <c:pt idx="58">
                  <c:v>859.53126738093079</c:v>
                </c:pt>
                <c:pt idx="59">
                  <c:v>883.10991227863758</c:v>
                </c:pt>
                <c:pt idx="60">
                  <c:v>906.67597490964772</c:v>
                </c:pt>
                <c:pt idx="61">
                  <c:v>930.22982785208831</c:v>
                </c:pt>
                <c:pt idx="62">
                  <c:v>953.7718233075592</c:v>
                </c:pt>
                <c:pt idx="63">
                  <c:v>977.30229470091763</c:v>
                </c:pt>
                <c:pt idx="64">
                  <c:v>1000.8215581182208</c:v>
                </c:pt>
                <c:pt idx="65">
                  <c:v>633.89404321407949</c:v>
                </c:pt>
                <c:pt idx="66">
                  <c:v>657.44854745472765</c:v>
                </c:pt>
                <c:pt idx="67">
                  <c:v>680.98567721693644</c:v>
                </c:pt>
                <c:pt idx="68">
                  <c:v>480.30853891265775</c:v>
                </c:pt>
                <c:pt idx="69">
                  <c:v>496.8931539293024</c:v>
                </c:pt>
                <c:pt idx="70">
                  <c:v>513.46604745703473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1.4732177927749994</c:v>
                </c:pt>
                <c:pt idx="2">
                  <c:v>1.6815036893419268</c:v>
                </c:pt>
                <c:pt idx="3">
                  <c:v>1.9193454561142003</c:v>
                </c:pt>
                <c:pt idx="4">
                  <c:v>2.1909516395630759</c:v>
                </c:pt>
                <c:pt idx="5">
                  <c:v>2.5011320061218556</c:v>
                </c:pt>
                <c:pt idx="6">
                  <c:v>2.8553836917174205</c:v>
                </c:pt>
                <c:pt idx="7">
                  <c:v>3.2599897305702097</c:v>
                </c:pt>
                <c:pt idx="8">
                  <c:v>3.7221317467270256</c:v>
                </c:pt>
                <c:pt idx="9">
                  <c:v>4.2500188493448894</c:v>
                </c:pt>
                <c:pt idx="10">
                  <c:v>4.8530350675730078</c:v>
                </c:pt>
                <c:pt idx="11">
                  <c:v>5.5419079983888473</c:v>
                </c:pt>
                <c:pt idx="12">
                  <c:v>6.3289017271241486</c:v>
                </c:pt>
                <c:pt idx="13">
                  <c:v>7.2280375227573224</c:v>
                </c:pt>
                <c:pt idx="14">
                  <c:v>8.2553463164707654</c:v>
                </c:pt>
                <c:pt idx="15">
                  <c:v>9.4291575517759227</c:v>
                </c:pt>
                <c:pt idx="16">
                  <c:v>10.770429658348805</c:v>
                </c:pt>
                <c:pt idx="17">
                  <c:v>12.303128161796103</c:v>
                </c:pt>
                <c:pt idx="18">
                  <c:v>14.054658311864737</c:v>
                </c:pt>
                <c:pt idx="19">
                  <c:v>16.056360108125162</c:v>
                </c:pt>
                <c:pt idx="20">
                  <c:v>18.344074743241951</c:v>
                </c:pt>
                <c:pt idx="21">
                  <c:v>20.958792790602114</c:v>
                </c:pt>
                <c:pt idx="22">
                  <c:v>23.947395959369658</c:v>
                </c:pt>
                <c:pt idx="23">
                  <c:v>27.363505953544419</c:v>
                </c:pt>
                <c:pt idx="24">
                  <c:v>31.268455933908857</c:v>
                </c:pt>
                <c:pt idx="25">
                  <c:v>35.732402329033739</c:v>
                </c:pt>
                <c:pt idx="26">
                  <c:v>40.835597315236662</c:v>
                </c:pt>
                <c:pt idx="27">
                  <c:v>46.66984523304194</c:v>
                </c:pt>
                <c:pt idx="28">
                  <c:v>53.340169583690788</c:v>
                </c:pt>
                <c:pt idx="29">
                  <c:v>60.966721115941247</c:v>
                </c:pt>
                <c:pt idx="30">
                  <c:v>69.686961942212008</c:v>
                </c:pt>
                <c:pt idx="31">
                  <c:v>79.658165695905168</c:v>
                </c:pt>
                <c:pt idx="32">
                  <c:v>91.060279552271638</c:v>
                </c:pt>
                <c:pt idx="33">
                  <c:v>104.09920059091104</c:v>
                </c:pt>
                <c:pt idx="34">
                  <c:v>119.01052660205272</c:v>
                </c:pt>
                <c:pt idx="35">
                  <c:v>136.06385017222954</c:v>
                </c:pt>
                <c:pt idx="36">
                  <c:v>134.06224411559205</c:v>
                </c:pt>
                <c:pt idx="37">
                  <c:v>158.95743274579917</c:v>
                </c:pt>
                <c:pt idx="38">
                  <c:v>183.76002398573556</c:v>
                </c:pt>
                <c:pt idx="39">
                  <c:v>208.48429071270994</c:v>
                </c:pt>
                <c:pt idx="40">
                  <c:v>233.14083266094289</c:v>
                </c:pt>
                <c:pt idx="41">
                  <c:v>257.73781973296803</c:v>
                </c:pt>
                <c:pt idx="42">
                  <c:v>282.28173313763551</c:v>
                </c:pt>
                <c:pt idx="43">
                  <c:v>260.31580836333916</c:v>
                </c:pt>
                <c:pt idx="44">
                  <c:v>291.35968900426894</c:v>
                </c:pt>
                <c:pt idx="45">
                  <c:v>322.32967160078414</c:v>
                </c:pt>
                <c:pt idx="46">
                  <c:v>353.23384883311263</c:v>
                </c:pt>
                <c:pt idx="47">
                  <c:v>384.07878146645083</c:v>
                </c:pt>
                <c:pt idx="48">
                  <c:v>414.86989071264458</c:v>
                </c:pt>
                <c:pt idx="49">
                  <c:v>445.61172782190926</c:v>
                </c:pt>
                <c:pt idx="50">
                  <c:v>398.65464533874712</c:v>
                </c:pt>
                <c:pt idx="51">
                  <c:v>430.47165001439402</c:v>
                </c:pt>
                <c:pt idx="52">
                  <c:v>462.23813782669254</c:v>
                </c:pt>
                <c:pt idx="53">
                  <c:v>493.95806359196217</c:v>
                </c:pt>
                <c:pt idx="54">
                  <c:v>525.63483327780216</c:v>
                </c:pt>
                <c:pt idx="55">
                  <c:v>557.27140932262012</c:v>
                </c:pt>
                <c:pt idx="56">
                  <c:v>588.87039079533167</c:v>
                </c:pt>
                <c:pt idx="57">
                  <c:v>513.33761937276915</c:v>
                </c:pt>
                <c:pt idx="58">
                  <c:v>542.25384905825092</c:v>
                </c:pt>
                <c:pt idx="59">
                  <c:v>571.13771329739097</c:v>
                </c:pt>
                <c:pt idx="60">
                  <c:v>599.99107673035928</c:v>
                </c:pt>
                <c:pt idx="61">
                  <c:v>628.81561026689167</c:v>
                </c:pt>
                <c:pt idx="62">
                  <c:v>657.6128193475796</c:v>
                </c:pt>
                <c:pt idx="63">
                  <c:v>686.38406700138478</c:v>
                </c:pt>
                <c:pt idx="64">
                  <c:v>715.13059283965902</c:v>
                </c:pt>
                <c:pt idx="65">
                  <c:v>743.8535288404405</c:v>
                </c:pt>
                <c:pt idx="66">
                  <c:v>664.08567824181875</c:v>
                </c:pt>
                <c:pt idx="67">
                  <c:v>688.23196395993557</c:v>
                </c:pt>
                <c:pt idx="68">
                  <c:v>712.36088790593647</c:v>
                </c:pt>
                <c:pt idx="69">
                  <c:v>736.47312013790133</c:v>
                </c:pt>
                <c:pt idx="70">
                  <c:v>760.56928331972767</c:v>
                </c:pt>
                <c:pt idx="71">
                  <c:v>784.64995749848174</c:v>
                </c:pt>
                <c:pt idx="72">
                  <c:v>808.7156842655022</c:v>
                </c:pt>
                <c:pt idx="73">
                  <c:v>832.76697039707142</c:v>
                </c:pt>
                <c:pt idx="74">
                  <c:v>856.80429105317887</c:v>
                </c:pt>
                <c:pt idx="75">
                  <c:v>772.89956681281035</c:v>
                </c:pt>
                <c:pt idx="76">
                  <c:v>792.59672901726651</c:v>
                </c:pt>
                <c:pt idx="77">
                  <c:v>812.28400019063076</c:v>
                </c:pt>
                <c:pt idx="78">
                  <c:v>831.96165353467222</c:v>
                </c:pt>
                <c:pt idx="79">
                  <c:v>851.62994828976218</c:v>
                </c:pt>
                <c:pt idx="80">
                  <c:v>871.28913076077697</c:v>
                </c:pt>
                <c:pt idx="81">
                  <c:v>890.93943524570989</c:v>
                </c:pt>
                <c:pt idx="82">
                  <c:v>910.58108487820573</c:v>
                </c:pt>
                <c:pt idx="83">
                  <c:v>930.21429239371719</c:v>
                </c:pt>
                <c:pt idx="84">
                  <c:v>842.8896232807914</c:v>
                </c:pt>
                <c:pt idx="85">
                  <c:v>858.98882515918592</c:v>
                </c:pt>
                <c:pt idx="86">
                  <c:v>875.08197905317002</c:v>
                </c:pt>
                <c:pt idx="87">
                  <c:v>891.16921173878018</c:v>
                </c:pt>
                <c:pt idx="88">
                  <c:v>907.25064504682712</c:v>
                </c:pt>
                <c:pt idx="89">
                  <c:v>923.32639614181892</c:v>
                </c:pt>
                <c:pt idx="90">
                  <c:v>939.39657778047069</c:v>
                </c:pt>
                <c:pt idx="91">
                  <c:v>955.46129855162496</c:v>
                </c:pt>
                <c:pt idx="92">
                  <c:v>971.52066309922031</c:v>
                </c:pt>
                <c:pt idx="93">
                  <c:v>881.74740105957051</c:v>
                </c:pt>
                <c:pt idx="94">
                  <c:v>895.30498657771579</c:v>
                </c:pt>
                <c:pt idx="95">
                  <c:v>908.85847396169981</c:v>
                </c:pt>
                <c:pt idx="96">
                  <c:v>922.40793287857912</c:v>
                </c:pt>
                <c:pt idx="97">
                  <c:v>935.95343078385042</c:v>
                </c:pt>
                <c:pt idx="98">
                  <c:v>949.49503302330356</c:v>
                </c:pt>
                <c:pt idx="99">
                  <c:v>963.032802928769</c:v>
                </c:pt>
                <c:pt idx="100">
                  <c:v>976.56680190820623</c:v>
                </c:pt>
                <c:pt idx="101">
                  <c:v>990.09708953054678</c:v>
                </c:pt>
                <c:pt idx="102">
                  <c:v>898.4065672873495</c:v>
                </c:pt>
                <c:pt idx="103">
                  <c:v>910.00688846331639</c:v>
                </c:pt>
                <c:pt idx="104">
                  <c:v>921.60426258974201</c:v>
                </c:pt>
                <c:pt idx="105">
                  <c:v>933.19873194680576</c:v>
                </c:pt>
                <c:pt idx="106">
                  <c:v>944.79033767933697</c:v>
                </c:pt>
                <c:pt idx="107">
                  <c:v>956.37911984114737</c:v>
                </c:pt>
                <c:pt idx="108">
                  <c:v>967.96511743710346</c:v>
                </c:pt>
                <c:pt idx="109">
                  <c:v>979.5483684630841</c:v>
                </c:pt>
                <c:pt idx="110">
                  <c:v>991.12890994394911</c:v>
                </c:pt>
                <c:pt idx="111">
                  <c:v>897.9470873540904</c:v>
                </c:pt>
                <c:pt idx="112">
                  <c:v>908.05456659939694</c:v>
                </c:pt>
                <c:pt idx="113">
                  <c:v>918.1598031462903</c:v>
                </c:pt>
                <c:pt idx="114">
                  <c:v>928.26282513830677</c:v>
                </c:pt>
                <c:pt idx="115">
                  <c:v>938.36366005689251</c:v>
                </c:pt>
                <c:pt idx="116">
                  <c:v>948.46233474408439</c:v>
                </c:pt>
                <c:pt idx="117">
                  <c:v>958.55887542418077</c:v>
                </c:pt>
                <c:pt idx="118">
                  <c:v>968.65330772444861</c:v>
                </c:pt>
                <c:pt idx="119">
                  <c:v>978.74565669492847</c:v>
                </c:pt>
                <c:pt idx="120">
                  <c:v>884.5052115326738</c:v>
                </c:pt>
                <c:pt idx="121">
                  <c:v>893.58179353066009</c:v>
                </c:pt>
                <c:pt idx="122">
                  <c:v>902.656534672676</c:v>
                </c:pt>
                <c:pt idx="123">
                  <c:v>911.72945606212659</c:v>
                </c:pt>
                <c:pt idx="124">
                  <c:v>920.80057834844183</c:v>
                </c:pt>
                <c:pt idx="125">
                  <c:v>929.86992174131012</c:v>
                </c:pt>
                <c:pt idx="126">
                  <c:v>938.93750602433158</c:v>
                </c:pt>
                <c:pt idx="127">
                  <c:v>948.00335056811639</c:v>
                </c:pt>
                <c:pt idx="128">
                  <c:v>957.06747434285342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175.21027396812136</c:v>
                </c:pt>
                <c:pt idx="27">
                  <c:v>195.8838145879254</c:v>
                </c:pt>
                <c:pt idx="28">
                  <c:v>216.50666233809886</c:v>
                </c:pt>
                <c:pt idx="29">
                  <c:v>237.08432568129521</c:v>
                </c:pt>
                <c:pt idx="30">
                  <c:v>257.62127772428215</c:v>
                </c:pt>
                <c:pt idx="31">
                  <c:v>228.17257887218292</c:v>
                </c:pt>
                <c:pt idx="32">
                  <c:v>246.67306214732389</c:v>
                </c:pt>
                <c:pt idx="33">
                  <c:v>265.14204459810429</c:v>
                </c:pt>
                <c:pt idx="34">
                  <c:v>283.58202888251463</c:v>
                </c:pt>
                <c:pt idx="35">
                  <c:v>301.99516552771883</c:v>
                </c:pt>
                <c:pt idx="36">
                  <c:v>270.26707351328014</c:v>
                </c:pt>
                <c:pt idx="37">
                  <c:v>286.31154709420952</c:v>
                </c:pt>
                <c:pt idx="38">
                  <c:v>302.33590858145311</c:v>
                </c:pt>
                <c:pt idx="39">
                  <c:v>318.34137394785938</c:v>
                </c:pt>
                <c:pt idx="40">
                  <c:v>334.32902690172904</c:v>
                </c:pt>
                <c:pt idx="41">
                  <c:v>300.63210759978887</c:v>
                </c:pt>
                <c:pt idx="42">
                  <c:v>314.59704855401986</c:v>
                </c:pt>
                <c:pt idx="43">
                  <c:v>328.54825156463448</c:v>
                </c:pt>
                <c:pt idx="44">
                  <c:v>342.48638220302018</c:v>
                </c:pt>
                <c:pt idx="45">
                  <c:v>356.41204743833867</c:v>
                </c:pt>
                <c:pt idx="46">
                  <c:v>330.92884034916193</c:v>
                </c:pt>
                <c:pt idx="47">
                  <c:v>342.82617852900444</c:v>
                </c:pt>
                <c:pt idx="48">
                  <c:v>354.71444390147082</c:v>
                </c:pt>
                <c:pt idx="49">
                  <c:v>366.59398347144844</c:v>
                </c:pt>
                <c:pt idx="50">
                  <c:v>378.46511991321876</c:v>
                </c:pt>
                <c:pt idx="51">
                  <c:v>360.14615329066828</c:v>
                </c:pt>
                <c:pt idx="52">
                  <c:v>370.6650184301746</c:v>
                </c:pt>
                <c:pt idx="53">
                  <c:v>381.17737444442332</c:v>
                </c:pt>
                <c:pt idx="54">
                  <c:v>391.68342621612163</c:v>
                </c:pt>
                <c:pt idx="55">
                  <c:v>402.18336673633206</c:v>
                </c:pt>
                <c:pt idx="56">
                  <c:v>388.97277965128006</c:v>
                </c:pt>
                <c:pt idx="57">
                  <c:v>397.78089798901993</c:v>
                </c:pt>
                <c:pt idx="58">
                  <c:v>406.58479291095324</c:v>
                </c:pt>
                <c:pt idx="59">
                  <c:v>415.38456880992311</c:v>
                </c:pt>
                <c:pt idx="60">
                  <c:v>424.18032529272597</c:v>
                </c:pt>
                <c:pt idx="61">
                  <c:v>410.98518940455659</c:v>
                </c:pt>
                <c:pt idx="62">
                  <c:v>418.0913790215223</c:v>
                </c:pt>
                <c:pt idx="63">
                  <c:v>425.19496598542577</c:v>
                </c:pt>
                <c:pt idx="64">
                  <c:v>432.29599994035442</c:v>
                </c:pt>
                <c:pt idx="65">
                  <c:v>439.39452876533943</c:v>
                </c:pt>
                <c:pt idx="66">
                  <c:v>427.22409121469815</c:v>
                </c:pt>
                <c:pt idx="67">
                  <c:v>433.64829237194994</c:v>
                </c:pt>
                <c:pt idx="68">
                  <c:v>440.070450172959</c:v>
                </c:pt>
                <c:pt idx="69">
                  <c:v>446.49059866524129</c:v>
                </c:pt>
                <c:pt idx="70">
                  <c:v>452.90877083660661</c:v>
                </c:pt>
                <c:pt idx="71">
                  <c:v>441.76015637738465</c:v>
                </c:pt>
                <c:pt idx="72">
                  <c:v>447.5041248287875</c:v>
                </c:pt>
                <c:pt idx="73">
                  <c:v>453.24651523667291</c:v>
                </c:pt>
                <c:pt idx="74">
                  <c:v>458.98735042977302</c:v>
                </c:pt>
                <c:pt idx="75">
                  <c:v>464.72665261874414</c:v>
                </c:pt>
                <c:pt idx="76">
                  <c:v>454.59743907080389</c:v>
                </c:pt>
                <c:pt idx="77">
                  <c:v>459.66264159638718</c:v>
                </c:pt>
                <c:pt idx="78">
                  <c:v>464.72665261874414</c:v>
                </c:pt>
                <c:pt idx="79">
                  <c:v>469.78948696374727</c:v>
                </c:pt>
                <c:pt idx="80">
                  <c:v>474.85115911139525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9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C111" sqref="C11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3.9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0.43840000000000001</v>
      </c>
      <c r="D9" s="36">
        <f t="shared" ref="D9:D18" si="0">C9*$C$5</f>
        <v>1.7097599999999999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46</v>
      </c>
      <c r="C10" s="35">
        <v>0.5333</v>
      </c>
      <c r="D10" s="36">
        <f t="shared" si="0"/>
        <v>2.0798700000000001</v>
      </c>
      <c r="E10" s="37">
        <v>128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23</v>
      </c>
      <c r="C11" s="35">
        <v>2.8199999999999999E-2</v>
      </c>
      <c r="D11" s="36">
        <f t="shared" si="0"/>
        <v>0.10997999999999999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0.99990000000000001</v>
      </c>
      <c r="D19" s="41">
        <f>SUM(D9:D18)</f>
        <v>3.89961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346">
        <v>11</v>
      </c>
      <c r="B36" s="348">
        <v>25</v>
      </c>
      <c r="C36" s="348">
        <v>1</v>
      </c>
      <c r="D36" s="348">
        <v>7</v>
      </c>
      <c r="E36" s="347">
        <v>0.1</v>
      </c>
      <c r="F36" s="347">
        <v>0.4</v>
      </c>
      <c r="G36" s="347">
        <v>0.5</v>
      </c>
      <c r="H36" s="347">
        <v>0</v>
      </c>
      <c r="I36" s="52">
        <f>IFERROR(B36/A36,"")</f>
        <v>2.2727272727272729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346">
        <v>18</v>
      </c>
      <c r="B37" s="348">
        <v>135</v>
      </c>
      <c r="C37" s="348">
        <v>2</v>
      </c>
      <c r="D37" s="348">
        <v>48</v>
      </c>
      <c r="E37" s="347">
        <v>0.4</v>
      </c>
      <c r="F37" s="347">
        <v>0.3</v>
      </c>
      <c r="G37" s="347">
        <v>0.3</v>
      </c>
      <c r="H37" s="347">
        <v>0</v>
      </c>
      <c r="I37" s="56">
        <f t="shared" ref="I37:I55" si="1">IF(A37&lt;&gt;0,(B37-(B36-D36))/(A37-A36),"")</f>
        <v>16.714285714285715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346">
        <v>27</v>
      </c>
      <c r="B38" s="348">
        <v>293</v>
      </c>
      <c r="C38" s="348">
        <v>3</v>
      </c>
      <c r="D38" s="348">
        <v>72</v>
      </c>
      <c r="E38" s="347">
        <v>0.5</v>
      </c>
      <c r="F38" s="347">
        <v>0.3</v>
      </c>
      <c r="G38" s="347">
        <v>0.2</v>
      </c>
      <c r="H38" s="347">
        <v>0</v>
      </c>
      <c r="I38" s="56">
        <f t="shared" si="1"/>
        <v>22.888888888888889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346">
        <v>38</v>
      </c>
      <c r="B39" s="348">
        <v>480</v>
      </c>
      <c r="C39" s="348">
        <v>4</v>
      </c>
      <c r="D39" s="348">
        <v>90</v>
      </c>
      <c r="E39" s="347"/>
      <c r="F39" s="347"/>
      <c r="G39" s="347"/>
      <c r="H39" s="347"/>
      <c r="I39" s="52">
        <f t="shared" si="1"/>
        <v>23.545454545454547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346">
        <v>50</v>
      </c>
      <c r="B40" s="348">
        <v>639</v>
      </c>
      <c r="C40" s="348">
        <v>5</v>
      </c>
      <c r="D40" s="348">
        <v>82</v>
      </c>
      <c r="E40" s="347"/>
      <c r="F40" s="347"/>
      <c r="G40" s="347"/>
      <c r="H40" s="347"/>
      <c r="I40" s="52">
        <f t="shared" si="1"/>
        <v>20.75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346">
        <v>64</v>
      </c>
      <c r="B41" s="348">
        <v>839</v>
      </c>
      <c r="C41" s="348">
        <v>6</v>
      </c>
      <c r="D41" s="348">
        <v>333</v>
      </c>
      <c r="E41" s="347"/>
      <c r="F41" s="347"/>
      <c r="G41" s="347"/>
      <c r="H41" s="347"/>
      <c r="I41" s="56">
        <f t="shared" si="1"/>
        <v>20.142857142857142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346">
        <v>67</v>
      </c>
      <c r="B42" s="348">
        <v>566</v>
      </c>
      <c r="C42" s="348">
        <v>7</v>
      </c>
      <c r="D42" s="348">
        <v>184</v>
      </c>
      <c r="E42" s="347"/>
      <c r="F42" s="347"/>
      <c r="G42" s="347"/>
      <c r="H42" s="347"/>
      <c r="I42" s="56">
        <f t="shared" si="1"/>
        <v>20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346">
        <v>70</v>
      </c>
      <c r="B43" s="346">
        <v>424</v>
      </c>
      <c r="C43" s="348">
        <v>8</v>
      </c>
      <c r="D43" s="346">
        <v>424</v>
      </c>
      <c r="E43" s="347"/>
      <c r="F43" s="347"/>
      <c r="G43" s="347"/>
      <c r="H43" s="347"/>
      <c r="I43" s="52">
        <f t="shared" si="1"/>
        <v>14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346"/>
      <c r="B44" s="346"/>
      <c r="C44" s="348"/>
      <c r="D44" s="346"/>
      <c r="E44" s="347"/>
      <c r="F44" s="347"/>
      <c r="G44" s="347"/>
      <c r="H44" s="347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343"/>
      <c r="B45" s="345"/>
      <c r="C45" s="345"/>
      <c r="D45" s="345"/>
      <c r="E45" s="344"/>
      <c r="F45" s="344"/>
      <c r="G45" s="344"/>
      <c r="H45" s="34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Sapin pectiné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35</v>
      </c>
      <c r="B62" s="63">
        <v>123</v>
      </c>
      <c r="C62" s="63">
        <v>1</v>
      </c>
      <c r="D62" s="63">
        <v>25</v>
      </c>
      <c r="E62" s="54"/>
      <c r="F62" s="54"/>
      <c r="G62" s="54"/>
      <c r="H62" s="54"/>
      <c r="I62" s="56">
        <f>IFERROR(B62/A62,"")</f>
        <v>3.5142857142857142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42</v>
      </c>
      <c r="B63" s="63">
        <v>260</v>
      </c>
      <c r="C63" s="63">
        <v>2</v>
      </c>
      <c r="D63" s="63">
        <v>50</v>
      </c>
      <c r="E63" s="54"/>
      <c r="F63" s="54"/>
      <c r="G63" s="54"/>
      <c r="H63" s="54"/>
      <c r="I63" s="52">
        <f>IF(A63&lt;&gt;0,(B63-(B62-D62))/(A63-A62),"")</f>
        <v>23.142857142857142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49</v>
      </c>
      <c r="B64" s="63">
        <v>415</v>
      </c>
      <c r="C64" s="63">
        <v>3</v>
      </c>
      <c r="D64" s="63">
        <v>75</v>
      </c>
      <c r="E64" s="54"/>
      <c r="F64" s="54"/>
      <c r="G64" s="54"/>
      <c r="H64" s="54"/>
      <c r="I64" s="52">
        <f>IF(A64&lt;&gt;0,(B64-(B63-D63))/(A64-A63),"")</f>
        <v>29.285714285714285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56</v>
      </c>
      <c r="B65" s="63">
        <v>552</v>
      </c>
      <c r="C65" s="63">
        <v>4</v>
      </c>
      <c r="D65" s="63">
        <v>100</v>
      </c>
      <c r="E65" s="54"/>
      <c r="F65" s="54"/>
      <c r="G65" s="54"/>
      <c r="H65" s="54"/>
      <c r="I65" s="52">
        <f>IF(A65&lt;&gt;0,(B65-(B64-D64))/(A65-A64),"")</f>
        <v>30.285714285714285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65</v>
      </c>
      <c r="B66" s="63">
        <v>701</v>
      </c>
      <c r="C66" s="63">
        <v>5</v>
      </c>
      <c r="D66" s="63">
        <v>100</v>
      </c>
      <c r="E66" s="54"/>
      <c r="F66" s="54"/>
      <c r="G66" s="54"/>
      <c r="H66" s="54"/>
      <c r="I66" s="52">
        <f t="shared" ref="I66:I81" si="2">IF(A66&lt;&gt;0,(B66-(B65-D65))/(A66-A65),"")</f>
        <v>27.666666666666668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74</v>
      </c>
      <c r="B67" s="63">
        <v>810</v>
      </c>
      <c r="C67" s="63">
        <v>6</v>
      </c>
      <c r="D67" s="63">
        <v>100</v>
      </c>
      <c r="E67" s="54"/>
      <c r="F67" s="54"/>
      <c r="G67" s="54"/>
      <c r="H67" s="54"/>
      <c r="I67" s="52">
        <f t="shared" si="2"/>
        <v>23.222222222222221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83</v>
      </c>
      <c r="B68" s="63">
        <v>881</v>
      </c>
      <c r="C68" s="63">
        <v>7</v>
      </c>
      <c r="D68" s="63">
        <v>100</v>
      </c>
      <c r="E68" s="54"/>
      <c r="F68" s="54"/>
      <c r="G68" s="54"/>
      <c r="H68" s="54"/>
      <c r="I68" s="52">
        <f t="shared" si="2"/>
        <v>19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92</v>
      </c>
      <c r="B69" s="53">
        <v>921</v>
      </c>
      <c r="C69" s="53">
        <v>8</v>
      </c>
      <c r="D69" s="53">
        <v>100</v>
      </c>
      <c r="E69" s="54"/>
      <c r="F69" s="54"/>
      <c r="G69" s="54"/>
      <c r="H69" s="54"/>
      <c r="I69" s="52">
        <f t="shared" si="2"/>
        <v>15.555555555555555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101</v>
      </c>
      <c r="B70" s="53">
        <v>939</v>
      </c>
      <c r="C70" s="53">
        <v>9</v>
      </c>
      <c r="D70" s="53">
        <v>100</v>
      </c>
      <c r="E70" s="54"/>
      <c r="F70" s="54"/>
      <c r="G70" s="54"/>
      <c r="H70" s="54"/>
      <c r="I70" s="52">
        <f t="shared" si="2"/>
        <v>13.111111111111111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110</v>
      </c>
      <c r="B71" s="53">
        <v>940</v>
      </c>
      <c r="C71" s="53">
        <v>10</v>
      </c>
      <c r="D71" s="53">
        <v>100</v>
      </c>
      <c r="E71" s="54"/>
      <c r="F71" s="54"/>
      <c r="G71" s="54"/>
      <c r="H71" s="54"/>
      <c r="I71" s="52">
        <f t="shared" si="2"/>
        <v>11.222222222222221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119</v>
      </c>
      <c r="B72" s="53">
        <v>928</v>
      </c>
      <c r="C72" s="53">
        <v>11</v>
      </c>
      <c r="D72" s="53">
        <v>100</v>
      </c>
      <c r="E72" s="54"/>
      <c r="F72" s="54"/>
      <c r="G72" s="54"/>
      <c r="H72" s="54"/>
      <c r="I72" s="52">
        <f t="shared" si="2"/>
        <v>9.7777777777777786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128</v>
      </c>
      <c r="B73" s="53">
        <v>907</v>
      </c>
      <c r="C73" s="53">
        <v>12</v>
      </c>
      <c r="D73" s="53">
        <v>907</v>
      </c>
      <c r="E73" s="54"/>
      <c r="F73" s="54"/>
      <c r="G73" s="54"/>
      <c r="H73" s="54"/>
      <c r="I73" s="52">
        <f t="shared" si="2"/>
        <v>8.7777777777777786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Erable sycomore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3">
        <v>37</v>
      </c>
      <c r="C88" s="63">
        <v>1</v>
      </c>
      <c r="D88" s="63">
        <v>15</v>
      </c>
      <c r="E88" s="54"/>
      <c r="F88" s="54"/>
      <c r="G88" s="54">
        <v>1</v>
      </c>
      <c r="H88" s="93"/>
      <c r="I88" s="56">
        <f>IFERROR(B88/A88,"")</f>
        <v>2.4666666666666668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v>80</v>
      </c>
      <c r="C89" s="63">
        <v>2</v>
      </c>
      <c r="D89" s="63">
        <v>28</v>
      </c>
      <c r="E89" s="54"/>
      <c r="F89" s="54">
        <v>0.2</v>
      </c>
      <c r="G89" s="54">
        <v>0.8</v>
      </c>
      <c r="H89" s="93"/>
      <c r="I89" s="56">
        <f t="shared" ref="I89:I107" si="3">IF(A89&lt;&gt;0,(B89-(B88-D88))/(A89-A88),"")</f>
        <v>11.6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v>115</v>
      </c>
      <c r="C90" s="63">
        <v>3</v>
      </c>
      <c r="D90" s="63">
        <v>28</v>
      </c>
      <c r="E90" s="93"/>
      <c r="F90" s="93">
        <v>0.4</v>
      </c>
      <c r="G90" s="93">
        <v>0.6</v>
      </c>
      <c r="H90" s="93"/>
      <c r="I90" s="56">
        <f t="shared" si="3"/>
        <v>12.6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v>147</v>
      </c>
      <c r="C91" s="63">
        <v>4</v>
      </c>
      <c r="D91" s="63">
        <v>28</v>
      </c>
      <c r="E91" s="93">
        <v>0.2</v>
      </c>
      <c r="F91" s="93">
        <v>0.2</v>
      </c>
      <c r="G91" s="93">
        <v>0.6</v>
      </c>
      <c r="H91" s="93"/>
      <c r="I91" s="56">
        <f t="shared" si="3"/>
        <v>12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3">
        <v>173</v>
      </c>
      <c r="C92" s="63">
        <v>5</v>
      </c>
      <c r="D92" s="63">
        <v>28</v>
      </c>
      <c r="E92" s="93"/>
      <c r="F92" s="93"/>
      <c r="G92" s="93"/>
      <c r="H92" s="93"/>
      <c r="I92" s="56">
        <f t="shared" si="3"/>
        <v>10.8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3">
        <v>192</v>
      </c>
      <c r="C93" s="63">
        <v>6</v>
      </c>
      <c r="D93" s="63">
        <v>28</v>
      </c>
      <c r="E93" s="93"/>
      <c r="F93" s="93"/>
      <c r="G93" s="93"/>
      <c r="H93" s="93"/>
      <c r="I93" s="56">
        <f t="shared" si="3"/>
        <v>9.4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45</v>
      </c>
      <c r="B94" s="63">
        <v>205</v>
      </c>
      <c r="C94" s="63">
        <v>7</v>
      </c>
      <c r="D94" s="63">
        <v>22</v>
      </c>
      <c r="E94" s="93"/>
      <c r="F94" s="93"/>
      <c r="G94" s="93"/>
      <c r="H94" s="93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50</v>
      </c>
      <c r="B95" s="63">
        <v>218</v>
      </c>
      <c r="C95" s="63">
        <v>8</v>
      </c>
      <c r="D95" s="63">
        <v>17</v>
      </c>
      <c r="E95" s="93"/>
      <c r="F95" s="93"/>
      <c r="G95" s="93"/>
      <c r="H95" s="93"/>
      <c r="I95" s="56">
        <f t="shared" si="3"/>
        <v>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55</v>
      </c>
      <c r="B96" s="63">
        <v>232</v>
      </c>
      <c r="C96" s="63">
        <v>9</v>
      </c>
      <c r="D96" s="63">
        <v>13</v>
      </c>
      <c r="E96" s="93"/>
      <c r="F96" s="93"/>
      <c r="G96" s="93"/>
      <c r="H96" s="93"/>
      <c r="I96" s="56">
        <f t="shared" si="3"/>
        <v>6.2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60</v>
      </c>
      <c r="B97" s="63">
        <v>245</v>
      </c>
      <c r="C97" s="63">
        <v>10</v>
      </c>
      <c r="D97" s="63">
        <v>12</v>
      </c>
      <c r="E97" s="93"/>
      <c r="F97" s="93"/>
      <c r="G97" s="93"/>
      <c r="H97" s="93"/>
      <c r="I97" s="56">
        <f t="shared" si="3"/>
        <v>5.2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65</v>
      </c>
      <c r="B98" s="63">
        <v>254</v>
      </c>
      <c r="C98" s="63">
        <v>11</v>
      </c>
      <c r="D98" s="63">
        <v>11</v>
      </c>
      <c r="E98" s="93"/>
      <c r="F98" s="93"/>
      <c r="G98" s="93"/>
      <c r="H98" s="93"/>
      <c r="I98" s="56">
        <f t="shared" si="3"/>
        <v>4.2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70</v>
      </c>
      <c r="B99" s="63">
        <v>262</v>
      </c>
      <c r="C99" s="63">
        <v>12</v>
      </c>
      <c r="D99" s="63">
        <v>10</v>
      </c>
      <c r="E99" s="93"/>
      <c r="F99" s="93"/>
      <c r="G99" s="93"/>
      <c r="H99" s="93"/>
      <c r="I99" s="56">
        <f t="shared" si="3"/>
        <v>3.8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75</v>
      </c>
      <c r="B100" s="63">
        <v>269</v>
      </c>
      <c r="C100" s="63">
        <v>13</v>
      </c>
      <c r="D100" s="63">
        <v>9</v>
      </c>
      <c r="E100" s="68"/>
      <c r="F100" s="68"/>
      <c r="G100" s="68"/>
      <c r="H100" s="68"/>
      <c r="I100" s="56">
        <f t="shared" si="3"/>
        <v>3.4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80</v>
      </c>
      <c r="B101" s="63">
        <v>275</v>
      </c>
      <c r="C101" s="63">
        <v>14</v>
      </c>
      <c r="D101" s="63">
        <v>275</v>
      </c>
      <c r="E101" s="68"/>
      <c r="F101" s="68"/>
      <c r="G101" s="68"/>
      <c r="H101" s="68"/>
      <c r="I101" s="56">
        <f t="shared" si="3"/>
        <v>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A18" sqref="A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Douglas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Sapin pectiné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Erable sycomore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395.89088353191511</v>
      </c>
      <c r="T3" s="62">
        <f>IF('Données projet'!E9&gt;30,$R$33-$H$33,LOOKUP('Données projet'!$E$9,$A$3:$A$203,R3:R203)-LOOKUP('Données projet'!$E$9,$A$3:$A$203,$H$3:$H$203))</f>
        <v>322.63468857063492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476.32595424393645</v>
      </c>
      <c r="AO3" s="62">
        <f>IF('Données projet'!E10&gt;30,$AM$33-$H$33,LOOKUP('Données projet'!$E$10,$A$3:$A$203,AM3:AM203)-LOOKUP('Données projet'!$E$10,$A$3:$A$203,$H$3:$H$203))</f>
        <v>36.065940605453875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225.02590532358471</v>
      </c>
      <c r="BJ3" s="62">
        <f>IF('Données projet'!E11&gt;30,$BH$33-$H$33,LOOKUP('Données projet'!$E$11,$A$3:$A$203,BH3:BH203)-LOOKUP('Données projet'!$E$11,$A$3:$A$203,$H$3:$H$203))</f>
        <v>224.00025638752402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2.2727272727272729</v>
      </c>
      <c r="N4" s="14">
        <f>IF('Données projet'!$A$36&gt;35,N3+M4-V3,IF(A4&lt;'Données projet'!$A$36,$K$205^A4,IF(A4='Données projet'!$A$36,'Données projet'!$B$36,N3+M4-V3)))</f>
        <v>1.3399403191028385</v>
      </c>
      <c r="O4" s="14">
        <f>N4*VLOOKUP('Données projet'!$B$9,Paramètres!$A$1:$I$89,3,0)*VLOOKUP('Données projet'!$B$9,Paramètres!$A$1:$I$89,5,0)</f>
        <v>0.74902663837848671</v>
      </c>
      <c r="P4" s="14">
        <f>EXP(-1.0587+0.8836*LN(O4)+0.284)</f>
        <v>0.35699147616739141</v>
      </c>
      <c r="Q4" s="22">
        <f t="shared" ref="Q4:Q34" si="2">(O4+P4)*0.475*44/12</f>
        <v>1.926314882834071</v>
      </c>
      <c r="R4" s="62">
        <f t="shared" si="0"/>
        <v>295.25964821616736</v>
      </c>
      <c r="S4" s="62">
        <f ca="1">AVERAGE(OFFSET($R$3,0,0,'Données projet'!$E$9+1,1))-AVERAGE(OFFSET($H$3,0,0,'Données projet'!$E$9+1,1))</f>
        <v>395.89088353191511</v>
      </c>
      <c r="T4" s="62">
        <f>$T$3</f>
        <v>322.63468857063492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3.5142857142857142</v>
      </c>
      <c r="AI4" s="14">
        <f>IF('Données projet'!$A$62&gt;35,AI3+AH4-AQ3,IF(A4&lt;'Données projet'!$A$62,$AF$205^A4,IF(A4='Données projet'!$A$62,'Données projet'!$B$62,AI3+AH4-AQ3)))</f>
        <v>1.147391358270613</v>
      </c>
      <c r="AJ4" s="14">
        <f>AI4*VLOOKUP('Données projet'!$B$10,Paramètres!$A$1:$I$89,3,0)*VLOOKUP('Données projet'!$B$10,Paramètres!$A$1:$I$89,5,0)</f>
        <v>0.56681133098568282</v>
      </c>
      <c r="AK4" s="14">
        <f>EXP(-1.0587+0.8836*LN(AJ4)+0.284)</f>
        <v>0.27905534429182888</v>
      </c>
      <c r="AL4" s="22">
        <f t="shared" ref="AL4:AL67" si="4">(AJ4+AK4)*0.475*44/12</f>
        <v>1.4732177927749994</v>
      </c>
      <c r="AM4" s="62">
        <f t="shared" ref="AM4:AM67" si="5">AL4+(AD4+AE4)*44/12</f>
        <v>294.80655112610833</v>
      </c>
      <c r="AN4" s="62">
        <f ca="1">AVERAGE(OFFSET($AM$3,0,0,'Données projet'!$E$10+1,1))-AVERAGE(OFFSET($H$3,0,0,'Données projet'!$E$10+1,1))</f>
        <v>476.32595424393645</v>
      </c>
      <c r="AO4" s="62">
        <f>$AO$3</f>
        <v>36.065940605453875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2.4666666666666668</v>
      </c>
      <c r="BD4" s="13">
        <f>IF('Données projet'!$A$88&gt;35,BD3+BC4-BL3,IF(A4&lt;'Données projet'!$A$88,$BA$205^A4,IF(A4='Données projet'!$A$88,'Données projet'!$B$88,BD3+BC4-BL3)))</f>
        <v>1.2721747796233518</v>
      </c>
      <c r="BE4" s="14">
        <f>BD4*VLOOKUP('Données projet'!$B$11,Paramètres!$A$1:$I$89,3,0)*VLOOKUP('Données projet'!$B$11,Paramètres!$A$1:$I$89,5,0)</f>
        <v>1.0121422546683387</v>
      </c>
      <c r="BF4" s="14">
        <f>EXP(-1.0587+0.8836*LN(BE4)+0.284)</f>
        <v>0.46578286063395047</v>
      </c>
      <c r="BG4" s="22">
        <f t="shared" ref="BG4:BG67" si="7">(BE4+BF4)*0.475*44/12</f>
        <v>2.574052909151487</v>
      </c>
      <c r="BH4" s="62">
        <f t="shared" ref="BH4:BH67" si="8">BG4+(AY4+AZ4)*44/12</f>
        <v>295.90738624248479</v>
      </c>
      <c r="BI4" s="62">
        <f ca="1">AVERAGE(OFFSET($BH$3,0,0,'Données projet'!$E$11+1,1))-AVERAGE(OFFSET($H$3,0,0,'Données projet'!$E$11+1,1))</f>
        <v>225.02590532358471</v>
      </c>
      <c r="BJ4" s="62">
        <f>$BJ$3</f>
        <v>224.00025638752402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2.2727272727272729</v>
      </c>
      <c r="N5" s="14">
        <f>IF('Données projet'!$A$36&gt;35,N4+M5-V4,IF(A5&lt;'Données projet'!$A$36,$K$205^A5,IF(A5='Données projet'!$A$36,'Données projet'!$B$36,N4+M5-V4)))</f>
        <v>1.7954400587574166</v>
      </c>
      <c r="O5" s="14">
        <f>N5*VLOOKUP('Données projet'!$B$9,Paramètres!$A$1:$I$89,3,0)*VLOOKUP('Données projet'!$B$9,Paramètres!$A$1:$I$89,5,0)</f>
        <v>1.0036509928453958</v>
      </c>
      <c r="P5" s="14">
        <f t="shared" ref="P5:P68" si="33">EXP(-1.0587+0.8836*LN(O5)+0.284)</f>
        <v>0.46232838168915896</v>
      </c>
      <c r="Q5" s="22">
        <f t="shared" si="2"/>
        <v>2.5532474106476828</v>
      </c>
      <c r="R5" s="62">
        <f t="shared" si="0"/>
        <v>295.88658074398097</v>
      </c>
      <c r="S5" s="62">
        <f ca="1">AVERAGE(OFFSET($R$3,0,0,'Données projet'!$E$9+1,1))-AVERAGE(OFFSET($H$3,0,0,'Données projet'!$E$9+1,1))</f>
        <v>395.89088353191511</v>
      </c>
      <c r="T5" s="62">
        <f t="shared" ref="T5:T68" si="34">$T$3</f>
        <v>322.63468857063492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3.5142857142857142</v>
      </c>
      <c r="AI5" s="14">
        <f>IF('Données projet'!$A$62&gt;35,AI4+AH5-AQ4,IF(A5&lt;'Données projet'!$A$62,$AF$205^A5,IF(A5='Données projet'!$A$62,'Données projet'!$B$62,AI4+AH5-AQ4)))</f>
        <v>1.3165069290340823</v>
      </c>
      <c r="AJ5" s="14">
        <f>AI5*VLOOKUP('Données projet'!$B$10,Paramètres!$A$1:$I$89,3,0)*VLOOKUP('Données projet'!$B$10,Paramètres!$A$1:$I$89,5,0)</f>
        <v>0.65035442294283663</v>
      </c>
      <c r="AK5" s="14">
        <f t="shared" ref="AK5:AK68" si="35">EXP(-1.0587+0.8836*LN(AJ5)+0.284)</f>
        <v>0.31510224079415478</v>
      </c>
      <c r="AL5" s="22">
        <f t="shared" si="4"/>
        <v>1.6815036893419268</v>
      </c>
      <c r="AM5" s="62">
        <f t="shared" si="5"/>
        <v>295.01483702267524</v>
      </c>
      <c r="AN5" s="62">
        <f ca="1">AVERAGE(OFFSET($AM$3,0,0,'Données projet'!$E$10+1,1))-AVERAGE(OFFSET($H$3,0,0,'Données projet'!$E$10+1,1))</f>
        <v>476.32595424393645</v>
      </c>
      <c r="AO5" s="62">
        <f t="shared" ref="AO5:AO68" si="36">$AO$3</f>
        <v>36.065940605453875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2.4666666666666668</v>
      </c>
      <c r="BD5" s="13">
        <f>IF('Données projet'!$A$88&gt;35,BD4+BC5-BL4,IF(A5&lt;'Données projet'!$A$88,$BA$205^A5,IF(A5='Données projet'!$A$88,'Données projet'!$B$88,BD4+BC5-BL4)))</f>
        <v>1.6184286699097237</v>
      </c>
      <c r="BE5" s="14">
        <f>BD5*VLOOKUP('Données projet'!$B$11,Paramètres!$A$1:$I$89,3,0)*VLOOKUP('Données projet'!$B$11,Paramètres!$A$1:$I$89,5,0)</f>
        <v>1.2876218497801761</v>
      </c>
      <c r="BF5" s="14">
        <f t="shared" ref="BF5:BF68" si="37">EXP(-1.0587+0.8836*LN(BE5)+0.284)</f>
        <v>0.57618379541883336</v>
      </c>
      <c r="BG5" s="22">
        <f t="shared" si="7"/>
        <v>3.2461281653882743</v>
      </c>
      <c r="BH5" s="62">
        <f t="shared" si="8"/>
        <v>296.57946149872157</v>
      </c>
      <c r="BI5" s="62">
        <f ca="1">AVERAGE(OFFSET($BH$3,0,0,'Données projet'!$E$11+1,1))-AVERAGE(OFFSET($H$3,0,0,'Données projet'!$E$11+1,1))</f>
        <v>225.02590532358471</v>
      </c>
      <c r="BJ5" s="62">
        <f t="shared" ref="BJ5:BJ68" si="38">$BJ$3</f>
        <v>224.00025638752402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2.2727272727272729</v>
      </c>
      <c r="N6" s="14">
        <f>IF('Données projet'!$A$36&gt;35,N5+M6-V5,IF(A6&lt;'Données projet'!$A$36,$K$205^A6,IF(A6='Données projet'!$A$36,'Données projet'!$B$36,N5+M6-V5)))</f>
        <v>2.405782525261432</v>
      </c>
      <c r="O6" s="14">
        <f>N6*VLOOKUP('Données projet'!$B$9,Paramètres!$A$1:$I$89,3,0)*VLOOKUP('Données projet'!$B$9,Paramètres!$A$1:$I$89,5,0)</f>
        <v>1.3448324316211404</v>
      </c>
      <c r="P6" s="14">
        <f t="shared" si="33"/>
        <v>0.59874687992575926</v>
      </c>
      <c r="Q6" s="22">
        <f t="shared" si="2"/>
        <v>3.3850673009441832</v>
      </c>
      <c r="R6" s="62">
        <f t="shared" si="0"/>
        <v>296.71840063427749</v>
      </c>
      <c r="S6" s="62">
        <f ca="1">AVERAGE(OFFSET($R$3,0,0,'Données projet'!$E$9+1,1))-AVERAGE(OFFSET($H$3,0,0,'Données projet'!$E$9+1,1))</f>
        <v>395.89088353191511</v>
      </c>
      <c r="T6" s="62">
        <f t="shared" si="34"/>
        <v>322.63468857063492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3.5142857142857142</v>
      </c>
      <c r="AI6" s="14">
        <f>IF('Données projet'!$A$62&gt;35,AI5+AH6-AQ5,IF(A6&lt;'Données projet'!$A$62,$AF$205^A6,IF(A6='Données projet'!$A$62,'Données projet'!$B$62,AI5+AH6-AQ5)))</f>
        <v>1.5105486734770892</v>
      </c>
      <c r="AJ6" s="14">
        <f>AI6*VLOOKUP('Données projet'!$B$10,Paramètres!$A$1:$I$89,3,0)*VLOOKUP('Données projet'!$B$10,Paramètres!$A$1:$I$89,5,0)</f>
        <v>0.74621104469768207</v>
      </c>
      <c r="AK6" s="14">
        <f t="shared" si="35"/>
        <v>0.35580548512865312</v>
      </c>
      <c r="AL6" s="22">
        <f t="shared" si="4"/>
        <v>1.9193454561142003</v>
      </c>
      <c r="AM6" s="62">
        <f t="shared" si="5"/>
        <v>295.25267878944749</v>
      </c>
      <c r="AN6" s="62">
        <f ca="1">AVERAGE(OFFSET($AM$3,0,0,'Données projet'!$E$10+1,1))-AVERAGE(OFFSET($H$3,0,0,'Données projet'!$E$10+1,1))</f>
        <v>476.32595424393645</v>
      </c>
      <c r="AO6" s="62">
        <f t="shared" si="36"/>
        <v>36.065940605453875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2.4666666666666668</v>
      </c>
      <c r="BD6" s="13">
        <f>IF('Données projet'!$A$88&gt;35,BD5+BC6-BL5,IF(A6&lt;'Données projet'!$A$88,$BA$205^A6,IF(A6='Données projet'!$A$88,'Données projet'!$B$88,BD5+BC6-BL5)))</f>
        <v>2.0589241364785171</v>
      </c>
      <c r="BE6" s="14">
        <f>BD6*VLOOKUP('Données projet'!$B$11,Paramètres!$A$1:$I$89,3,0)*VLOOKUP('Données projet'!$B$11,Paramètres!$A$1:$I$89,5,0)</f>
        <v>1.6380800429823084</v>
      </c>
      <c r="BF6" s="14">
        <f t="shared" si="37"/>
        <v>0.71275221602487127</v>
      </c>
      <c r="BG6" s="22">
        <f t="shared" si="7"/>
        <v>4.0943661844375043</v>
      </c>
      <c r="BH6" s="62">
        <f t="shared" si="8"/>
        <v>297.4276995177708</v>
      </c>
      <c r="BI6" s="62">
        <f ca="1">AVERAGE(OFFSET($BH$3,0,0,'Données projet'!$E$11+1,1))-AVERAGE(OFFSET($H$3,0,0,'Données projet'!$E$11+1,1))</f>
        <v>225.02590532358471</v>
      </c>
      <c r="BJ6" s="62">
        <f t="shared" si="38"/>
        <v>224.00025638752402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2.2727272727272729</v>
      </c>
      <c r="N7" s="14">
        <f>IF('Données projet'!$A$36&gt;35,N6+M7-V6,IF(A7&lt;'Données projet'!$A$36,$K$205^A7,IF(A7='Données projet'!$A$36,'Données projet'!$B$36,N6+M7-V6)))</f>
        <v>3.2236050045908358</v>
      </c>
      <c r="O7" s="14">
        <f>N7*VLOOKUP('Données projet'!$B$9,Paramètres!$A$1:$I$89,3,0)*VLOOKUP('Données projet'!$B$9,Paramètres!$A$1:$I$89,5,0)</f>
        <v>1.8019951975662771</v>
      </c>
      <c r="P7" s="14">
        <f t="shared" si="33"/>
        <v>0.77541816686881104</v>
      </c>
      <c r="Q7" s="22">
        <f t="shared" si="2"/>
        <v>4.4889949430577785</v>
      </c>
      <c r="R7" s="62">
        <f t="shared" si="0"/>
        <v>297.82232827639109</v>
      </c>
      <c r="S7" s="62">
        <f ca="1">AVERAGE(OFFSET($R$3,0,0,'Données projet'!$E$9+1,1))-AVERAGE(OFFSET($H$3,0,0,'Données projet'!$E$9+1,1))</f>
        <v>395.89088353191511</v>
      </c>
      <c r="T7" s="62">
        <f t="shared" si="34"/>
        <v>322.63468857063492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3.5142857142857142</v>
      </c>
      <c r="AI7" s="14">
        <f>IF('Données projet'!$A$62&gt;35,AI6+AH7-AQ6,IF(A7&lt;'Données projet'!$A$62,$AF$205^A7,IF(A7='Données projet'!$A$62,'Données projet'!$B$62,AI6+AH7-AQ6)))</f>
        <v>1.7331904941947502</v>
      </c>
      <c r="AJ7" s="14">
        <f>AI7*VLOOKUP('Données projet'!$B$10,Paramètres!$A$1:$I$89,3,0)*VLOOKUP('Données projet'!$B$10,Paramètres!$A$1:$I$89,5,0)</f>
        <v>0.8561961041322067</v>
      </c>
      <c r="AK7" s="14">
        <f t="shared" si="35"/>
        <v>0.40176655973176012</v>
      </c>
      <c r="AL7" s="22">
        <f t="shared" si="4"/>
        <v>2.1909516395630759</v>
      </c>
      <c r="AM7" s="62">
        <f t="shared" si="5"/>
        <v>295.5242849728964</v>
      </c>
      <c r="AN7" s="62">
        <f ca="1">AVERAGE(OFFSET($AM$3,0,0,'Données projet'!$E$10+1,1))-AVERAGE(OFFSET($H$3,0,0,'Données projet'!$E$10+1,1))</f>
        <v>476.32595424393645</v>
      </c>
      <c r="AO7" s="62">
        <f t="shared" si="36"/>
        <v>36.065940605453875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2.4666666666666668</v>
      </c>
      <c r="BD7" s="13">
        <f>IF('Données projet'!$A$88&gt;35,BD6+BC7-BL6,IF(A7&lt;'Données projet'!$A$88,$BA$205^A7,IF(A7='Données projet'!$A$88,'Données projet'!$B$88,BD6+BC7-BL6)))</f>
        <v>2.6193113595857573</v>
      </c>
      <c r="BE7" s="14">
        <f>BD7*VLOOKUP('Données projet'!$B$11,Paramètres!$A$1:$I$89,3,0)*VLOOKUP('Données projet'!$B$11,Paramètres!$A$1:$I$89,5,0)</f>
        <v>2.0839241176864287</v>
      </c>
      <c r="BF7" s="14">
        <f t="shared" si="37"/>
        <v>0.88169040068036508</v>
      </c>
      <c r="BG7" s="22">
        <f t="shared" si="7"/>
        <v>5.1651119528221656</v>
      </c>
      <c r="BH7" s="62">
        <f t="shared" si="8"/>
        <v>298.49844528615546</v>
      </c>
      <c r="BI7" s="62">
        <f ca="1">AVERAGE(OFFSET($BH$3,0,0,'Données projet'!$E$11+1,1))-AVERAGE(OFFSET($H$3,0,0,'Données projet'!$E$11+1,1))</f>
        <v>225.02590532358471</v>
      </c>
      <c r="BJ7" s="62">
        <f t="shared" si="38"/>
        <v>224.00025638752402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2.2727272727272729</v>
      </c>
      <c r="N8" s="14">
        <f>IF('Données projet'!$A$36&gt;35,N7+M8-V7,IF(A8&lt;'Données projet'!$A$36,$K$205^A8,IF(A8='Données projet'!$A$36,'Données projet'!$B$36,N7+M8-V7)))</f>
        <v>4.3194383185129519</v>
      </c>
      <c r="O8" s="14">
        <f>N8*VLOOKUP('Données projet'!$B$9,Paramètres!$A$1:$I$89,3,0)*VLOOKUP('Données projet'!$B$9,Paramètres!$A$1:$I$89,5,0)</f>
        <v>2.4145660200487402</v>
      </c>
      <c r="P8" s="14">
        <f t="shared" si="33"/>
        <v>1.0042195686844186</v>
      </c>
      <c r="Q8" s="22">
        <f t="shared" si="2"/>
        <v>5.954384900376918</v>
      </c>
      <c r="R8" s="62">
        <f t="shared" si="0"/>
        <v>299.28771823371022</v>
      </c>
      <c r="S8" s="62">
        <f ca="1">AVERAGE(OFFSET($R$3,0,0,'Données projet'!$E$9+1,1))-AVERAGE(OFFSET($H$3,0,0,'Données projet'!$E$9+1,1))</f>
        <v>395.89088353191511</v>
      </c>
      <c r="T8" s="62">
        <f t="shared" si="34"/>
        <v>322.63468857063492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3.5142857142857142</v>
      </c>
      <c r="AI8" s="14">
        <f>IF('Données projet'!$A$62&gt;35,AI7+AH8-AQ7,IF(A8&lt;'Données projet'!$A$62,$AF$205^A8,IF(A8='Données projet'!$A$62,'Données projet'!$B$62,AI7+AH8-AQ7)))</f>
        <v>1.9886477952758295</v>
      </c>
      <c r="AJ8" s="14">
        <f>AI8*VLOOKUP('Données projet'!$B$10,Paramètres!$A$1:$I$89,3,0)*VLOOKUP('Données projet'!$B$10,Paramètres!$A$1:$I$89,5,0)</f>
        <v>0.98239201086625982</v>
      </c>
      <c r="AK8" s="14">
        <f t="shared" si="35"/>
        <v>0.45366464336638473</v>
      </c>
      <c r="AL8" s="22">
        <f t="shared" si="4"/>
        <v>2.5011320061218556</v>
      </c>
      <c r="AM8" s="62">
        <f t="shared" si="5"/>
        <v>295.83446533945516</v>
      </c>
      <c r="AN8" s="62">
        <f ca="1">AVERAGE(OFFSET($AM$3,0,0,'Données projet'!$E$10+1,1))-AVERAGE(OFFSET($H$3,0,0,'Données projet'!$E$10+1,1))</f>
        <v>476.32595424393645</v>
      </c>
      <c r="AO8" s="62">
        <f t="shared" si="36"/>
        <v>36.065940605453875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2.4666666666666668</v>
      </c>
      <c r="BD8" s="13">
        <f>IF('Données projet'!$A$88&gt;35,BD7+BC8-BL7,IF(A8&lt;'Données projet'!$A$88,$BA$205^A8,IF(A8='Données projet'!$A$88,'Données projet'!$B$88,BD7+BC8-BL7)))</f>
        <v>3.332221851645953</v>
      </c>
      <c r="BE8" s="14">
        <f>BD8*VLOOKUP('Données projet'!$B$11,Paramètres!$A$1:$I$89,3,0)*VLOOKUP('Données projet'!$B$11,Paramètres!$A$1:$I$89,5,0)</f>
        <v>2.6511157051695204</v>
      </c>
      <c r="BF8" s="14">
        <f t="shared" si="37"/>
        <v>1.0906707059957799</v>
      </c>
      <c r="BG8" s="22">
        <f t="shared" si="7"/>
        <v>6.5169446661128978</v>
      </c>
      <c r="BH8" s="62">
        <f t="shared" si="8"/>
        <v>299.85027799944623</v>
      </c>
      <c r="BI8" s="62">
        <f ca="1">AVERAGE(OFFSET($BH$3,0,0,'Données projet'!$E$11+1,1))-AVERAGE(OFFSET($H$3,0,0,'Données projet'!$E$11+1,1))</f>
        <v>225.02590532358471</v>
      </c>
      <c r="BJ8" s="62">
        <f t="shared" si="38"/>
        <v>224.00025638752402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2.2727272727272729</v>
      </c>
      <c r="N9" s="14">
        <f>IF('Données projet'!$A$36&gt;35,N8+M9-V8,IF(A9&lt;'Données projet'!$A$36,$K$205^A9,IF(A9='Données projet'!$A$36,'Données projet'!$B$36,N8+M9-V8)))</f>
        <v>5.7877895588532722</v>
      </c>
      <c r="O9" s="14">
        <f>N9*VLOOKUP('Données projet'!$B$9,Paramètres!$A$1:$I$89,3,0)*VLOOKUP('Données projet'!$B$9,Paramètres!$A$1:$I$89,5,0)</f>
        <v>3.2353743633989791</v>
      </c>
      <c r="P9" s="14">
        <f t="shared" si="33"/>
        <v>1.3005330352278619</v>
      </c>
      <c r="Q9" s="22">
        <f t="shared" si="2"/>
        <v>7.9000387192750807</v>
      </c>
      <c r="R9" s="62">
        <f t="shared" si="0"/>
        <v>301.23337205260839</v>
      </c>
      <c r="S9" s="62">
        <f ca="1">AVERAGE(OFFSET($R$3,0,0,'Données projet'!$E$9+1,1))-AVERAGE(OFFSET($H$3,0,0,'Données projet'!$E$9+1,1))</f>
        <v>395.89088353191511</v>
      </c>
      <c r="T9" s="62">
        <f t="shared" si="34"/>
        <v>322.63468857063492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3.5142857142857142</v>
      </c>
      <c r="AI9" s="14">
        <f>IF('Données projet'!$A$62&gt;35,AI8+AH9-AQ8,IF(A9&lt;'Données projet'!$A$62,$AF$205^A9,IF(A9='Données projet'!$A$62,'Données projet'!$B$62,AI8+AH9-AQ8)))</f>
        <v>2.281757294943394</v>
      </c>
      <c r="AJ9" s="14">
        <f>AI9*VLOOKUP('Données projet'!$B$10,Paramètres!$A$1:$I$89,3,0)*VLOOKUP('Données projet'!$B$10,Paramètres!$A$1:$I$89,5,0)</f>
        <v>1.1271881037020366</v>
      </c>
      <c r="AK9" s="14">
        <f t="shared" si="35"/>
        <v>0.51226664752327655</v>
      </c>
      <c r="AL9" s="22">
        <f t="shared" si="4"/>
        <v>2.8553836917174205</v>
      </c>
      <c r="AM9" s="62">
        <f t="shared" si="5"/>
        <v>296.18871702505072</v>
      </c>
      <c r="AN9" s="62">
        <f ca="1">AVERAGE(OFFSET($AM$3,0,0,'Données projet'!$E$10+1,1))-AVERAGE(OFFSET($H$3,0,0,'Données projet'!$E$10+1,1))</f>
        <v>476.32595424393645</v>
      </c>
      <c r="AO9" s="62">
        <f t="shared" si="36"/>
        <v>36.065940605453875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2.4666666666666668</v>
      </c>
      <c r="BD9" s="13">
        <f>IF('Données projet'!$A$88&gt;35,BD8+BC9-BL8,IF(A9&lt;'Données projet'!$A$88,$BA$205^A9,IF(A9='Données projet'!$A$88,'Données projet'!$B$88,BD8+BC9-BL8)))</f>
        <v>4.2391685997738069</v>
      </c>
      <c r="BE9" s="14">
        <f>BD9*VLOOKUP('Données projet'!$B$11,Paramètres!$A$1:$I$89,3,0)*VLOOKUP('Données projet'!$B$11,Paramètres!$A$1:$I$89,5,0)</f>
        <v>3.3726825379800407</v>
      </c>
      <c r="BF9" s="14">
        <f t="shared" si="37"/>
        <v>1.3491840083541735</v>
      </c>
      <c r="BG9" s="22">
        <f t="shared" si="7"/>
        <v>8.2239175681987557</v>
      </c>
      <c r="BH9" s="62">
        <f t="shared" si="8"/>
        <v>301.55725090153209</v>
      </c>
      <c r="BI9" s="62">
        <f ca="1">AVERAGE(OFFSET($BH$3,0,0,'Données projet'!$E$11+1,1))-AVERAGE(OFFSET($H$3,0,0,'Données projet'!$E$11+1,1))</f>
        <v>225.02590532358471</v>
      </c>
      <c r="BJ9" s="62">
        <f t="shared" si="38"/>
        <v>224.00025638752402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2.2727272727272729</v>
      </c>
      <c r="N10" s="14">
        <f>IF('Données projet'!$A$36&gt;35,N9+M10-V9,IF(A10&lt;'Données projet'!$A$36,$K$205^A10,IF(A10='Données projet'!$A$36,'Données projet'!$B$36,N9+M10-V9)))</f>
        <v>7.7552925883899313</v>
      </c>
      <c r="O10" s="14">
        <f>N10*VLOOKUP('Données projet'!$B$9,Paramètres!$A$1:$I$89,3,0)*VLOOKUP('Données projet'!$B$9,Paramètres!$A$1:$I$89,5,0)</f>
        <v>4.3352085569099721</v>
      </c>
      <c r="P10" s="14">
        <f t="shared" si="33"/>
        <v>1.684279243766184</v>
      </c>
      <c r="Q10" s="22">
        <f t="shared" si="2"/>
        <v>10.483941252844305</v>
      </c>
      <c r="R10" s="62">
        <f t="shared" si="0"/>
        <v>303.81727458617763</v>
      </c>
      <c r="S10" s="62">
        <f ca="1">AVERAGE(OFFSET($R$3,0,0,'Données projet'!$E$9+1,1))-AVERAGE(OFFSET($H$3,0,0,'Données projet'!$E$9+1,1))</f>
        <v>395.89088353191511</v>
      </c>
      <c r="T10" s="62">
        <f t="shared" si="34"/>
        <v>322.63468857063492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3.5142857142857142</v>
      </c>
      <c r="AI10" s="14">
        <f>IF('Données projet'!$A$62&gt;35,AI9+AH10-AQ9,IF(A10&lt;'Données projet'!$A$62,$AF$205^A10,IF(A10='Données projet'!$A$62,'Données projet'!$B$62,AI9+AH10-AQ9)))</f>
        <v>2.6180686018889805</v>
      </c>
      <c r="AJ10" s="14">
        <f>AI10*VLOOKUP('Données projet'!$B$10,Paramètres!$A$1:$I$89,3,0)*VLOOKUP('Données projet'!$B$10,Paramètres!$A$1:$I$89,5,0)</f>
        <v>1.2933258893331563</v>
      </c>
      <c r="AK10" s="14">
        <f t="shared" si="35"/>
        <v>0.57843854927174887</v>
      </c>
      <c r="AL10" s="22">
        <f t="shared" si="4"/>
        <v>3.2599897305702097</v>
      </c>
      <c r="AM10" s="62">
        <f t="shared" si="5"/>
        <v>296.59332306390354</v>
      </c>
      <c r="AN10" s="62">
        <f ca="1">AVERAGE(OFFSET($AM$3,0,0,'Données projet'!$E$10+1,1))-AVERAGE(OFFSET($H$3,0,0,'Données projet'!$E$10+1,1))</f>
        <v>476.32595424393645</v>
      </c>
      <c r="AO10" s="62">
        <f t="shared" si="36"/>
        <v>36.065940605453875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2.4666666666666668</v>
      </c>
      <c r="BD10" s="13">
        <f>IF('Données projet'!$A$88&gt;35,BD9+BC10-BL9,IF(A10&lt;'Données projet'!$A$88,$BA$205^A10,IF(A10='Données projet'!$A$88,'Données projet'!$B$88,BD9+BC10-BL9)))</f>
        <v>5.3929633792034757</v>
      </c>
      <c r="BE10" s="14">
        <f>BD10*VLOOKUP('Données projet'!$B$11,Paramètres!$A$1:$I$89,3,0)*VLOOKUP('Données projet'!$B$11,Paramètres!$A$1:$I$89,5,0)</f>
        <v>4.2906416644942853</v>
      </c>
      <c r="BF10" s="14">
        <f t="shared" si="37"/>
        <v>1.6689707336887791</v>
      </c>
      <c r="BG10" s="22">
        <f t="shared" si="7"/>
        <v>10.379658260168837</v>
      </c>
      <c r="BH10" s="62">
        <f t="shared" si="8"/>
        <v>303.71299159350212</v>
      </c>
      <c r="BI10" s="62">
        <f ca="1">AVERAGE(OFFSET($BH$3,0,0,'Données projet'!$E$11+1,1))-AVERAGE(OFFSET($H$3,0,0,'Données projet'!$E$11+1,1))</f>
        <v>225.02590532358471</v>
      </c>
      <c r="BJ10" s="62">
        <f t="shared" si="38"/>
        <v>224.00025638752402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2.2727272727272729</v>
      </c>
      <c r="N11" s="14">
        <f>IF('Données projet'!$A$36&gt;35,N10+M11-V10,IF(A11&lt;'Données projet'!$A$36,$K$205^A11,IF(A11='Données projet'!$A$36,'Données projet'!$B$36,N10+M11-V10)))</f>
        <v>10.391629225623083</v>
      </c>
      <c r="O11" s="14">
        <f>N11*VLOOKUP('Données projet'!$B$9,Paramètres!$A$1:$I$89,3,0)*VLOOKUP('Données projet'!$B$9,Paramètres!$A$1:$I$89,5,0)</f>
        <v>5.8089207371233043</v>
      </c>
      <c r="P11" s="14">
        <f t="shared" si="33"/>
        <v>2.1812568340369469</v>
      </c>
      <c r="Q11" s="22">
        <f t="shared" si="2"/>
        <v>13.916225936437435</v>
      </c>
      <c r="R11" s="62">
        <f t="shared" si="0"/>
        <v>307.24955926977077</v>
      </c>
      <c r="S11" s="62">
        <f ca="1">AVERAGE(OFFSET($R$3,0,0,'Données projet'!$E$9+1,1))-AVERAGE(OFFSET($H$3,0,0,'Données projet'!$E$9+1,1))</f>
        <v>395.89088353191511</v>
      </c>
      <c r="T11" s="62">
        <f t="shared" si="34"/>
        <v>322.63468857063492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3.5142857142857142</v>
      </c>
      <c r="AI11" s="14">
        <f>IF('Données projet'!$A$62&gt;35,AI10+AH11-AQ10,IF(A11&lt;'Données projet'!$A$62,$AF$205^A11,IF(A11='Données projet'!$A$62,'Données projet'!$B$62,AI10+AH11-AQ10)))</f>
        <v>3.0039492891670427</v>
      </c>
      <c r="AJ11" s="14">
        <f>AI11*VLOOKUP('Données projet'!$B$10,Paramètres!$A$1:$I$89,3,0)*VLOOKUP('Données projet'!$B$10,Paramètres!$A$1:$I$89,5,0)</f>
        <v>1.4839509488485192</v>
      </c>
      <c r="AK11" s="14">
        <f t="shared" si="35"/>
        <v>0.6531581880282421</v>
      </c>
      <c r="AL11" s="22">
        <f t="shared" si="4"/>
        <v>3.7221317467270256</v>
      </c>
      <c r="AM11" s="62">
        <f t="shared" si="5"/>
        <v>297.05546508006034</v>
      </c>
      <c r="AN11" s="62">
        <f ca="1">AVERAGE(OFFSET($AM$3,0,0,'Données projet'!$E$10+1,1))-AVERAGE(OFFSET($H$3,0,0,'Données projet'!$E$10+1,1))</f>
        <v>476.32595424393645</v>
      </c>
      <c r="AO11" s="62">
        <f t="shared" si="36"/>
        <v>36.065940605453875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2.4666666666666668</v>
      </c>
      <c r="BD11" s="13">
        <f>IF('Données projet'!$A$88&gt;35,BD10+BC11-BL10,IF(A11&lt;'Données projet'!$A$88,$BA$205^A11,IF(A11='Données projet'!$A$88,'Données projet'!$B$88,BD10+BC11-BL10)))</f>
        <v>6.8607919984549888</v>
      </c>
      <c r="BE11" s="14">
        <f>BD11*VLOOKUP('Données projet'!$B$11,Paramètres!$A$1:$I$89,3,0)*VLOOKUP('Données projet'!$B$11,Paramètres!$A$1:$I$89,5,0)</f>
        <v>5.4584461139707896</v>
      </c>
      <c r="BF11" s="14">
        <f t="shared" si="37"/>
        <v>2.0645540509389519</v>
      </c>
      <c r="BG11" s="22">
        <f t="shared" si="7"/>
        <v>13.102558620551131</v>
      </c>
      <c r="BH11" s="62">
        <f t="shared" si="8"/>
        <v>306.43589195388444</v>
      </c>
      <c r="BI11" s="62">
        <f ca="1">AVERAGE(OFFSET($BH$3,0,0,'Données projet'!$E$11+1,1))-AVERAGE(OFFSET($H$3,0,0,'Données projet'!$E$11+1,1))</f>
        <v>225.02590532358471</v>
      </c>
      <c r="BJ11" s="62">
        <f t="shared" si="38"/>
        <v>224.00025638752402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2.2727272727272729</v>
      </c>
      <c r="N12" s="14">
        <f>IF('Données projet'!$A$36&gt;35,N11+M12-V11,IF(A12&lt;'Données projet'!$A$36,$K$205^A12,IF(A12='Données projet'!$A$36,'Données projet'!$B$36,N11+M12-V11)))</f>
        <v>13.924162980579776</v>
      </c>
      <c r="O12" s="14">
        <f>N12*VLOOKUP('Données projet'!$B$9,Paramètres!$A$1:$I$89,3,0)*VLOOKUP('Données projet'!$B$9,Paramètres!$A$1:$I$89,5,0)</f>
        <v>7.7836071061440952</v>
      </c>
      <c r="P12" s="14">
        <f t="shared" si="33"/>
        <v>2.8248768092598935</v>
      </c>
      <c r="Q12" s="22">
        <f t="shared" si="2"/>
        <v>18.476442819328614</v>
      </c>
      <c r="R12" s="62">
        <f t="shared" si="0"/>
        <v>311.80977615266193</v>
      </c>
      <c r="S12" s="62">
        <f ca="1">AVERAGE(OFFSET($R$3,0,0,'Données projet'!$E$9+1,1))-AVERAGE(OFFSET($H$3,0,0,'Données projet'!$E$9+1,1))</f>
        <v>395.89088353191511</v>
      </c>
      <c r="T12" s="62">
        <f t="shared" si="34"/>
        <v>322.63468857063492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3.5142857142857142</v>
      </c>
      <c r="AI12" s="14">
        <f>IF('Données projet'!$A$62&gt;35,AI11+AH12-AQ11,IF(A12&lt;'Données projet'!$A$62,$AF$205^A12,IF(A12='Données projet'!$A$62,'Données projet'!$B$62,AI11+AH12-AQ11)))</f>
        <v>3.4467054550734155</v>
      </c>
      <c r="AJ12" s="14">
        <f>AI12*VLOOKUP('Données projet'!$B$10,Paramètres!$A$1:$I$89,3,0)*VLOOKUP('Données projet'!$B$10,Paramètres!$A$1:$I$89,5,0)</f>
        <v>1.7026724948062673</v>
      </c>
      <c r="AK12" s="14">
        <f t="shared" si="35"/>
        <v>0.73752971534390854</v>
      </c>
      <c r="AL12" s="22">
        <f t="shared" si="4"/>
        <v>4.2500188493448894</v>
      </c>
      <c r="AM12" s="62">
        <f t="shared" si="5"/>
        <v>297.5833521826782</v>
      </c>
      <c r="AN12" s="62">
        <f ca="1">AVERAGE(OFFSET($AM$3,0,0,'Données projet'!$E$10+1,1))-AVERAGE(OFFSET($H$3,0,0,'Données projet'!$E$10+1,1))</f>
        <v>476.32595424393645</v>
      </c>
      <c r="AO12" s="62">
        <f t="shared" si="36"/>
        <v>36.065940605453875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2.4666666666666668</v>
      </c>
      <c r="BD12" s="13">
        <f>IF('Données projet'!$A$88&gt;35,BD11+BC12-BL11,IF(A12&lt;'Données projet'!$A$88,$BA$205^A12,IF(A12='Données projet'!$A$88,'Données projet'!$B$88,BD11+BC12-BL11)))</f>
        <v>8.7281265486761299</v>
      </c>
      <c r="BE12" s="14">
        <f>BD12*VLOOKUP('Données projet'!$B$11,Paramètres!$A$1:$I$89,3,0)*VLOOKUP('Données projet'!$B$11,Paramètres!$A$1:$I$89,5,0)</f>
        <v>6.9440974821267289</v>
      </c>
      <c r="BF12" s="14">
        <f t="shared" si="37"/>
        <v>2.5538994442566798</v>
      </c>
      <c r="BG12" s="22">
        <f t="shared" si="7"/>
        <v>16.542344646784436</v>
      </c>
      <c r="BH12" s="62">
        <f t="shared" si="8"/>
        <v>309.87567798011776</v>
      </c>
      <c r="BI12" s="62">
        <f ca="1">AVERAGE(OFFSET($BH$3,0,0,'Données projet'!$E$11+1,1))-AVERAGE(OFFSET($H$3,0,0,'Données projet'!$E$11+1,1))</f>
        <v>225.02590532358471</v>
      </c>
      <c r="BJ12" s="62">
        <f t="shared" si="38"/>
        <v>224.00025638752402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2.2727272727272729</v>
      </c>
      <c r="N13" s="14">
        <f>IF('Données projet'!$A$36&gt;35,N12+M13-V12,IF(A13&lt;'Données projet'!$A$36,$K$205^A13,IF(A13='Données projet'!$A$36,'Données projet'!$B$36,N12+M13-V12)))</f>
        <v>18.657547387437997</v>
      </c>
      <c r="O13" s="14">
        <f>N13*VLOOKUP('Données projet'!$B$9,Paramètres!$A$1:$I$89,3,0)*VLOOKUP('Données projet'!$B$9,Paramètres!$A$1:$I$89,5,0)</f>
        <v>10.429568989577842</v>
      </c>
      <c r="P13" s="14">
        <f t="shared" si="33"/>
        <v>3.6584087040889899</v>
      </c>
      <c r="Q13" s="22">
        <f t="shared" si="2"/>
        <v>24.536561149803063</v>
      </c>
      <c r="R13" s="62">
        <f t="shared" si="0"/>
        <v>317.86989448313636</v>
      </c>
      <c r="S13" s="62">
        <f ca="1">AVERAGE(OFFSET($R$3,0,0,'Données projet'!$E$9+1,1))-AVERAGE(OFFSET($H$3,0,0,'Données projet'!$E$9+1,1))</f>
        <v>395.89088353191511</v>
      </c>
      <c r="T13" s="62">
        <f t="shared" si="34"/>
        <v>322.63468857063492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3.5142857142857142</v>
      </c>
      <c r="AI13" s="14">
        <f>IF('Données projet'!$A$62&gt;35,AI12+AH13-AQ12,IF(A13&lt;'Données projet'!$A$62,$AF$205^A13,IF(A13='Données projet'!$A$62,'Données projet'!$B$62,AI12+AH13-AQ12)))</f>
        <v>3.9547200536554179</v>
      </c>
      <c r="AJ13" s="14">
        <f>AI13*VLOOKUP('Données projet'!$B$10,Paramètres!$A$1:$I$89,3,0)*VLOOKUP('Données projet'!$B$10,Paramètres!$A$1:$I$89,5,0)</f>
        <v>1.9536317065057767</v>
      </c>
      <c r="AK13" s="14">
        <f t="shared" si="35"/>
        <v>0.83279991123949115</v>
      </c>
      <c r="AL13" s="22">
        <f t="shared" si="4"/>
        <v>4.8530350675730078</v>
      </c>
      <c r="AM13" s="62">
        <f t="shared" si="5"/>
        <v>298.1863684009063</v>
      </c>
      <c r="AN13" s="62">
        <f ca="1">AVERAGE(OFFSET($AM$3,0,0,'Données projet'!$E$10+1,1))-AVERAGE(OFFSET($H$3,0,0,'Données projet'!$E$10+1,1))</f>
        <v>476.32595424393645</v>
      </c>
      <c r="AO13" s="62">
        <f t="shared" si="36"/>
        <v>36.065940605453875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2.4666666666666668</v>
      </c>
      <c r="BD13" s="13">
        <f>IF('Données projet'!$A$88&gt;35,BD12+BC13-BL12,IF(A13&lt;'Données projet'!$A$88,$BA$205^A13,IF(A13='Données projet'!$A$88,'Données projet'!$B$88,BD12+BC13-BL12)))</f>
        <v>11.103702468586782</v>
      </c>
      <c r="BE13" s="14">
        <f>BD13*VLOOKUP('Données projet'!$B$11,Paramètres!$A$1:$I$89,3,0)*VLOOKUP('Données projet'!$B$11,Paramètres!$A$1:$I$89,5,0)</f>
        <v>8.8341056840076444</v>
      </c>
      <c r="BF13" s="14">
        <f t="shared" si="37"/>
        <v>3.1592306185484516</v>
      </c>
      <c r="BG13" s="22">
        <f t="shared" si="7"/>
        <v>20.888394060285197</v>
      </c>
      <c r="BH13" s="62">
        <f t="shared" si="8"/>
        <v>314.22172739361849</v>
      </c>
      <c r="BI13" s="62">
        <f ca="1">AVERAGE(OFFSET($BH$3,0,0,'Données projet'!$E$11+1,1))-AVERAGE(OFFSET($H$3,0,0,'Données projet'!$E$11+1,1))</f>
        <v>225.02590532358471</v>
      </c>
      <c r="BJ13" s="62">
        <f t="shared" si="38"/>
        <v>224.00025638752402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>
        <f>VLOOKUP(A14,'Données projet'!$A$35:$I$55,2,0)</f>
        <v>25</v>
      </c>
      <c r="L14" s="13">
        <f>VLOOKUP(A14,'Données projet'!$A$35:$I$55,9,0)</f>
        <v>2.2727272727272729</v>
      </c>
      <c r="M14" s="13">
        <f t="array" ref="M14">INDEX(L:L,MIN(IF(ISNUMBER(L14:L210),ROW(L14:L210),"")))</f>
        <v>2.2727272727272729</v>
      </c>
      <c r="N14" s="14">
        <f>IF('Données projet'!$A$36&gt;35,N13+M14-V13,IF(A14&lt;'Données projet'!$A$36,$K$205^A14,IF(A14='Données projet'!$A$36,'Données projet'!$B$36,N13+M14-V13)))</f>
        <v>25</v>
      </c>
      <c r="O14" s="14">
        <f>N14*VLOOKUP('Données projet'!$B$9,Paramètres!$A$1:$I$89,3,0)*VLOOKUP('Données projet'!$B$9,Paramètres!$A$1:$I$89,5,0)</f>
        <v>13.975</v>
      </c>
      <c r="P14" s="14">
        <f t="shared" si="33"/>
        <v>4.7378895257597513</v>
      </c>
      <c r="Q14" s="22">
        <f t="shared" si="2"/>
        <v>32.591615924031565</v>
      </c>
      <c r="R14" s="62">
        <f t="shared" si="0"/>
        <v>325.92494925736486</v>
      </c>
      <c r="S14" s="62">
        <f ca="1">AVERAGE(OFFSET($R$3,0,0,'Données projet'!$E$9+1,1))-AVERAGE(OFFSET($H$3,0,0,'Données projet'!$E$9+1,1))</f>
        <v>395.89088353191511</v>
      </c>
      <c r="T14" s="62">
        <f t="shared" si="34"/>
        <v>322.63468857063492</v>
      </c>
      <c r="U14" s="16">
        <f>IF(ISNA(VLOOKUP(A14,'Données projet'!$A$35:$I$55,3,0)),0,VLOOKUP(A14,'Données projet'!$A$35:$I$55,3,0))</f>
        <v>1</v>
      </c>
      <c r="V14" s="16">
        <f>IF(ISNA(VLOOKUP(A14,'Données projet'!$A$35:$I$55,4,0)),0,VLOOKUP(A14,'Données projet'!$A$35:$I$55,4,0))</f>
        <v>7</v>
      </c>
      <c r="W14" s="17">
        <f>IF(ISNA(VLOOKUP(A14,'Données projet'!$A$35:$I$55,5,0)),0%,VLOOKUP(A14,'Données projet'!$A$35:$I$55,5,0)*VLOOKUP('Données projet'!$B$9,Paramètres!$A$1:$I$89,7,0))</f>
        <v>5.5000000000000007E-2</v>
      </c>
      <c r="X14" s="17">
        <f>IF(ISNA(VLOOKUP(A14,'Données projet'!$A$35:$I$55,6,0)),0%,VLOOKUP(A14,'Données projet'!$A$35:$I$55,6,0)*VLOOKUP('Données projet'!$B$9,Paramètres!$A$1:$I$89,7,0))</f>
        <v>0.22000000000000003</v>
      </c>
      <c r="Y14" s="17">
        <f>IF(ISNA(VLOOKUP(A14,'Données projet'!$A$35:$I$55,7,0)),0%,VLOOKUP(A14,'Données projet'!$A$35:$I$55,7,0))</f>
        <v>0.5</v>
      </c>
      <c r="Z14" s="23">
        <f>EXP(-LN(2)/35)*Z13+(1-EXP(-LN(2)/35))/(LN(2)/35)*V14*W14*VLOOKUP('Données projet'!$B$9,Paramètres!$A$1:$I$89,3,0)*0.475*44/12</f>
        <v>0.28549656927742068</v>
      </c>
      <c r="AA14" s="23">
        <f>EXP(-LN(2)/25)*AA13+(1-EXP(-LN(2)/25))/(LN(2)/25)*Calculateur!V14*Calculateur!X14*VLOOKUP('Données projet'!$B$9,Paramètres!$A$1:$I$89,3,0)*0.475*44/12</f>
        <v>1.1374898420058166</v>
      </c>
      <c r="AB14" s="23">
        <f>EXP(-LN(2)/2)*AB13+(1-EXP(-LN(2)/2))/(LN(2)/2)*V14*Y14*VLOOKUP('Données projet'!$B$9,Paramètres!$A$1:$I$89,3,0)*0.475*44/12</f>
        <v>2.2152124901105306</v>
      </c>
      <c r="AC14" s="24">
        <f t="shared" si="3"/>
        <v>3.6381989013937677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3.5142857142857142</v>
      </c>
      <c r="AI14" s="14">
        <f>IF('Données projet'!$A$62&gt;35,AI13+AH14-AQ13,IF(A14&lt;'Données projet'!$A$62,$AF$205^A14,IF(A14='Données projet'!$A$62,'Données projet'!$B$62,AI13+AH14-AQ13)))</f>
        <v>4.5376116139437217</v>
      </c>
      <c r="AJ14" s="14">
        <f>AI14*VLOOKUP('Données projet'!$B$10,Paramètres!$A$1:$I$89,3,0)*VLOOKUP('Données projet'!$B$10,Paramètres!$A$1:$I$89,5,0)</f>
        <v>2.2415801372881985</v>
      </c>
      <c r="AK14" s="14">
        <f t="shared" si="35"/>
        <v>0.94037660819822111</v>
      </c>
      <c r="AL14" s="22">
        <f t="shared" si="4"/>
        <v>5.5419079983888473</v>
      </c>
      <c r="AM14" s="62">
        <f t="shared" si="5"/>
        <v>298.87524133172218</v>
      </c>
      <c r="AN14" s="62">
        <f ca="1">AVERAGE(OFFSET($AM$3,0,0,'Données projet'!$E$10+1,1))-AVERAGE(OFFSET($H$3,0,0,'Données projet'!$E$10+1,1))</f>
        <v>476.32595424393645</v>
      </c>
      <c r="AO14" s="62">
        <f t="shared" si="36"/>
        <v>36.065940605453875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2.4666666666666668</v>
      </c>
      <c r="BD14" s="13">
        <f>IF('Données projet'!$A$88&gt;35,BD13+BC14-BL13,IF(A14&lt;'Données projet'!$A$88,$BA$205^A14,IF(A14='Données projet'!$A$88,'Données projet'!$B$88,BD13+BC14-BL13)))</f>
        <v>14.125850240977657</v>
      </c>
      <c r="BE14" s="14">
        <f>BD14*VLOOKUP('Données projet'!$B$11,Paramètres!$A$1:$I$89,3,0)*VLOOKUP('Données projet'!$B$11,Paramètres!$A$1:$I$89,5,0)</f>
        <v>11.238526451721825</v>
      </c>
      <c r="BF14" s="14">
        <f t="shared" si="37"/>
        <v>3.9080387928425129</v>
      </c>
      <c r="BG14" s="22">
        <f t="shared" si="7"/>
        <v>26.380267800949554</v>
      </c>
      <c r="BH14" s="62">
        <f t="shared" si="8"/>
        <v>319.71360113428284</v>
      </c>
      <c r="BI14" s="62">
        <f ca="1">AVERAGE(OFFSET($BH$3,0,0,'Données projet'!$E$11+1,1))-AVERAGE(OFFSET($H$3,0,0,'Données projet'!$E$11+1,1))</f>
        <v>225.02590532358471</v>
      </c>
      <c r="BJ14" s="62">
        <f t="shared" si="38"/>
        <v>224.00025638752402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16.714285714285715</v>
      </c>
      <c r="N15" s="14">
        <f>IF('Données projet'!$A$36&gt;35,N14+M15-V14,IF(A15&lt;'Données projet'!$A$36,$K$205^A15,IF(A15='Données projet'!$A$36,'Données projet'!$B$36,N14+M15-V14)))</f>
        <v>34.714285714285715</v>
      </c>
      <c r="O15" s="14">
        <f>N15*VLOOKUP('Données projet'!$B$9,Paramètres!$A$1:$I$89,3,0)*VLOOKUP('Données projet'!$B$9,Paramètres!$A$1:$I$89,5,0)</f>
        <v>19.405285714285714</v>
      </c>
      <c r="P15" s="14">
        <f t="shared" si="33"/>
        <v>6.3322523452510522</v>
      </c>
      <c r="Q15" s="22">
        <f t="shared" si="2"/>
        <v>44.826212120359862</v>
      </c>
      <c r="R15" s="62">
        <f t="shared" si="0"/>
        <v>338.15954545369317</v>
      </c>
      <c r="S15" s="62">
        <f ca="1">AVERAGE(OFFSET($R$3,0,0,'Données projet'!$E$9+1,1))-AVERAGE(OFFSET($H$3,0,0,'Données projet'!$E$9+1,1))</f>
        <v>395.89088353191511</v>
      </c>
      <c r="T15" s="62">
        <f t="shared" si="34"/>
        <v>322.63468857063492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0.27989815568960325</v>
      </c>
      <c r="AA15" s="23">
        <f>EXP(-LN(2)/25)*AA14+(1-EXP(-LN(2)/25))/(LN(2)/25)*Calculateur!V15*Calculateur!X15*VLOOKUP('Données projet'!$B$9,Paramètres!$A$1:$I$89,3,0)*0.475*44/12</f>
        <v>1.1063851224581764</v>
      </c>
      <c r="AB15" s="23">
        <f>EXP(-LN(2)/2)*AB14+(1-EXP(-LN(2)/2))/(LN(2)/2)*V15*Y15*VLOOKUP('Données projet'!$B$9,Paramètres!$A$1:$I$89,3,0)*0.475*44/12</f>
        <v>1.5663917735262942</v>
      </c>
      <c r="AC15" s="24">
        <f t="shared" si="3"/>
        <v>2.9526750516740741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3.5142857142857142</v>
      </c>
      <c r="AI15" s="14">
        <f>IF('Données projet'!$A$62&gt;35,AI14+AH15-AQ14,IF(A15&lt;'Données projet'!$A$62,$AF$205^A15,IF(A15='Données projet'!$A$62,'Données projet'!$B$62,AI14+AH15-AQ14)))</f>
        <v>5.2064163530273957</v>
      </c>
      <c r="AJ15" s="14">
        <f>AI15*VLOOKUP('Données projet'!$B$10,Paramètres!$A$1:$I$89,3,0)*VLOOKUP('Données projet'!$B$10,Paramètres!$A$1:$I$89,5,0)</f>
        <v>2.5719696783955337</v>
      </c>
      <c r="AK15" s="14">
        <f t="shared" si="35"/>
        <v>1.0618494950728776</v>
      </c>
      <c r="AL15" s="22">
        <f t="shared" si="4"/>
        <v>6.3289017271241486</v>
      </c>
      <c r="AM15" s="62">
        <f t="shared" si="5"/>
        <v>299.66223506045748</v>
      </c>
      <c r="AN15" s="62">
        <f ca="1">AVERAGE(OFFSET($AM$3,0,0,'Données projet'!$E$10+1,1))-AVERAGE(OFFSET($H$3,0,0,'Données projet'!$E$10+1,1))</f>
        <v>476.32595424393645</v>
      </c>
      <c r="AO15" s="62">
        <f t="shared" si="36"/>
        <v>36.065940605453875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2.4666666666666668</v>
      </c>
      <c r="BD15" s="13">
        <f>IF('Données projet'!$A$88&gt;35,BD14+BC15-BL14,IF(A15&lt;'Données projet'!$A$88,$BA$205^A15,IF(A15='Données projet'!$A$88,'Données projet'!$B$88,BD14+BC15-BL14)))</f>
        <v>17.970550417308221</v>
      </c>
      <c r="BE15" s="14">
        <f>BD15*VLOOKUP('Données projet'!$B$11,Paramètres!$A$1:$I$89,3,0)*VLOOKUP('Données projet'!$B$11,Paramètres!$A$1:$I$89,5,0)</f>
        <v>14.297369912010421</v>
      </c>
      <c r="BF15" s="14">
        <f t="shared" si="37"/>
        <v>4.8343312187127445</v>
      </c>
      <c r="BG15" s="22">
        <f t="shared" si="7"/>
        <v>33.321046136009507</v>
      </c>
      <c r="BH15" s="62">
        <f t="shared" si="8"/>
        <v>326.65437946934281</v>
      </c>
      <c r="BI15" s="62">
        <f ca="1">AVERAGE(OFFSET($BH$3,0,0,'Données projet'!$E$11+1,1))-AVERAGE(OFFSET($H$3,0,0,'Données projet'!$E$11+1,1))</f>
        <v>225.02590532358471</v>
      </c>
      <c r="BJ15" s="62">
        <f t="shared" si="38"/>
        <v>224.00025638752402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16.714285714285715</v>
      </c>
      <c r="N16" s="14">
        <f>IF('Données projet'!$A$36&gt;35,N15+M16-V15,IF(A16&lt;'Données projet'!$A$36,$K$205^A16,IF(A16='Données projet'!$A$36,'Données projet'!$B$36,N15+M16-V15)))</f>
        <v>51.428571428571431</v>
      </c>
      <c r="O16" s="14">
        <f>N16*VLOOKUP('Données projet'!$B$9,Paramètres!$A$1:$I$89,3,0)*VLOOKUP('Données projet'!$B$9,Paramètres!$A$1:$I$89,5,0)</f>
        <v>28.748571428571427</v>
      </c>
      <c r="P16" s="14">
        <f t="shared" si="33"/>
        <v>8.9615967915853982</v>
      </c>
      <c r="Q16" s="22">
        <f t="shared" si="2"/>
        <v>65.678542983439797</v>
      </c>
      <c r="R16" s="62">
        <f t="shared" si="0"/>
        <v>359.01187631677311</v>
      </c>
      <c r="S16" s="62">
        <f ca="1">AVERAGE(OFFSET($R$3,0,0,'Données projet'!$E$9+1,1))-AVERAGE(OFFSET($H$3,0,0,'Données projet'!$E$9+1,1))</f>
        <v>395.89088353191511</v>
      </c>
      <c r="T16" s="62">
        <f t="shared" si="34"/>
        <v>322.63468857063492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0.27440952357754778</v>
      </c>
      <c r="AA16" s="23">
        <f>EXP(-LN(2)/25)*AA15+(1-EXP(-LN(2)/25))/(LN(2)/25)*Calculateur!V16*Calculateur!X16*VLOOKUP('Données projet'!$B$9,Paramètres!$A$1:$I$89,3,0)*0.475*44/12</f>
        <v>1.0761309631022926</v>
      </c>
      <c r="AB16" s="23">
        <f>EXP(-LN(2)/2)*AB15+(1-EXP(-LN(2)/2))/(LN(2)/2)*V16*Y16*VLOOKUP('Données projet'!$B$9,Paramètres!$A$1:$I$89,3,0)*0.475*44/12</f>
        <v>1.1076062450552655</v>
      </c>
      <c r="AC16" s="24">
        <f t="shared" si="3"/>
        <v>2.458146731735106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3.5142857142857142</v>
      </c>
      <c r="AI16" s="14">
        <f>IF('Données projet'!$A$62&gt;35,AI15+AH16-AQ15,IF(A16&lt;'Données projet'!$A$62,$AF$205^A16,IF(A16='Données projet'!$A$62,'Données projet'!$B$62,AI15+AH16-AQ15)))</f>
        <v>5.9737971310224349</v>
      </c>
      <c r="AJ16" s="14">
        <f>AI16*VLOOKUP('Données projet'!$B$10,Paramètres!$A$1:$I$89,3,0)*VLOOKUP('Données projet'!$B$10,Paramètres!$A$1:$I$89,5,0)</f>
        <v>2.9510557827250827</v>
      </c>
      <c r="AK16" s="14">
        <f t="shared" si="35"/>
        <v>1.1990136083317533</v>
      </c>
      <c r="AL16" s="22">
        <f t="shared" si="4"/>
        <v>7.2280375227573224</v>
      </c>
      <c r="AM16" s="62">
        <f t="shared" si="5"/>
        <v>300.56137085609066</v>
      </c>
      <c r="AN16" s="62">
        <f ca="1">AVERAGE(OFFSET($AM$3,0,0,'Données projet'!$E$10+1,1))-AVERAGE(OFFSET($H$3,0,0,'Données projet'!$E$10+1,1))</f>
        <v>476.32595424393645</v>
      </c>
      <c r="AO16" s="62">
        <f t="shared" si="36"/>
        <v>36.065940605453875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2.4666666666666668</v>
      </c>
      <c r="BD16" s="13">
        <f>IF('Données projet'!$A$88&gt;35,BD15+BC16-BL15,IF(A16&lt;'Données projet'!$A$88,$BA$205^A16,IF(A16='Données projet'!$A$88,'Données projet'!$B$88,BD15+BC16-BL15)))</f>
        <v>22.86168101684942</v>
      </c>
      <c r="BE16" s="14">
        <f>BD16*VLOOKUP('Données projet'!$B$11,Paramètres!$A$1:$I$89,3,0)*VLOOKUP('Données projet'!$B$11,Paramètres!$A$1:$I$89,5,0)</f>
        <v>18.188753417005401</v>
      </c>
      <c r="BF16" s="14">
        <f t="shared" si="37"/>
        <v>5.9801756254374139</v>
      </c>
      <c r="BG16" s="22">
        <f t="shared" si="7"/>
        <v>42.094218082254564</v>
      </c>
      <c r="BH16" s="62">
        <f t="shared" si="8"/>
        <v>335.42755141558786</v>
      </c>
      <c r="BI16" s="62">
        <f ca="1">AVERAGE(OFFSET($BH$3,0,0,'Données projet'!$E$11+1,1))-AVERAGE(OFFSET($H$3,0,0,'Données projet'!$E$11+1,1))</f>
        <v>225.02590532358471</v>
      </c>
      <c r="BJ16" s="62">
        <f t="shared" si="38"/>
        <v>224.00025638752402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16.714285714285715</v>
      </c>
      <c r="N17" s="14">
        <f>IF('Données projet'!$A$36&gt;35,N16+M17-V16,IF(A17&lt;'Données projet'!$A$36,$K$205^A17,IF(A17='Données projet'!$A$36,'Données projet'!$B$36,N16+M17-V16)))</f>
        <v>68.142857142857139</v>
      </c>
      <c r="O17" s="14">
        <f>N17*VLOOKUP('Données projet'!$B$9,Paramètres!$A$1:$I$89,3,0)*VLOOKUP('Données projet'!$B$9,Paramètres!$A$1:$I$89,5,0)</f>
        <v>38.091857142857144</v>
      </c>
      <c r="P17" s="14">
        <f t="shared" si="33"/>
        <v>11.491463709579049</v>
      </c>
      <c r="Q17" s="22">
        <f t="shared" si="2"/>
        <v>86.35761715132638</v>
      </c>
      <c r="R17" s="62">
        <f t="shared" si="0"/>
        <v>379.69095048465971</v>
      </c>
      <c r="S17" s="62">
        <f ca="1">AVERAGE(OFFSET($R$3,0,0,'Données projet'!$E$9+1,1))-AVERAGE(OFFSET($H$3,0,0,'Données projet'!$E$9+1,1))</f>
        <v>395.89088353191511</v>
      </c>
      <c r="T17" s="62">
        <f t="shared" si="34"/>
        <v>322.63468857063492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0.26902852019347473</v>
      </c>
      <c r="AA17" s="23">
        <f>EXP(-LN(2)/25)*AA16+(1-EXP(-LN(2)/25))/(LN(2)/25)*Calculateur!V17*Calculateur!X17*VLOOKUP('Données projet'!$B$9,Paramètres!$A$1:$I$89,3,0)*0.475*44/12</f>
        <v>1.0467041053249926</v>
      </c>
      <c r="AB17" s="23">
        <f>EXP(-LN(2)/2)*AB16+(1-EXP(-LN(2)/2))/(LN(2)/2)*V17*Y17*VLOOKUP('Données projet'!$B$9,Paramètres!$A$1:$I$89,3,0)*0.475*44/12</f>
        <v>0.78319588676314722</v>
      </c>
      <c r="AC17" s="24">
        <f t="shared" si="3"/>
        <v>2.0989285122816144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3.5142857142857142</v>
      </c>
      <c r="AI17" s="14">
        <f>IF('Données projet'!$A$62&gt;35,AI16+AH17-AQ16,IF(A17&lt;'Données projet'!$A$62,$AF$205^A17,IF(A17='Données projet'!$A$62,'Données projet'!$B$62,AI16+AH17-AQ16)))</f>
        <v>6.8542832041969222</v>
      </c>
      <c r="AJ17" s="14">
        <f>AI17*VLOOKUP('Données projet'!$B$10,Paramètres!$A$1:$I$89,3,0)*VLOOKUP('Données projet'!$B$10,Paramètres!$A$1:$I$89,5,0)</f>
        <v>3.3860159028732801</v>
      </c>
      <c r="AK17" s="14">
        <f t="shared" si="35"/>
        <v>1.353895857779791</v>
      </c>
      <c r="AL17" s="22">
        <f t="shared" si="4"/>
        <v>8.2553463164707654</v>
      </c>
      <c r="AM17" s="62">
        <f t="shared" si="5"/>
        <v>301.58867964980408</v>
      </c>
      <c r="AN17" s="62">
        <f ca="1">AVERAGE(OFFSET($AM$3,0,0,'Données projet'!$E$10+1,1))-AVERAGE(OFFSET($H$3,0,0,'Données projet'!$E$10+1,1))</f>
        <v>476.32595424393645</v>
      </c>
      <c r="AO17" s="62">
        <f t="shared" si="36"/>
        <v>36.065940605453875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2.4666666666666668</v>
      </c>
      <c r="BD17" s="13">
        <f>IF('Données projet'!$A$88&gt;35,BD16+BC17-BL16,IF(A17&lt;'Données projet'!$A$88,$BA$205^A17,IF(A17='Données projet'!$A$88,'Données projet'!$B$88,BD16+BC17-BL16)))</f>
        <v>29.084054009429774</v>
      </c>
      <c r="BE17" s="14">
        <f>BD17*VLOOKUP('Données projet'!$B$11,Paramètres!$A$1:$I$89,3,0)*VLOOKUP('Données projet'!$B$11,Paramètres!$A$1:$I$89,5,0)</f>
        <v>23.13927336990233</v>
      </c>
      <c r="BF17" s="14">
        <f t="shared" si="37"/>
        <v>7.3976107331343286</v>
      </c>
      <c r="BG17" s="22">
        <f t="shared" si="7"/>
        <v>53.185073146122171</v>
      </c>
      <c r="BH17" s="62">
        <f t="shared" si="8"/>
        <v>346.51840647945551</v>
      </c>
      <c r="BI17" s="62">
        <f ca="1">AVERAGE(OFFSET($BH$3,0,0,'Données projet'!$E$11+1,1))-AVERAGE(OFFSET($H$3,0,0,'Données projet'!$E$11+1,1))</f>
        <v>225.02590532358471</v>
      </c>
      <c r="BJ17" s="62">
        <f t="shared" si="38"/>
        <v>224.00025638752402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16.714285714285715</v>
      </c>
      <c r="N18" s="14">
        <f>IF('Données projet'!$A$36&gt;35,N17+M18-V17,IF(A18&lt;'Données projet'!$A$36,$K$205^A18,IF(A18='Données projet'!$A$36,'Données projet'!$B$36,N17+M18-V17)))</f>
        <v>84.857142857142861</v>
      </c>
      <c r="O18" s="14">
        <f>N18*VLOOKUP('Données projet'!$B$9,Paramètres!$A$1:$I$89,3,0)*VLOOKUP('Données projet'!$B$9,Paramètres!$A$1:$I$89,5,0)</f>
        <v>47.435142857142864</v>
      </c>
      <c r="P18" s="14">
        <f t="shared" si="33"/>
        <v>13.949357764978588</v>
      </c>
      <c r="Q18" s="22">
        <f t="shared" si="2"/>
        <v>106.91133858352821</v>
      </c>
      <c r="R18" s="62">
        <f t="shared" si="0"/>
        <v>400.24467191686153</v>
      </c>
      <c r="S18" s="62">
        <f ca="1">AVERAGE(OFFSET($R$3,0,0,'Données projet'!$E$9+1,1))-AVERAGE(OFFSET($H$3,0,0,'Données projet'!$E$9+1,1))</f>
        <v>395.89088353191511</v>
      </c>
      <c r="T18" s="62">
        <f t="shared" si="34"/>
        <v>322.63468857063492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0.26375303500367536</v>
      </c>
      <c r="AA18" s="23">
        <f>EXP(-LN(2)/25)*AA17+(1-EXP(-LN(2)/25))/(LN(2)/25)*Calculateur!V18*Calculateur!X18*VLOOKUP('Données projet'!$B$9,Paramètres!$A$1:$I$89,3,0)*0.475*44/12</f>
        <v>1.0180819265211041</v>
      </c>
      <c r="AB18" s="23">
        <f>EXP(-LN(2)/2)*AB17+(1-EXP(-LN(2)/2))/(LN(2)/2)*V18*Y18*VLOOKUP('Données projet'!$B$9,Paramètres!$A$1:$I$89,3,0)*0.475*44/12</f>
        <v>0.55380312252763286</v>
      </c>
      <c r="AC18" s="24">
        <f t="shared" si="3"/>
        <v>1.8356380840524125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3.5142857142857142</v>
      </c>
      <c r="AI18" s="14">
        <f>IF('Données projet'!$A$62&gt;35,AI17+AH18-AQ17,IF(A18&lt;'Données projet'!$A$62,$AF$205^A18,IF(A18='Données projet'!$A$62,'Données projet'!$B$62,AI17+AH18-AQ17)))</f>
        <v>7.8645453156349561</v>
      </c>
      <c r="AJ18" s="14">
        <f>AI18*VLOOKUP('Données projet'!$B$10,Paramètres!$A$1:$I$89,3,0)*VLOOKUP('Données projet'!$B$10,Paramètres!$A$1:$I$89,5,0)</f>
        <v>3.8850853859236683</v>
      </c>
      <c r="AK18" s="14">
        <f t="shared" si="35"/>
        <v>1.5287849787323649</v>
      </c>
      <c r="AL18" s="22">
        <f t="shared" si="4"/>
        <v>9.4291575517759227</v>
      </c>
      <c r="AM18" s="62">
        <f t="shared" si="5"/>
        <v>302.76249088510923</v>
      </c>
      <c r="AN18" s="62">
        <f ca="1">AVERAGE(OFFSET($AM$3,0,0,'Données projet'!$E$10+1,1))-AVERAGE(OFFSET($H$3,0,0,'Données projet'!$E$10+1,1))</f>
        <v>476.32595424393645</v>
      </c>
      <c r="AO18" s="62">
        <f t="shared" si="36"/>
        <v>36.065940605453875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37</v>
      </c>
      <c r="BB18" s="13">
        <f>VLOOKUP(A18,'Données projet'!$A$87:$I$107,9,0)</f>
        <v>2.4666666666666668</v>
      </c>
      <c r="BC18" s="13">
        <f t="array" ref="BC18">INDEX(BB:BB,MIN(IF(ISNUMBER(BB18:BB214),ROW(BB18:BB214),"")))</f>
        <v>2.4666666666666668</v>
      </c>
      <c r="BD18" s="13">
        <f>IF('Données projet'!$A$88&gt;35,BD17+BC18-BL17,IF(A18&lt;'Données projet'!$A$88,$BA$205^A18,IF(A18='Données projet'!$A$88,'Données projet'!$B$88,BD17+BC18-BL17)))</f>
        <v>37</v>
      </c>
      <c r="BE18" s="14">
        <f>BD18*VLOOKUP('Données projet'!$B$11,Paramètres!$A$1:$I$89,3,0)*VLOOKUP('Données projet'!$B$11,Paramètres!$A$1:$I$89,5,0)</f>
        <v>29.437200000000004</v>
      </c>
      <c r="BF18" s="14">
        <f t="shared" si="37"/>
        <v>9.1510096001539196</v>
      </c>
      <c r="BG18" s="22">
        <f t="shared" si="7"/>
        <v>67.207798386934755</v>
      </c>
      <c r="BH18" s="62">
        <f t="shared" si="8"/>
        <v>360.54113172026808</v>
      </c>
      <c r="BI18" s="62">
        <f ca="1">AVERAGE(OFFSET($BH$3,0,0,'Données projet'!$E$11+1,1))-AVERAGE(OFFSET($H$3,0,0,'Données projet'!$E$11+1,1))</f>
        <v>225.02590532358471</v>
      </c>
      <c r="BJ18" s="62">
        <f t="shared" si="38"/>
        <v>224.00025638752402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15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1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11.260050198900705</v>
      </c>
      <c r="BS18" s="24">
        <f t="shared" si="9"/>
        <v>11.260050198900705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16.714285714285715</v>
      </c>
      <c r="N19" s="14">
        <f>IF('Données projet'!$A$36&gt;35,N18+M19-V18,IF(A19&lt;'Données projet'!$A$36,$K$205^A19,IF(A19='Données projet'!$A$36,'Données projet'!$B$36,N18+M19-V18)))</f>
        <v>101.57142857142858</v>
      </c>
      <c r="O19" s="14">
        <f>N19*VLOOKUP('Données projet'!$B$9,Paramètres!$A$1:$I$89,3,0)*VLOOKUP('Données projet'!$B$9,Paramètres!$A$1:$I$89,5,0)</f>
        <v>56.778428571428584</v>
      </c>
      <c r="P19" s="14">
        <f t="shared" si="33"/>
        <v>16.351157030650782</v>
      </c>
      <c r="Q19" s="22">
        <f t="shared" si="2"/>
        <v>127.36736159028824</v>
      </c>
      <c r="R19" s="62">
        <f t="shared" si="0"/>
        <v>420.70069492362154</v>
      </c>
      <c r="S19" s="62">
        <f ca="1">AVERAGE(OFFSET($R$3,0,0,'Données projet'!$E$9+1,1))-AVERAGE(OFFSET($H$3,0,0,'Données projet'!$E$9+1,1))</f>
        <v>395.89088353191511</v>
      </c>
      <c r="T19" s="62">
        <f t="shared" si="34"/>
        <v>322.63468857063492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0.25858099886071972</v>
      </c>
      <c r="AA19" s="23">
        <f>EXP(-LN(2)/25)*AA18+(1-EXP(-LN(2)/25))/(LN(2)/25)*Calculateur!V19*Calculateur!X19*VLOOKUP('Données projet'!$B$9,Paramètres!$A$1:$I$89,3,0)*0.475*44/12</f>
        <v>0.99024242270178287</v>
      </c>
      <c r="AB19" s="23">
        <f>EXP(-LN(2)/2)*AB18+(1-EXP(-LN(2)/2))/(LN(2)/2)*V19*Y19*VLOOKUP('Données projet'!$B$9,Paramètres!$A$1:$I$89,3,0)*0.475*44/12</f>
        <v>0.39159794338157367</v>
      </c>
      <c r="AC19" s="24">
        <f t="shared" si="3"/>
        <v>1.6404213649440762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3.5142857142857142</v>
      </c>
      <c r="AI19" s="14">
        <f>IF('Données projet'!$A$62&gt;35,AI18+AH19-AQ18,IF(A19&lt;'Données projet'!$A$62,$AF$205^A19,IF(A19='Données projet'!$A$62,'Données projet'!$B$62,AI18+AH19-AQ18)))</f>
        <v>9.0237113318871813</v>
      </c>
      <c r="AJ19" s="14">
        <f>AI19*VLOOKUP('Données projet'!$B$10,Paramètres!$A$1:$I$89,3,0)*VLOOKUP('Données projet'!$B$10,Paramètres!$A$1:$I$89,5,0)</f>
        <v>4.4577133979522676</v>
      </c>
      <c r="AK19" s="14">
        <f t="shared" si="35"/>
        <v>1.7262653532527887</v>
      </c>
      <c r="AL19" s="22">
        <f t="shared" si="4"/>
        <v>10.770429658348805</v>
      </c>
      <c r="AM19" s="62">
        <f t="shared" si="5"/>
        <v>304.10376299168212</v>
      </c>
      <c r="AN19" s="62">
        <f ca="1">AVERAGE(OFFSET($AM$3,0,0,'Données projet'!$E$10+1,1))-AVERAGE(OFFSET($H$3,0,0,'Données projet'!$E$10+1,1))</f>
        <v>476.32595424393645</v>
      </c>
      <c r="AO19" s="62">
        <f t="shared" si="36"/>
        <v>36.065940605453875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11.6</v>
      </c>
      <c r="BD19" s="13">
        <f>IF('Données projet'!$A$88&gt;35,BD18+BC19-BL18,IF(A19&lt;'Données projet'!$A$88,$BA$205^A19,IF(A19='Données projet'!$A$88,'Données projet'!$B$88,BD18+BC19-BL18)))</f>
        <v>33.6</v>
      </c>
      <c r="BE19" s="14">
        <f>BD19*VLOOKUP('Données projet'!$B$11,Paramètres!$A$1:$I$89,3,0)*VLOOKUP('Données projet'!$B$11,Paramètres!$A$1:$I$89,5,0)</f>
        <v>26.732160000000004</v>
      </c>
      <c r="BF19" s="14">
        <f t="shared" si="37"/>
        <v>8.4038705306032053</v>
      </c>
      <c r="BG19" s="22">
        <f t="shared" si="7"/>
        <v>61.195253174133917</v>
      </c>
      <c r="BH19" s="62">
        <f t="shared" si="8"/>
        <v>354.52858650746725</v>
      </c>
      <c r="BI19" s="62">
        <f ca="1">AVERAGE(OFFSET($BH$3,0,0,'Données projet'!$E$11+1,1))-AVERAGE(OFFSET($H$3,0,0,'Données projet'!$E$11+1,1))</f>
        <v>225.02590532358471</v>
      </c>
      <c r="BJ19" s="62">
        <f t="shared" si="38"/>
        <v>224.00025638752402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7.9620578521436229</v>
      </c>
      <c r="BS19" s="24">
        <f t="shared" si="9"/>
        <v>7.9620578521436229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16.714285714285715</v>
      </c>
      <c r="N20" s="14">
        <f>IF('Données projet'!$A$36&gt;35,N19+M20-V19,IF(A20&lt;'Données projet'!$A$36,$K$205^A20,IF(A20='Données projet'!$A$36,'Données projet'!$B$36,N19+M20-V19)))</f>
        <v>118.28571428571431</v>
      </c>
      <c r="O20" s="14">
        <f>N20*VLOOKUP('Données projet'!$B$9,Paramètres!$A$1:$I$89,3,0)*VLOOKUP('Données projet'!$B$9,Paramètres!$A$1:$I$89,5,0)</f>
        <v>66.121714285714305</v>
      </c>
      <c r="P20" s="14">
        <f t="shared" si="33"/>
        <v>18.707170984894052</v>
      </c>
      <c r="Q20" s="22">
        <f t="shared" si="2"/>
        <v>147.74364184630954</v>
      </c>
      <c r="R20" s="62">
        <f t="shared" si="0"/>
        <v>441.07697517964289</v>
      </c>
      <c r="S20" s="62">
        <f ca="1">AVERAGE(OFFSET($R$3,0,0,'Données projet'!$E$9+1,1))-AVERAGE(OFFSET($H$3,0,0,'Données projet'!$E$9+1,1))</f>
        <v>395.89088353191511</v>
      </c>
      <c r="T20" s="62">
        <f t="shared" si="34"/>
        <v>322.63468857063492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0.25351038319189689</v>
      </c>
      <c r="AA20" s="23">
        <f>EXP(-LN(2)/25)*AA19+(1-EXP(-LN(2)/25))/(LN(2)/25)*Calculateur!V20*Calculateur!X20*VLOOKUP('Données projet'!$B$9,Paramètres!$A$1:$I$89,3,0)*0.475*44/12</f>
        <v>0.96316419157841682</v>
      </c>
      <c r="AB20" s="23">
        <f>EXP(-LN(2)/2)*AB19+(1-EXP(-LN(2)/2))/(LN(2)/2)*V20*Y20*VLOOKUP('Données projet'!$B$9,Paramètres!$A$1:$I$89,3,0)*0.475*44/12</f>
        <v>0.27690156126381643</v>
      </c>
      <c r="AC20" s="24">
        <f t="shared" si="3"/>
        <v>1.4935761360341302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3.5142857142857142</v>
      </c>
      <c r="AI20" s="14">
        <f>IF('Données projet'!$A$62&gt;35,AI19+AH20-AQ19,IF(A20&lt;'Données projet'!$A$62,$AF$205^A20,IF(A20='Données projet'!$A$62,'Données projet'!$B$62,AI19+AH20-AQ19)))</f>
        <v>10.353728401735955</v>
      </c>
      <c r="AJ20" s="14">
        <f>AI20*VLOOKUP('Données projet'!$B$10,Paramètres!$A$1:$I$89,3,0)*VLOOKUP('Données projet'!$B$10,Paramètres!$A$1:$I$89,5,0)</f>
        <v>5.1147418304575618</v>
      </c>
      <c r="AK20" s="14">
        <f t="shared" si="35"/>
        <v>1.9492552002387664</v>
      </c>
      <c r="AL20" s="22">
        <f t="shared" si="4"/>
        <v>12.303128161796103</v>
      </c>
      <c r="AM20" s="62">
        <f t="shared" si="5"/>
        <v>305.63646149512942</v>
      </c>
      <c r="AN20" s="62">
        <f ca="1">AVERAGE(OFFSET($AM$3,0,0,'Données projet'!$E$10+1,1))-AVERAGE(OFFSET($H$3,0,0,'Données projet'!$E$10+1,1))</f>
        <v>476.32595424393645</v>
      </c>
      <c r="AO20" s="62">
        <f t="shared" si="36"/>
        <v>36.065940605453875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11.6</v>
      </c>
      <c r="BD20" s="13">
        <f>IF('Données projet'!$A$88&gt;35,BD19+BC20-BL19,IF(A20&lt;'Données projet'!$A$88,$BA$205^A20,IF(A20='Données projet'!$A$88,'Données projet'!$B$88,BD19+BC20-BL19)))</f>
        <v>45.2</v>
      </c>
      <c r="BE20" s="14">
        <f>BD20*VLOOKUP('Données projet'!$B$11,Paramètres!$A$1:$I$89,3,0)*VLOOKUP('Données projet'!$B$11,Paramètres!$A$1:$I$89,5,0)</f>
        <v>35.961120000000008</v>
      </c>
      <c r="BF20" s="14">
        <f t="shared" si="37"/>
        <v>10.921600552662685</v>
      </c>
      <c r="BG20" s="22">
        <f t="shared" si="7"/>
        <v>81.654071629220851</v>
      </c>
      <c r="BH20" s="62">
        <f t="shared" si="8"/>
        <v>374.98740496255414</v>
      </c>
      <c r="BI20" s="62">
        <f ca="1">AVERAGE(OFFSET($BH$3,0,0,'Données projet'!$E$11+1,1))-AVERAGE(OFFSET($H$3,0,0,'Données projet'!$E$11+1,1))</f>
        <v>225.02590532358471</v>
      </c>
      <c r="BJ20" s="62">
        <f t="shared" si="38"/>
        <v>224.00025638752402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5.6300250994503536</v>
      </c>
      <c r="BS20" s="24">
        <f t="shared" si="9"/>
        <v>5.6300250994503536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135</v>
      </c>
      <c r="L21" s="13">
        <f>VLOOKUP(A21,'Données projet'!$A$35:$I$55,9,0)</f>
        <v>16.714285714285715</v>
      </c>
      <c r="M21" s="13">
        <f t="array" ref="M21">INDEX(L:L,MIN(IF(ISNUMBER(L21:L217),ROW(L21:L217),"")))</f>
        <v>16.714285714285715</v>
      </c>
      <c r="N21" s="14">
        <f>IF('Données projet'!$A$36&gt;35,N20+M21-V20,IF(A21&lt;'Données projet'!$A$36,$K$205^A21,IF(A21='Données projet'!$A$36,'Données projet'!$B$36,N20+M21-V20)))</f>
        <v>135.00000000000003</v>
      </c>
      <c r="O21" s="14">
        <f>N21*VLOOKUP('Données projet'!$B$9,Paramètres!$A$1:$I$89,3,0)*VLOOKUP('Données projet'!$B$9,Paramètres!$A$1:$I$89,5,0)</f>
        <v>75.465000000000018</v>
      </c>
      <c r="P21" s="14">
        <f t="shared" si="33"/>
        <v>21.024615211128356</v>
      </c>
      <c r="Q21" s="22">
        <f t="shared" si="2"/>
        <v>168.05274649271524</v>
      </c>
      <c r="R21" s="62">
        <f t="shared" si="0"/>
        <v>461.38607982604856</v>
      </c>
      <c r="S21" s="62">
        <f ca="1">AVERAGE(OFFSET($R$3,0,0,'Données projet'!$E$9+1,1))-AVERAGE(OFFSET($H$3,0,0,'Données projet'!$E$9+1,1))</f>
        <v>395.89088353191511</v>
      </c>
      <c r="T21" s="62">
        <f t="shared" si="34"/>
        <v>322.63468857063492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48</v>
      </c>
      <c r="W21" s="17">
        <f>IF(ISNA(VLOOKUP(A21,'Données projet'!$A$35:$I$55,5,0)),0%,VLOOKUP(A21,'Données projet'!$A$35:$I$55,5,0)*VLOOKUP('Données projet'!$B$9,Paramètres!$A$1:$I$89,7,0))</f>
        <v>0.22000000000000003</v>
      </c>
      <c r="X21" s="17">
        <f>IF(ISNA(VLOOKUP(A21,'Données projet'!$A$35:$I$55,6,0)),0%,VLOOKUP(A21,'Données projet'!$A$35:$I$55,6,0)*VLOOKUP('Données projet'!$B$9,Paramètres!$A$1:$I$89,7,0))</f>
        <v>0.16500000000000001</v>
      </c>
      <c r="Y21" s="17">
        <f>IF(ISNA(VLOOKUP(A21,'Données projet'!$A$35:$I$55,7,0)),0%,VLOOKUP(A21,'Données projet'!$A$35:$I$55,7,0))</f>
        <v>0.3</v>
      </c>
      <c r="Z21" s="23">
        <f>EXP(-LN(2)/35)*Z20+(1-EXP(-LN(2)/35))/(LN(2)/35)*V21*W21*VLOOKUP('Données projet'!$B$9,Paramètres!$A$1:$I$89,3,0)*0.475*44/12</f>
        <v>8.0793022422413951</v>
      </c>
      <c r="AA21" s="23">
        <f>EXP(-LN(2)/25)*AA20+(1-EXP(-LN(2)/25))/(LN(2)/25)*Calculateur!V21*Calculateur!X21*VLOOKUP('Données projet'!$B$9,Paramètres!$A$1:$I$89,3,0)*0.475*44/12</f>
        <v>6.7867741749961592</v>
      </c>
      <c r="AB21" s="23">
        <f>EXP(-LN(2)/2)*AB20+(1-EXP(-LN(2)/2))/(LN(2)/2)*V21*Y21*VLOOKUP('Données projet'!$B$9,Paramètres!$A$1:$I$89,3,0)*0.475*44/12</f>
        <v>9.3098160738598246</v>
      </c>
      <c r="AC21" s="24">
        <f t="shared" si="3"/>
        <v>24.175892491097379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3.5142857142857142</v>
      </c>
      <c r="AI21" s="14">
        <f>IF('Données projet'!$A$62&gt;35,AI20+AH21-AQ20,IF(A21&lt;'Données projet'!$A$62,$AF$205^A21,IF(A21='Données projet'!$A$62,'Données projet'!$B$62,AI20+AH21-AQ20)))</f>
        <v>11.879778494032841</v>
      </c>
      <c r="AJ21" s="14">
        <f>AI21*VLOOKUP('Données projet'!$B$10,Paramètres!$A$1:$I$89,3,0)*VLOOKUP('Données projet'!$B$10,Paramètres!$A$1:$I$89,5,0)</f>
        <v>5.868610576052224</v>
      </c>
      <c r="AK21" s="14">
        <f t="shared" si="35"/>
        <v>2.2010496987026498</v>
      </c>
      <c r="AL21" s="22">
        <f t="shared" si="4"/>
        <v>14.054658311864737</v>
      </c>
      <c r="AM21" s="62">
        <f t="shared" si="5"/>
        <v>307.38799164519804</v>
      </c>
      <c r="AN21" s="62">
        <f ca="1">AVERAGE(OFFSET($AM$3,0,0,'Données projet'!$E$10+1,1))-AVERAGE(OFFSET($H$3,0,0,'Données projet'!$E$10+1,1))</f>
        <v>476.32595424393645</v>
      </c>
      <c r="AO21" s="62">
        <f t="shared" si="36"/>
        <v>36.065940605453875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11.6</v>
      </c>
      <c r="BD21" s="13">
        <f>IF('Données projet'!$A$88&gt;35,BD20+BC21-BL20,IF(A21&lt;'Données projet'!$A$88,$BA$205^A21,IF(A21='Données projet'!$A$88,'Données projet'!$B$88,BD20+BC21-BL20)))</f>
        <v>56.800000000000004</v>
      </c>
      <c r="BE21" s="14">
        <f>BD21*VLOOKUP('Données projet'!$B$11,Paramètres!$A$1:$I$89,3,0)*VLOOKUP('Données projet'!$B$11,Paramètres!$A$1:$I$89,5,0)</f>
        <v>45.190080000000009</v>
      </c>
      <c r="BF21" s="14">
        <f t="shared" si="37"/>
        <v>13.364359727915414</v>
      </c>
      <c r="BG21" s="22">
        <f t="shared" si="7"/>
        <v>101.98231585945268</v>
      </c>
      <c r="BH21" s="62">
        <f t="shared" si="8"/>
        <v>395.315649192786</v>
      </c>
      <c r="BI21" s="62">
        <f ca="1">AVERAGE(OFFSET($BH$3,0,0,'Données projet'!$E$11+1,1))-AVERAGE(OFFSET($H$3,0,0,'Données projet'!$E$11+1,1))</f>
        <v>225.02590532358471</v>
      </c>
      <c r="BJ21" s="62">
        <f t="shared" si="38"/>
        <v>224.00025638752402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3.9810289260718119</v>
      </c>
      <c r="BS21" s="24">
        <f t="shared" si="9"/>
        <v>3.9810289260718119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22.888888888888889</v>
      </c>
      <c r="N22" s="14">
        <f>IF('Données projet'!$A$36&gt;35,N21+M22-V21,IF(A22&lt;'Données projet'!$A$36,$K$205^A22,IF(A22='Données projet'!$A$36,'Données projet'!$B$36,N21+M22-V21)))</f>
        <v>109.88888888888891</v>
      </c>
      <c r="O22" s="14">
        <f>N22*VLOOKUP('Données projet'!$B$9,Paramètres!$A$1:$I$89,3,0)*VLOOKUP('Données projet'!$B$9,Paramètres!$A$1:$I$89,5,0)</f>
        <v>61.427888888888901</v>
      </c>
      <c r="P22" s="14">
        <f t="shared" si="33"/>
        <v>17.528788472143606</v>
      </c>
      <c r="Q22" s="22">
        <f t="shared" si="2"/>
        <v>137.51621307046494</v>
      </c>
      <c r="R22" s="62">
        <f t="shared" si="0"/>
        <v>430.84954640379829</v>
      </c>
      <c r="S22" s="62">
        <f ca="1">AVERAGE(OFFSET($R$3,0,0,'Données projet'!$E$9+1,1))-AVERAGE(OFFSET($H$3,0,0,'Données projet'!$E$9+1,1))</f>
        <v>395.89088353191511</v>
      </c>
      <c r="T22" s="62">
        <f t="shared" si="34"/>
        <v>322.63468857063492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7.9208720531588206</v>
      </c>
      <c r="AA22" s="23">
        <f>EXP(-LN(2)/25)*AA21+(1-EXP(-LN(2)/25))/(LN(2)/25)*Calculateur!V22*Calculateur!X22*VLOOKUP('Données projet'!$B$9,Paramètres!$A$1:$I$89,3,0)*0.475*44/12</f>
        <v>6.601189478279947</v>
      </c>
      <c r="AB22" s="23">
        <f>EXP(-LN(2)/2)*AB21+(1-EXP(-LN(2)/2))/(LN(2)/2)*V22*Y22*VLOOKUP('Données projet'!$B$9,Paramètres!$A$1:$I$89,3,0)*0.475*44/12</f>
        <v>6.5830340774258023</v>
      </c>
      <c r="AC22" s="24">
        <f t="shared" si="3"/>
        <v>21.10509560886457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3.5142857142857142</v>
      </c>
      <c r="AI22" s="14">
        <f>IF('Données projet'!$A$62&gt;35,AI21+AH22-AQ21,IF(A22&lt;'Données projet'!$A$62,$AF$205^A22,IF(A22='Données projet'!$A$62,'Données projet'!$B$62,AI21+AH22-AQ21)))</f>
        <v>13.63075518222236</v>
      </c>
      <c r="AJ22" s="14">
        <f>AI22*VLOOKUP('Données projet'!$B$10,Paramètres!$A$1:$I$89,3,0)*VLOOKUP('Données projet'!$B$10,Paramètres!$A$1:$I$89,5,0)</f>
        <v>6.7335930600178466</v>
      </c>
      <c r="AK22" s="14">
        <f t="shared" si="35"/>
        <v>2.4853696814894244</v>
      </c>
      <c r="AL22" s="22">
        <f t="shared" si="4"/>
        <v>16.056360108125162</v>
      </c>
      <c r="AM22" s="62">
        <f t="shared" si="5"/>
        <v>309.38969344145846</v>
      </c>
      <c r="AN22" s="62">
        <f ca="1">AVERAGE(OFFSET($AM$3,0,0,'Données projet'!$E$10+1,1))-AVERAGE(OFFSET($H$3,0,0,'Données projet'!$E$10+1,1))</f>
        <v>476.32595424393645</v>
      </c>
      <c r="AO22" s="62">
        <f t="shared" si="36"/>
        <v>36.065940605453875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11.6</v>
      </c>
      <c r="BD22" s="13">
        <f>IF('Données projet'!$A$88&gt;35,BD21+BC22-BL21,IF(A22&lt;'Données projet'!$A$88,$BA$205^A22,IF(A22='Données projet'!$A$88,'Données projet'!$B$88,BD21+BC22-BL21)))</f>
        <v>68.400000000000006</v>
      </c>
      <c r="BE22" s="14">
        <f>BD22*VLOOKUP('Données projet'!$B$11,Paramètres!$A$1:$I$89,3,0)*VLOOKUP('Données projet'!$B$11,Paramètres!$A$1:$I$89,5,0)</f>
        <v>54.419040000000003</v>
      </c>
      <c r="BF22" s="14">
        <f t="shared" si="37"/>
        <v>15.749310274925152</v>
      </c>
      <c r="BG22" s="22">
        <f t="shared" si="7"/>
        <v>122.20987672882796</v>
      </c>
      <c r="BH22" s="62">
        <f t="shared" si="8"/>
        <v>415.54321006216128</v>
      </c>
      <c r="BI22" s="62">
        <f ca="1">AVERAGE(OFFSET($BH$3,0,0,'Données projet'!$E$11+1,1))-AVERAGE(OFFSET($H$3,0,0,'Données projet'!$E$11+1,1))</f>
        <v>225.02590532358471</v>
      </c>
      <c r="BJ22" s="62">
        <f t="shared" si="38"/>
        <v>224.00025638752402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2.8150125497251772</v>
      </c>
      <c r="BS22" s="24">
        <f t="shared" si="9"/>
        <v>2.8150125497251772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22.888888888888889</v>
      </c>
      <c r="N23" s="14">
        <f>IF('Données projet'!$A$36&gt;35,N22+M23-V22,IF(A23&lt;'Données projet'!$A$36,$K$205^A23,IF(A23='Données projet'!$A$36,'Données projet'!$B$36,N22+M23-V22)))</f>
        <v>132.7777777777778</v>
      </c>
      <c r="O23" s="14">
        <f>N23*VLOOKUP('Données projet'!$B$9,Paramètres!$A$1:$I$89,3,0)*VLOOKUP('Données projet'!$B$9,Paramètres!$A$1:$I$89,5,0)</f>
        <v>74.222777777777793</v>
      </c>
      <c r="P23" s="14">
        <f t="shared" si="33"/>
        <v>20.718520436781379</v>
      </c>
      <c r="Q23" s="22">
        <f t="shared" si="2"/>
        <v>165.35609439035721</v>
      </c>
      <c r="R23" s="62">
        <f t="shared" si="0"/>
        <v>458.68942772369053</v>
      </c>
      <c r="S23" s="62">
        <f ca="1">AVERAGE(OFFSET($R$3,0,0,'Données projet'!$E$9+1,1))-AVERAGE(OFFSET($H$3,0,0,'Données projet'!$E$9+1,1))</f>
        <v>395.89088353191511</v>
      </c>
      <c r="T23" s="62">
        <f t="shared" si="34"/>
        <v>322.63468857063492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7.7655485834512818</v>
      </c>
      <c r="AA23" s="23">
        <f>EXP(-LN(2)/25)*AA22+(1-EXP(-LN(2)/25))/(LN(2)/25)*Calculateur!V23*Calculateur!X23*VLOOKUP('Données projet'!$B$9,Paramètres!$A$1:$I$89,3,0)*0.475*44/12</f>
        <v>6.4206796048549144</v>
      </c>
      <c r="AB23" s="23">
        <f>EXP(-LN(2)/2)*AB22+(1-EXP(-LN(2)/2))/(LN(2)/2)*V23*Y23*VLOOKUP('Données projet'!$B$9,Paramètres!$A$1:$I$89,3,0)*0.475*44/12</f>
        <v>4.6549080369299132</v>
      </c>
      <c r="AC23" s="24">
        <f t="shared" si="3"/>
        <v>18.841136225236109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3.5142857142857142</v>
      </c>
      <c r="AI23" s="14">
        <f>IF('Données projet'!$A$62&gt;35,AI22+AH23-AQ22,IF(A23&lt;'Données projet'!$A$62,$AF$205^A23,IF(A23='Données projet'!$A$62,'Données projet'!$B$62,AI22+AH23-AQ22)))</f>
        <v>15.639810702784311</v>
      </c>
      <c r="AJ23" s="14">
        <f>AI23*VLOOKUP('Données projet'!$B$10,Paramètres!$A$1:$I$89,3,0)*VLOOKUP('Données projet'!$B$10,Paramètres!$A$1:$I$89,5,0)</f>
        <v>7.7260664871754496</v>
      </c>
      <c r="AK23" s="14">
        <f t="shared" si="35"/>
        <v>2.8064166189921771</v>
      </c>
      <c r="AL23" s="22">
        <f t="shared" si="4"/>
        <v>18.344074743241951</v>
      </c>
      <c r="AM23" s="62">
        <f t="shared" si="5"/>
        <v>311.67740807657526</v>
      </c>
      <c r="AN23" s="62">
        <f ca="1">AVERAGE(OFFSET($AM$3,0,0,'Données projet'!$E$10+1,1))-AVERAGE(OFFSET($H$3,0,0,'Données projet'!$E$10+1,1))</f>
        <v>476.32595424393645</v>
      </c>
      <c r="AO23" s="62">
        <f t="shared" si="36"/>
        <v>36.065940605453875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80</v>
      </c>
      <c r="BB23" s="13">
        <f>VLOOKUP(A23,'Données projet'!$A$87:$I$107,9,0)</f>
        <v>11.6</v>
      </c>
      <c r="BC23" s="13">
        <f t="array" ref="BC23">INDEX(BB:BB,MIN(IF(ISNUMBER(BB23:BB219),ROW(BB23:BB219),"")))</f>
        <v>11.6</v>
      </c>
      <c r="BD23" s="13">
        <f>IF('Données projet'!$A$88&gt;35,BD22+BC23-BL22,IF(A23&lt;'Données projet'!$A$88,$BA$205^A23,IF(A23='Données projet'!$A$88,'Données projet'!$B$88,BD22+BC23-BL22)))</f>
        <v>80</v>
      </c>
      <c r="BE23" s="14">
        <f>BD23*VLOOKUP('Données projet'!$B$11,Paramètres!$A$1:$I$89,3,0)*VLOOKUP('Données projet'!$B$11,Paramètres!$A$1:$I$89,5,0)</f>
        <v>63.647999999999996</v>
      </c>
      <c r="BF23" s="14">
        <f t="shared" si="37"/>
        <v>18.087405707268363</v>
      </c>
      <c r="BG23" s="22">
        <f t="shared" si="7"/>
        <v>142.35583160682572</v>
      </c>
      <c r="BH23" s="62">
        <f t="shared" si="8"/>
        <v>435.689164940159</v>
      </c>
      <c r="BI23" s="62">
        <f ca="1">AVERAGE(OFFSET($BH$3,0,0,'Données projet'!$E$11+1,1))-AVERAGE(OFFSET($H$3,0,0,'Données projet'!$E$11+1,1))</f>
        <v>225.02590532358471</v>
      </c>
      <c r="BJ23" s="62">
        <f t="shared" si="38"/>
        <v>224.00025638752402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28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0.10600000000000001</v>
      </c>
      <c r="BO23" s="17">
        <f>IF(ISNA(VLOOKUP(A23,'Données projet'!$A$87:$I$107,7,0)),0%,VLOOKUP(A23,'Données projet'!$A$87:$I$107,7,0))</f>
        <v>0.8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2.6001142012192155</v>
      </c>
      <c r="BR23" s="23">
        <f>EXP(-LN(2)/2)*BR22+(1-EXP(-LN(2)/2))/(LN(2)/2)*BL23*BO23*VLOOKUP('Données projet'!$B$11,Paramètres!$A$1:$I$89,3,0)*0.475*44/12</f>
        <v>18.805522760060956</v>
      </c>
      <c r="BS23" s="24">
        <f t="shared" si="9"/>
        <v>21.405636961280173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22.888888888888889</v>
      </c>
      <c r="N24" s="14">
        <f>IF('Données projet'!$A$36&gt;35,N23+M24-V23,IF(A24&lt;'Données projet'!$A$36,$K$205^A24,IF(A24='Données projet'!$A$36,'Données projet'!$B$36,N23+M24-V23)))</f>
        <v>155.66666666666669</v>
      </c>
      <c r="O24" s="14">
        <f>N24*VLOOKUP('Données projet'!$B$9,Paramètres!$A$1:$I$89,3,0)*VLOOKUP('Données projet'!$B$9,Paramètres!$A$1:$I$89,5,0)</f>
        <v>87.01766666666667</v>
      </c>
      <c r="P24" s="14">
        <f t="shared" si="33"/>
        <v>23.84455343574027</v>
      </c>
      <c r="Q24" s="22">
        <f t="shared" si="2"/>
        <v>193.08503334502541</v>
      </c>
      <c r="R24" s="62">
        <f t="shared" si="0"/>
        <v>486.41836667835872</v>
      </c>
      <c r="S24" s="62">
        <f ca="1">AVERAGE(OFFSET($R$3,0,0,'Données projet'!$E$9+1,1))-AVERAGE(OFFSET($H$3,0,0,'Données projet'!$E$9+1,1))</f>
        <v>395.89088353191511</v>
      </c>
      <c r="T24" s="62">
        <f t="shared" si="34"/>
        <v>322.63468857063492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7.6132709122467457</v>
      </c>
      <c r="AA24" s="23">
        <f>EXP(-LN(2)/25)*AA23+(1-EXP(-LN(2)/25))/(LN(2)/25)*Calculateur!V24*Calculateur!X24*VLOOKUP('Données projet'!$B$9,Paramètres!$A$1:$I$89,3,0)*0.475*44/12</f>
        <v>6.2451057834112911</v>
      </c>
      <c r="AB24" s="23">
        <f>EXP(-LN(2)/2)*AB23+(1-EXP(-LN(2)/2))/(LN(2)/2)*V24*Y24*VLOOKUP('Données projet'!$B$9,Paramètres!$A$1:$I$89,3,0)*0.475*44/12</f>
        <v>3.291517038712902</v>
      </c>
      <c r="AC24" s="24">
        <f t="shared" si="3"/>
        <v>17.149893734370941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3.5142857142857142</v>
      </c>
      <c r="AI24" s="14">
        <f>IF('Données projet'!$A$62&gt;35,AI23+AH24-AQ23,IF(A24&lt;'Données projet'!$A$62,$AF$205^A24,IF(A24='Données projet'!$A$62,'Données projet'!$B$62,AI23+AH24-AQ23)))</f>
        <v>17.94498364536296</v>
      </c>
      <c r="AJ24" s="14">
        <f>AI24*VLOOKUP('Données projet'!$B$10,Paramètres!$A$1:$I$89,3,0)*VLOOKUP('Données projet'!$B$10,Paramètres!$A$1:$I$89,5,0)</f>
        <v>8.8648219208093035</v>
      </c>
      <c r="AK24" s="14">
        <f t="shared" si="35"/>
        <v>3.1689347053737271</v>
      </c>
      <c r="AL24" s="22">
        <f t="shared" si="4"/>
        <v>20.958792790602114</v>
      </c>
      <c r="AM24" s="62">
        <f t="shared" si="5"/>
        <v>314.29212612393542</v>
      </c>
      <c r="AN24" s="62">
        <f ca="1">AVERAGE(OFFSET($AM$3,0,0,'Données projet'!$E$10+1,1))-AVERAGE(OFFSET($H$3,0,0,'Données projet'!$E$10+1,1))</f>
        <v>476.32595424393645</v>
      </c>
      <c r="AO24" s="62">
        <f t="shared" si="36"/>
        <v>36.065940605453875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12.6</v>
      </c>
      <c r="BD24" s="13">
        <f>IF('Données projet'!$A$88&gt;35,BD23+BC24-BL23,IF(A24&lt;'Données projet'!$A$88,$BA$205^A24,IF(A24='Données projet'!$A$88,'Données projet'!$B$88,BD23+BC24-BL23)))</f>
        <v>64.599999999999994</v>
      </c>
      <c r="BE24" s="14">
        <f>BD24*VLOOKUP('Données projet'!$B$11,Paramètres!$A$1:$I$89,3,0)*VLOOKUP('Données projet'!$B$11,Paramètres!$A$1:$I$89,5,0)</f>
        <v>51.395759999999996</v>
      </c>
      <c r="BF24" s="14">
        <f t="shared" si="37"/>
        <v>14.973641136922506</v>
      </c>
      <c r="BG24" s="22">
        <f t="shared" si="7"/>
        <v>115.59337364680668</v>
      </c>
      <c r="BH24" s="62">
        <f t="shared" si="8"/>
        <v>408.92670698014001</v>
      </c>
      <c r="BI24" s="62">
        <f ca="1">AVERAGE(OFFSET($BH$3,0,0,'Données projet'!$E$11+1,1))-AVERAGE(OFFSET($H$3,0,0,'Données projet'!$E$11+1,1))</f>
        <v>225.02590532358471</v>
      </c>
      <c r="BJ24" s="62">
        <f t="shared" si="38"/>
        <v>224.00025638752402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2.529013941652813</v>
      </c>
      <c r="BR24" s="23">
        <f>EXP(-LN(2)/2)*BR23+(1-EXP(-LN(2)/2))/(LN(2)/2)*BL24*BO24*VLOOKUP('Données projet'!$B$11,Paramètres!$A$1:$I$89,3,0)*0.475*44/12</f>
        <v>13.297512667397063</v>
      </c>
      <c r="BS24" s="24">
        <f t="shared" si="9"/>
        <v>15.826526609049877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22.888888888888889</v>
      </c>
      <c r="N25" s="14">
        <f>IF('Données projet'!$A$36&gt;35,N24+M25-V24,IF(A25&lt;'Données projet'!$A$36,$K$205^A25,IF(A25='Données projet'!$A$36,'Données projet'!$B$36,N24+M25-V24)))</f>
        <v>178.55555555555557</v>
      </c>
      <c r="O25" s="14">
        <f>N25*VLOOKUP('Données projet'!$B$9,Paramètres!$A$1:$I$89,3,0)*VLOOKUP('Données projet'!$B$9,Paramètres!$A$1:$I$89,5,0)</f>
        <v>99.812555555555576</v>
      </c>
      <c r="P25" s="14">
        <f t="shared" si="33"/>
        <v>26.917336619208204</v>
      </c>
      <c r="Q25" s="22">
        <f t="shared" si="2"/>
        <v>220.72122887104692</v>
      </c>
      <c r="R25" s="62">
        <f t="shared" si="0"/>
        <v>514.0545622043802</v>
      </c>
      <c r="S25" s="62">
        <f ca="1">AVERAGE(OFFSET($R$3,0,0,'Données projet'!$E$9+1,1))-AVERAGE(OFFSET($H$3,0,0,'Données projet'!$E$9+1,1))</f>
        <v>395.89088353191511</v>
      </c>
      <c r="T25" s="62">
        <f t="shared" si="34"/>
        <v>322.63468857063492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7.4639793132943222</v>
      </c>
      <c r="AA25" s="23">
        <f>EXP(-LN(2)/25)*AA24+(1-EXP(-LN(2)/25))/(LN(2)/25)*Calculateur!V25*Calculateur!X25*VLOOKUP('Données projet'!$B$9,Paramètres!$A$1:$I$89,3,0)*0.475*44/12</f>
        <v>6.0743330373480697</v>
      </c>
      <c r="AB25" s="23">
        <f>EXP(-LN(2)/2)*AB24+(1-EXP(-LN(2)/2))/(LN(2)/2)*V25*Y25*VLOOKUP('Données projet'!$B$9,Paramètres!$A$1:$I$89,3,0)*0.475*44/12</f>
        <v>2.327454018464957</v>
      </c>
      <c r="AC25" s="24">
        <f t="shared" si="3"/>
        <v>15.86576636910735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3.5142857142857142</v>
      </c>
      <c r="AI25" s="14">
        <f>IF('Données projet'!$A$62&gt;35,AI24+AH25-AQ24,IF(A25&lt;'Données projet'!$A$62,$AF$205^A25,IF(A25='Données projet'!$A$62,'Données projet'!$B$62,AI24+AH25-AQ24)))</f>
        <v>20.589919158996945</v>
      </c>
      <c r="AJ25" s="14">
        <f>AI25*VLOOKUP('Données projet'!$B$10,Paramètres!$A$1:$I$89,3,0)*VLOOKUP('Données projet'!$B$10,Paramètres!$A$1:$I$89,5,0)</f>
        <v>10.171420064544492</v>
      </c>
      <c r="AK25" s="14">
        <f t="shared" si="35"/>
        <v>3.5782809647586618</v>
      </c>
      <c r="AL25" s="22">
        <f t="shared" si="4"/>
        <v>23.947395959369658</v>
      </c>
      <c r="AM25" s="62">
        <f t="shared" si="5"/>
        <v>317.28072929270297</v>
      </c>
      <c r="AN25" s="62">
        <f ca="1">AVERAGE(OFFSET($AM$3,0,0,'Données projet'!$E$10+1,1))-AVERAGE(OFFSET($H$3,0,0,'Données projet'!$E$10+1,1))</f>
        <v>476.32595424393645</v>
      </c>
      <c r="AO25" s="62">
        <f t="shared" si="36"/>
        <v>36.065940605453875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12.6</v>
      </c>
      <c r="BD25" s="13">
        <f>IF('Données projet'!$A$88&gt;35,BD24+BC25-BL24,IF(A25&lt;'Données projet'!$A$88,$BA$205^A25,IF(A25='Données projet'!$A$88,'Données projet'!$B$88,BD24+BC25-BL24)))</f>
        <v>77.199999999999989</v>
      </c>
      <c r="BE25" s="14">
        <f>BD25*VLOOKUP('Données projet'!$B$11,Paramètres!$A$1:$I$89,3,0)*VLOOKUP('Données projet'!$B$11,Paramètres!$A$1:$I$89,5,0)</f>
        <v>61.42031999999999</v>
      </c>
      <c r="BF25" s="14">
        <f t="shared" si="37"/>
        <v>17.526880037631354</v>
      </c>
      <c r="BG25" s="22">
        <f t="shared" si="7"/>
        <v>137.4997067322079</v>
      </c>
      <c r="BH25" s="62">
        <f t="shared" si="8"/>
        <v>430.83304006554124</v>
      </c>
      <c r="BI25" s="62">
        <f ca="1">AVERAGE(OFFSET($BH$3,0,0,'Données projet'!$E$11+1,1))-AVERAGE(OFFSET($H$3,0,0,'Données projet'!$E$11+1,1))</f>
        <v>225.02590532358471</v>
      </c>
      <c r="BJ25" s="62">
        <f t="shared" si="38"/>
        <v>224.00025638752402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2.4598579224232537</v>
      </c>
      <c r="BR25" s="23">
        <f>EXP(-LN(2)/2)*BR24+(1-EXP(-LN(2)/2))/(LN(2)/2)*BL25*BO25*VLOOKUP('Données projet'!$B$11,Paramètres!$A$1:$I$89,3,0)*0.475*44/12</f>
        <v>9.4027613800304799</v>
      </c>
      <c r="BS25" s="24">
        <f t="shared" si="9"/>
        <v>11.862619302453734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22.888888888888889</v>
      </c>
      <c r="N26" s="14">
        <f>IF('Données projet'!$A$36&gt;35,N25+M26-V25,IF(A26&lt;'Données projet'!$A$36,$K$205^A26,IF(A26='Données projet'!$A$36,'Données projet'!$B$36,N25+M26-V25)))</f>
        <v>201.44444444444446</v>
      </c>
      <c r="O26" s="14">
        <f>N26*VLOOKUP('Données projet'!$B$9,Paramètres!$A$1:$I$89,3,0)*VLOOKUP('Données projet'!$B$9,Paramètres!$A$1:$I$89,5,0)</f>
        <v>112.60744444444445</v>
      </c>
      <c r="P26" s="14">
        <f t="shared" si="33"/>
        <v>29.944478684352191</v>
      </c>
      <c r="Q26" s="22">
        <f t="shared" si="2"/>
        <v>248.27793278265418</v>
      </c>
      <c r="R26" s="62">
        <f t="shared" si="0"/>
        <v>541.61126611598752</v>
      </c>
      <c r="S26" s="62">
        <f ca="1">AVERAGE(OFFSET($R$3,0,0,'Données projet'!$E$9+1,1))-AVERAGE(OFFSET($H$3,0,0,'Données projet'!$E$9+1,1))</f>
        <v>395.89088353191511</v>
      </c>
      <c r="T26" s="62">
        <f t="shared" si="34"/>
        <v>322.63468857063492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7.3176152315384719</v>
      </c>
      <c r="AA26" s="23">
        <f>EXP(-LN(2)/25)*AA25+(1-EXP(-LN(2)/25))/(LN(2)/25)*Calculateur!V26*Calculateur!X26*VLOOKUP('Données projet'!$B$9,Paramètres!$A$1:$I$89,3,0)*0.475*44/12</f>
        <v>5.9082300810064954</v>
      </c>
      <c r="AB26" s="23">
        <f>EXP(-LN(2)/2)*AB25+(1-EXP(-LN(2)/2))/(LN(2)/2)*V26*Y26*VLOOKUP('Données projet'!$B$9,Paramètres!$A$1:$I$89,3,0)*0.475*44/12</f>
        <v>1.6457585193564512</v>
      </c>
      <c r="AC26" s="24">
        <f t="shared" si="3"/>
        <v>14.871603831901419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3.5142857142857142</v>
      </c>
      <c r="AI26" s="14">
        <f>IF('Données projet'!$A$62&gt;35,AI25+AH26-AQ25,IF(A26&lt;'Données projet'!$A$62,$AF$205^A26,IF(A26='Données projet'!$A$62,'Données projet'!$B$62,AI25+AH26-AQ25)))</f>
        <v>23.624695310523624</v>
      </c>
      <c r="AJ26" s="14">
        <f>AI26*VLOOKUP('Données projet'!$B$10,Paramètres!$A$1:$I$89,3,0)*VLOOKUP('Données projet'!$B$10,Paramètres!$A$1:$I$89,5,0)</f>
        <v>11.670599483398671</v>
      </c>
      <c r="AK26" s="14">
        <f t="shared" si="35"/>
        <v>4.0405044133732444</v>
      </c>
      <c r="AL26" s="22">
        <f t="shared" si="4"/>
        <v>27.363505953544419</v>
      </c>
      <c r="AM26" s="62">
        <f t="shared" si="5"/>
        <v>320.69683928687772</v>
      </c>
      <c r="AN26" s="62">
        <f ca="1">AVERAGE(OFFSET($AM$3,0,0,'Données projet'!$E$10+1,1))-AVERAGE(OFFSET($H$3,0,0,'Données projet'!$E$10+1,1))</f>
        <v>476.32595424393645</v>
      </c>
      <c r="AO26" s="62">
        <f t="shared" si="36"/>
        <v>36.065940605453875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12.6</v>
      </c>
      <c r="BD26" s="13">
        <f>IF('Données projet'!$A$88&gt;35,BD25+BC26-BL25,IF(A26&lt;'Données projet'!$A$88,$BA$205^A26,IF(A26='Données projet'!$A$88,'Données projet'!$B$88,BD25+BC26-BL25)))</f>
        <v>89.799999999999983</v>
      </c>
      <c r="BE26" s="14">
        <f>BD26*VLOOKUP('Données projet'!$B$11,Paramètres!$A$1:$I$89,3,0)*VLOOKUP('Données projet'!$B$11,Paramètres!$A$1:$I$89,5,0)</f>
        <v>71.444879999999998</v>
      </c>
      <c r="BF26" s="14">
        <f t="shared" si="37"/>
        <v>20.03184442542841</v>
      </c>
      <c r="BG26" s="22">
        <f t="shared" si="7"/>
        <v>159.32196170762117</v>
      </c>
      <c r="BH26" s="62">
        <f t="shared" si="8"/>
        <v>452.65529504095446</v>
      </c>
      <c r="BI26" s="62">
        <f ca="1">AVERAGE(OFFSET($BH$3,0,0,'Données projet'!$E$11+1,1))-AVERAGE(OFFSET($H$3,0,0,'Données projet'!$E$11+1,1))</f>
        <v>225.02590532358471</v>
      </c>
      <c r="BJ26" s="62">
        <f t="shared" si="38"/>
        <v>224.00025638752402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2.392592978176284</v>
      </c>
      <c r="BR26" s="23">
        <f>EXP(-LN(2)/2)*BR25+(1-EXP(-LN(2)/2))/(LN(2)/2)*BL26*BO26*VLOOKUP('Données projet'!$B$11,Paramètres!$A$1:$I$89,3,0)*0.475*44/12</f>
        <v>6.6487563336985325</v>
      </c>
      <c r="BS26" s="24">
        <f t="shared" si="9"/>
        <v>9.0413493118748161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22.888888888888889</v>
      </c>
      <c r="N27" s="14">
        <f>IF('Données projet'!$A$36&gt;35,N26+M27-V26,IF(A27&lt;'Données projet'!$A$36,$K$205^A27,IF(A27='Données projet'!$A$36,'Données projet'!$B$36,N26+M27-V26)))</f>
        <v>224.33333333333334</v>
      </c>
      <c r="O27" s="14">
        <f>N27*VLOOKUP('Données projet'!$B$9,Paramètres!$A$1:$I$89,3,0)*VLOOKUP('Données projet'!$B$9,Paramètres!$A$1:$I$89,5,0)</f>
        <v>125.40233333333335</v>
      </c>
      <c r="P27" s="14">
        <f t="shared" si="33"/>
        <v>32.931757474561842</v>
      </c>
      <c r="Q27" s="22">
        <f t="shared" si="2"/>
        <v>275.76520815708415</v>
      </c>
      <c r="R27" s="62">
        <f t="shared" si="0"/>
        <v>569.09854149041746</v>
      </c>
      <c r="S27" s="62">
        <f ca="1">AVERAGE(OFFSET($R$3,0,0,'Données projet'!$E$9+1,1))-AVERAGE(OFFSET($H$3,0,0,'Données projet'!$E$9+1,1))</f>
        <v>395.89088353191511</v>
      </c>
      <c r="T27" s="62">
        <f t="shared" si="34"/>
        <v>322.63468857063492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7.174121260152579</v>
      </c>
      <c r="AA27" s="23">
        <f>EXP(-LN(2)/25)*AA26+(1-EXP(-LN(2)/25))/(LN(2)/25)*Calculateur!V27*Calculateur!X27*VLOOKUP('Données projet'!$B$9,Paramètres!$A$1:$I$89,3,0)*0.475*44/12</f>
        <v>5.7466692187410562</v>
      </c>
      <c r="AB27" s="23">
        <f>EXP(-LN(2)/2)*AB26+(1-EXP(-LN(2)/2))/(LN(2)/2)*V27*Y27*VLOOKUP('Données projet'!$B$9,Paramètres!$A$1:$I$89,3,0)*0.475*44/12</f>
        <v>1.1637270092324787</v>
      </c>
      <c r="AC27" s="24">
        <f t="shared" si="3"/>
        <v>14.084517488126115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3.5142857142857142</v>
      </c>
      <c r="AI27" s="14">
        <f>IF('Données projet'!$A$62&gt;35,AI26+AH27-AQ26,IF(A27&lt;'Données projet'!$A$62,$AF$205^A27,IF(A27='Données projet'!$A$62,'Données projet'!$B$62,AI26+AH27-AQ26)))</f>
        <v>27.106771241071087</v>
      </c>
      <c r="AJ27" s="14">
        <f>AI27*VLOOKUP('Données projet'!$B$10,Paramètres!$A$1:$I$89,3,0)*VLOOKUP('Données projet'!$B$10,Paramètres!$A$1:$I$89,5,0)</f>
        <v>13.390744993089118</v>
      </c>
      <c r="AK27" s="14">
        <f t="shared" si="35"/>
        <v>4.5624354474327173</v>
      </c>
      <c r="AL27" s="22">
        <f t="shared" si="4"/>
        <v>31.268455933908857</v>
      </c>
      <c r="AM27" s="62">
        <f t="shared" si="5"/>
        <v>324.60178926724217</v>
      </c>
      <c r="AN27" s="62">
        <f ca="1">AVERAGE(OFFSET($AM$3,0,0,'Données projet'!$E$10+1,1))-AVERAGE(OFFSET($H$3,0,0,'Données projet'!$E$10+1,1))</f>
        <v>476.32595424393645</v>
      </c>
      <c r="AO27" s="62">
        <f t="shared" si="36"/>
        <v>36.065940605453875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12.6</v>
      </c>
      <c r="BD27" s="13">
        <f>IF('Données projet'!$A$88&gt;35,BD26+BC27-BL26,IF(A27&lt;'Données projet'!$A$88,$BA$205^A27,IF(A27='Données projet'!$A$88,'Données projet'!$B$88,BD26+BC27-BL26)))</f>
        <v>102.39999999999998</v>
      </c>
      <c r="BE27" s="14">
        <f>BD27*VLOOKUP('Données projet'!$B$11,Paramètres!$A$1:$I$89,3,0)*VLOOKUP('Données projet'!$B$11,Paramètres!$A$1:$I$89,5,0)</f>
        <v>81.469439999999992</v>
      </c>
      <c r="BF27" s="14">
        <f t="shared" si="37"/>
        <v>22.496088365195678</v>
      </c>
      <c r="BG27" s="22">
        <f t="shared" si="7"/>
        <v>181.07329523604912</v>
      </c>
      <c r="BH27" s="62">
        <f t="shared" si="8"/>
        <v>474.40662856938241</v>
      </c>
      <c r="BI27" s="62">
        <f ca="1">AVERAGE(OFFSET($BH$3,0,0,'Données projet'!$E$11+1,1))-AVERAGE(OFFSET($H$3,0,0,'Données projet'!$E$11+1,1))</f>
        <v>225.02590532358471</v>
      </c>
      <c r="BJ27" s="62">
        <f t="shared" si="38"/>
        <v>224.00025638752402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2.3271673973670572</v>
      </c>
      <c r="BR27" s="23">
        <f>EXP(-LN(2)/2)*BR26+(1-EXP(-LN(2)/2))/(LN(2)/2)*BL27*BO27*VLOOKUP('Données projet'!$B$11,Paramètres!$A$1:$I$89,3,0)*0.475*44/12</f>
        <v>4.7013806900152408</v>
      </c>
      <c r="BS27" s="24">
        <f t="shared" si="9"/>
        <v>7.0285480873822976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22.888888888888889</v>
      </c>
      <c r="N28" s="14">
        <f>IF('Données projet'!$A$36&gt;35,N27+M28-V27,IF(A28&lt;'Données projet'!$A$36,$K$205^A28,IF(A28='Données projet'!$A$36,'Données projet'!$B$36,N27+M28-V27)))</f>
        <v>247.22222222222223</v>
      </c>
      <c r="O28" s="14">
        <f>N28*VLOOKUP('Données projet'!$B$9,Paramètres!$A$1:$I$89,3,0)*VLOOKUP('Données projet'!$B$9,Paramètres!$A$1:$I$89,5,0)</f>
        <v>138.19722222222222</v>
      </c>
      <c r="P28" s="14">
        <f t="shared" si="33"/>
        <v>35.88370341597426</v>
      </c>
      <c r="Q28" s="22">
        <f t="shared" si="2"/>
        <v>303.19094548652555</v>
      </c>
      <c r="R28" s="62">
        <f t="shared" si="0"/>
        <v>596.52427881985886</v>
      </c>
      <c r="S28" s="62">
        <f ca="1">AVERAGE(OFFSET($R$3,0,0,'Données projet'!$E$9+1,1))-AVERAGE(OFFSET($H$3,0,0,'Données projet'!$E$9+1,1))</f>
        <v>395.89088353191511</v>
      </c>
      <c r="T28" s="62">
        <f t="shared" si="34"/>
        <v>322.63468857063492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7.0334411180228829</v>
      </c>
      <c r="AA28" s="23">
        <f>EXP(-LN(2)/25)*AA27+(1-EXP(-LN(2)/25))/(LN(2)/25)*Calculateur!V28*Calculateur!X28*VLOOKUP('Données projet'!$B$9,Paramètres!$A$1:$I$89,3,0)*0.475*44/12</f>
        <v>5.5895262467503821</v>
      </c>
      <c r="AB28" s="23">
        <f>EXP(-LN(2)/2)*AB27+(1-EXP(-LN(2)/2))/(LN(2)/2)*V28*Y28*VLOOKUP('Données projet'!$B$9,Paramètres!$A$1:$I$89,3,0)*0.475*44/12</f>
        <v>0.82287925967822573</v>
      </c>
      <c r="AC28" s="24">
        <f t="shared" si="3"/>
        <v>13.445846624451491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3.5142857142857142</v>
      </c>
      <c r="AI28" s="14">
        <f>IF('Données projet'!$A$62&gt;35,AI27+AH28-AQ27,IF(A28&lt;'Données projet'!$A$62,$AF$205^A28,IF(A28='Données projet'!$A$62,'Données projet'!$B$62,AI27+AH28-AQ27)))</f>
        <v>31.102075072623343</v>
      </c>
      <c r="AJ28" s="14">
        <f>AI28*VLOOKUP('Données projet'!$B$10,Paramètres!$A$1:$I$89,3,0)*VLOOKUP('Données projet'!$B$10,Paramètres!$A$1:$I$89,5,0)</f>
        <v>15.364425085875933</v>
      </c>
      <c r="AK28" s="14">
        <f t="shared" si="35"/>
        <v>5.1517867776841122</v>
      </c>
      <c r="AL28" s="22">
        <f t="shared" si="4"/>
        <v>35.732402329033739</v>
      </c>
      <c r="AM28" s="62">
        <f t="shared" si="5"/>
        <v>329.06573566236705</v>
      </c>
      <c r="AN28" s="62">
        <f ca="1">AVERAGE(OFFSET($AM$3,0,0,'Données projet'!$E$10+1,1))-AVERAGE(OFFSET($H$3,0,0,'Données projet'!$E$10+1,1))</f>
        <v>476.32595424393645</v>
      </c>
      <c r="AO28" s="62">
        <f t="shared" si="36"/>
        <v>36.065940605453875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115</v>
      </c>
      <c r="BB28" s="13">
        <f>VLOOKUP(A28,'Données projet'!$A$87:$I$107,9,0)</f>
        <v>12.6</v>
      </c>
      <c r="BC28" s="13">
        <f t="array" ref="BC28">INDEX(BB:BB,MIN(IF(ISNUMBER(BB28:BB224),ROW(BB28:BB224),"")))</f>
        <v>12.6</v>
      </c>
      <c r="BD28" s="13">
        <f>IF('Données projet'!$A$88&gt;35,BD27+BC28-BL27,IF(A28&lt;'Données projet'!$A$88,$BA$205^A28,IF(A28='Données projet'!$A$88,'Données projet'!$B$88,BD27+BC28-BL27)))</f>
        <v>114.99999999999997</v>
      </c>
      <c r="BE28" s="14">
        <f>BD28*VLOOKUP('Données projet'!$B$11,Paramètres!$A$1:$I$89,3,0)*VLOOKUP('Données projet'!$B$11,Paramètres!$A$1:$I$89,5,0)</f>
        <v>91.493999999999986</v>
      </c>
      <c r="BF28" s="14">
        <f t="shared" si="37"/>
        <v>24.925195840896517</v>
      </c>
      <c r="BG28" s="22">
        <f t="shared" si="7"/>
        <v>202.76343275622807</v>
      </c>
      <c r="BH28" s="62">
        <f t="shared" si="8"/>
        <v>496.09676608956136</v>
      </c>
      <c r="BI28" s="62">
        <f ca="1">AVERAGE(OFFSET($BH$3,0,0,'Données projet'!$E$11+1,1))-AVERAGE(OFFSET($H$3,0,0,'Données projet'!$E$11+1,1))</f>
        <v>225.02590532358471</v>
      </c>
      <c r="BJ28" s="62">
        <f t="shared" si="38"/>
        <v>224.00025638752402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28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0.21200000000000002</v>
      </c>
      <c r="BO28" s="17">
        <f>IF(ISNA(VLOOKUP(A28,'Données projet'!$A$87:$I$107,7,0)),0%,VLOOKUP(A28,'Données projet'!$A$87:$I$107,7,0))</f>
        <v>0.6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7.4637592849440715</v>
      </c>
      <c r="BR28" s="23">
        <f>EXP(-LN(2)/2)*BR27+(1-EXP(-LN(2)/2))/(LN(2)/2)*BL28*BO28*VLOOKUP('Données projet'!$B$11,Paramètres!$A$1:$I$89,3,0)*0.475*44/12</f>
        <v>15.935634389618055</v>
      </c>
      <c r="BS28" s="24">
        <f t="shared" si="9"/>
        <v>23.399393674562127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22.888888888888889</v>
      </c>
      <c r="N29" s="14">
        <f>IF('Données projet'!$A$36&gt;35,N28+M29-V28,IF(A29&lt;'Données projet'!$A$36,$K$205^A29,IF(A29='Données projet'!$A$36,'Données projet'!$B$36,N28+M29-V28)))</f>
        <v>270.11111111111114</v>
      </c>
      <c r="O29" s="14">
        <f>N29*VLOOKUP('Données projet'!$B$9,Paramètres!$A$1:$I$89,3,0)*VLOOKUP('Données projet'!$B$9,Paramètres!$A$1:$I$89,5,0)</f>
        <v>150.99211111111114</v>
      </c>
      <c r="P29" s="14">
        <f t="shared" si="33"/>
        <v>38.803959855095613</v>
      </c>
      <c r="Q29" s="22">
        <f t="shared" si="2"/>
        <v>330.56149026614338</v>
      </c>
      <c r="R29" s="62">
        <f t="shared" si="0"/>
        <v>623.89482359947669</v>
      </c>
      <c r="S29" s="62">
        <f ca="1">AVERAGE(OFFSET($R$3,0,0,'Données projet'!$E$9+1,1))-AVERAGE(OFFSET($H$3,0,0,'Données projet'!$E$9+1,1))</f>
        <v>395.89088353191511</v>
      </c>
      <c r="T29" s="62">
        <f t="shared" si="34"/>
        <v>322.63468857063492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6.8955196276739361</v>
      </c>
      <c r="AA29" s="23">
        <f>EXP(-LN(2)/25)*AA28+(1-EXP(-LN(2)/25))/(LN(2)/25)*Calculateur!V29*Calculateur!X29*VLOOKUP('Données projet'!$B$9,Paramètres!$A$1:$I$89,3,0)*0.475*44/12</f>
        <v>5.4366803575925831</v>
      </c>
      <c r="AB29" s="23">
        <f>EXP(-LN(2)/2)*AB28+(1-EXP(-LN(2)/2))/(LN(2)/2)*V29*Y29*VLOOKUP('Données projet'!$B$9,Paramètres!$A$1:$I$89,3,0)*0.475*44/12</f>
        <v>0.58186350461623937</v>
      </c>
      <c r="AC29" s="24">
        <f t="shared" si="3"/>
        <v>12.914063489882759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3.5142857142857142</v>
      </c>
      <c r="AI29" s="14">
        <f>IF('Données projet'!$A$62&gt;35,AI28+AH29-AQ28,IF(A29&lt;'Données projet'!$A$62,$AF$205^A29,IF(A29='Données projet'!$A$62,'Données projet'!$B$62,AI28+AH29-AQ28)))</f>
        <v>35.686252162611879</v>
      </c>
      <c r="AJ29" s="14">
        <f>AI29*VLOOKUP('Données projet'!$B$10,Paramètres!$A$1:$I$89,3,0)*VLOOKUP('Données projet'!$B$10,Paramètres!$A$1:$I$89,5,0)</f>
        <v>17.629008568330271</v>
      </c>
      <c r="AK29" s="14">
        <f t="shared" si="35"/>
        <v>5.8172674021405415</v>
      </c>
      <c r="AL29" s="22">
        <f t="shared" si="4"/>
        <v>40.835597315236662</v>
      </c>
      <c r="AM29" s="62">
        <f t="shared" si="5"/>
        <v>334.16893064856998</v>
      </c>
      <c r="AN29" s="62">
        <f ca="1">AVERAGE(OFFSET($AM$3,0,0,'Données projet'!$E$10+1,1))-AVERAGE(OFFSET($H$3,0,0,'Données projet'!$E$10+1,1))</f>
        <v>476.32595424393645</v>
      </c>
      <c r="AO29" s="62">
        <f t="shared" si="36"/>
        <v>36.065940605453875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12</v>
      </c>
      <c r="BD29" s="13">
        <f>IF('Données projet'!$A$88&gt;35,BD28+BC29-BL28,IF(A29&lt;'Données projet'!$A$88,$BA$205^A29,IF(A29='Données projet'!$A$88,'Données projet'!$B$88,BD28+BC29-BL28)))</f>
        <v>98.999999999999972</v>
      </c>
      <c r="BE29" s="14">
        <f>BD29*VLOOKUP('Données projet'!$B$11,Paramètres!$A$1:$I$89,3,0)*VLOOKUP('Données projet'!$B$11,Paramètres!$A$1:$I$89,5,0)</f>
        <v>78.764399999999981</v>
      </c>
      <c r="BF29" s="14">
        <f t="shared" si="37"/>
        <v>21.834800364471622</v>
      </c>
      <c r="BG29" s="22">
        <f t="shared" si="7"/>
        <v>175.21027396812136</v>
      </c>
      <c r="BH29" s="62">
        <f t="shared" si="8"/>
        <v>468.5436073014547</v>
      </c>
      <c r="BI29" s="62">
        <f ca="1">AVERAGE(OFFSET($BH$3,0,0,'Données projet'!$E$11+1,1))-AVERAGE(OFFSET($H$3,0,0,'Données projet'!$E$11+1,1))</f>
        <v>225.02590532358471</v>
      </c>
      <c r="BJ29" s="62">
        <f t="shared" si="38"/>
        <v>224.00025638752402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7.2596623947952335</v>
      </c>
      <c r="BR29" s="23">
        <f>EXP(-LN(2)/2)*BR28+(1-EXP(-LN(2)/2))/(LN(2)/2)*BL29*BO29*VLOOKUP('Données projet'!$B$11,Paramètres!$A$1:$I$89,3,0)*0.475*44/12</f>
        <v>11.268195139408476</v>
      </c>
      <c r="BS29" s="24">
        <f t="shared" si="9"/>
        <v>18.527857534203712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>
        <f>VLOOKUP(A30,'Données projet'!$A$35:$I$55,2,0)</f>
        <v>293</v>
      </c>
      <c r="L30" s="13">
        <f>VLOOKUP(A30,'Données projet'!$A$35:$I$55,9,0)</f>
        <v>22.888888888888889</v>
      </c>
      <c r="M30" s="13">
        <f t="array" ref="M30">INDEX(L:L,MIN(IF(ISNUMBER(L30:L226),ROW(L30:L226),"")))</f>
        <v>22.888888888888889</v>
      </c>
      <c r="N30" s="14">
        <f>IF('Données projet'!$A$36&gt;35,N29+M30-V29,IF(A30&lt;'Données projet'!$A$36,$K$205^A30,IF(A30='Données projet'!$A$36,'Données projet'!$B$36,N29+M30-V29)))</f>
        <v>293.00000000000006</v>
      </c>
      <c r="O30" s="14">
        <f>N30*VLOOKUP('Données projet'!$B$9,Paramètres!$A$1:$I$89,3,0)*VLOOKUP('Données projet'!$B$9,Paramètres!$A$1:$I$89,5,0)</f>
        <v>163.78700000000003</v>
      </c>
      <c r="P30" s="14">
        <f t="shared" si="33"/>
        <v>41.69551742814383</v>
      </c>
      <c r="Q30" s="22">
        <f t="shared" si="2"/>
        <v>357.88205118735056</v>
      </c>
      <c r="R30" s="62">
        <f t="shared" si="0"/>
        <v>651.21538452068387</v>
      </c>
      <c r="S30" s="62">
        <f ca="1">AVERAGE(OFFSET($R$3,0,0,'Données projet'!$E$9+1,1))-AVERAGE(OFFSET($H$3,0,0,'Données projet'!$E$9+1,1))</f>
        <v>395.89088353191511</v>
      </c>
      <c r="T30" s="62">
        <f t="shared" si="34"/>
        <v>322.63468857063492</v>
      </c>
      <c r="U30" s="16">
        <f>IF(ISNA(VLOOKUP(A30,'Données projet'!$A$35:$I$55,3,0)),0,VLOOKUP(A30,'Données projet'!$A$35:$I$55,3,0))</f>
        <v>3</v>
      </c>
      <c r="V30" s="16">
        <f>IF(ISNA(VLOOKUP(A30,'Données projet'!$A$35:$I$55,4,0)),0,VLOOKUP(A30,'Données projet'!$A$35:$I$55,4,0))</f>
        <v>72</v>
      </c>
      <c r="W30" s="17">
        <f>IF(ISNA(VLOOKUP(A30,'Données projet'!$A$35:$I$55,5,0)),0%,VLOOKUP(A30,'Données projet'!$A$35:$I$55,5,0)*VLOOKUP('Données projet'!$B$9,Paramètres!$A$1:$I$89,7,0))</f>
        <v>0.27500000000000002</v>
      </c>
      <c r="X30" s="17">
        <f>IF(ISNA(VLOOKUP(A30,'Données projet'!$A$35:$I$55,6,0)),0%,VLOOKUP(A30,'Données projet'!$A$35:$I$55,6,0)*VLOOKUP('Données projet'!$B$9,Paramètres!$A$1:$I$89,7,0))</f>
        <v>0.16500000000000001</v>
      </c>
      <c r="Y30" s="17">
        <f>IF(ISNA(VLOOKUP(A30,'Données projet'!$A$35:$I$55,7,0)),0%,VLOOKUP(A30,'Données projet'!$A$35:$I$55,7,0))</f>
        <v>0.2</v>
      </c>
      <c r="Z30" s="23">
        <f>EXP(-LN(2)/35)*Z29+(1-EXP(-LN(2)/35))/(LN(2)/35)*V30*W30*VLOOKUP('Données projet'!$B$9,Paramètres!$A$1:$I$89,3,0)*0.475*44/12</f>
        <v>21.442983399322848</v>
      </c>
      <c r="AA30" s="23">
        <f>EXP(-LN(2)/25)*AA29+(1-EXP(-LN(2)/25))/(LN(2)/25)*Calculateur!V30*Calculateur!X30*VLOOKUP('Données projet'!$B$9,Paramètres!$A$1:$I$89,3,0)*0.475*44/12</f>
        <v>14.062935685642206</v>
      </c>
      <c r="AB30" s="23">
        <f>EXP(-LN(2)/2)*AB29+(1-EXP(-LN(2)/2))/(LN(2)/2)*V30*Y30*VLOOKUP('Données projet'!$B$9,Paramètres!$A$1:$I$89,3,0)*0.475*44/12</f>
        <v>9.525456732008152</v>
      </c>
      <c r="AC30" s="24">
        <f t="shared" si="3"/>
        <v>45.03137581697321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3.5142857142857142</v>
      </c>
      <c r="AI30" s="14">
        <f>IF('Données projet'!$A$62&gt;35,AI29+AH30-AQ29,IF(A30&lt;'Données projet'!$A$62,$AF$205^A30,IF(A30='Données projet'!$A$62,'Données projet'!$B$62,AI29+AH30-AQ29)))</f>
        <v>40.94609734044684</v>
      </c>
      <c r="AJ30" s="14">
        <f>AI30*VLOOKUP('Données projet'!$B$10,Paramètres!$A$1:$I$89,3,0)*VLOOKUP('Données projet'!$B$10,Paramètres!$A$1:$I$89,5,0)</f>
        <v>20.22737208618074</v>
      </c>
      <c r="AK30" s="14">
        <f t="shared" si="35"/>
        <v>6.5687113012117617</v>
      </c>
      <c r="AL30" s="22">
        <f t="shared" si="4"/>
        <v>46.66984523304194</v>
      </c>
      <c r="AM30" s="62">
        <f t="shared" si="5"/>
        <v>340.00317856637525</v>
      </c>
      <c r="AN30" s="62">
        <f ca="1">AVERAGE(OFFSET($AM$3,0,0,'Données projet'!$E$10+1,1))-AVERAGE(OFFSET($H$3,0,0,'Données projet'!$E$10+1,1))</f>
        <v>476.32595424393645</v>
      </c>
      <c r="AO30" s="62">
        <f t="shared" si="36"/>
        <v>36.065940605453875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12</v>
      </c>
      <c r="BD30" s="13">
        <f>IF('Données projet'!$A$88&gt;35,BD29+BC30-BL29,IF(A30&lt;'Données projet'!$A$88,$BA$205^A30,IF(A30='Données projet'!$A$88,'Données projet'!$B$88,BD29+BC30-BL29)))</f>
        <v>110.99999999999997</v>
      </c>
      <c r="BE30" s="14">
        <f>BD30*VLOOKUP('Données projet'!$B$11,Paramètres!$A$1:$I$89,3,0)*VLOOKUP('Données projet'!$B$11,Paramètres!$A$1:$I$89,5,0)</f>
        <v>88.311599999999984</v>
      </c>
      <c r="BF30" s="14">
        <f t="shared" si="37"/>
        <v>24.157575839957186</v>
      </c>
      <c r="BG30" s="22">
        <f t="shared" si="7"/>
        <v>195.8838145879254</v>
      </c>
      <c r="BH30" s="62">
        <f t="shared" si="8"/>
        <v>489.21714792125874</v>
      </c>
      <c r="BI30" s="62">
        <f ca="1">AVERAGE(OFFSET($BH$3,0,0,'Données projet'!$E$11+1,1))-AVERAGE(OFFSET($H$3,0,0,'Données projet'!$E$11+1,1))</f>
        <v>225.02590532358471</v>
      </c>
      <c r="BJ30" s="62">
        <f t="shared" si="38"/>
        <v>224.00025638752402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7.0611465448405051</v>
      </c>
      <c r="BR30" s="23">
        <f>EXP(-LN(2)/2)*BR29+(1-EXP(-LN(2)/2))/(LN(2)/2)*BL30*BO30*VLOOKUP('Données projet'!$B$11,Paramètres!$A$1:$I$89,3,0)*0.475*44/12</f>
        <v>7.9678171948090286</v>
      </c>
      <c r="BS30" s="24">
        <f t="shared" si="9"/>
        <v>15.028963739649534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23.545454545454547</v>
      </c>
      <c r="N31" s="14">
        <f>IF('Données projet'!$A$36&gt;35,N30+M31-V30,IF(A31&lt;'Données projet'!$A$36,$K$205^A31,IF(A31='Données projet'!$A$36,'Données projet'!$B$36,N30+M31-V30)))</f>
        <v>244.54545454545462</v>
      </c>
      <c r="O31" s="14">
        <f>N31*VLOOKUP('Données projet'!$B$9,Paramètres!$A$1:$I$89,3,0)*VLOOKUP('Données projet'!$B$9,Paramètres!$A$1:$I$89,5,0)</f>
        <v>136.70090909090914</v>
      </c>
      <c r="P31" s="14">
        <f t="shared" si="33"/>
        <v>35.540184360169796</v>
      </c>
      <c r="Q31" s="22">
        <f t="shared" si="2"/>
        <v>299.98657109396248</v>
      </c>
      <c r="R31" s="62">
        <f t="shared" si="0"/>
        <v>593.3199044272958</v>
      </c>
      <c r="S31" s="62">
        <f ca="1">AVERAGE(OFFSET($R$3,0,0,'Données projet'!$E$9+1,1))-AVERAGE(OFFSET($H$3,0,0,'Données projet'!$E$9+1,1))</f>
        <v>395.89088353191511</v>
      </c>
      <c r="T31" s="62">
        <f t="shared" si="34"/>
        <v>322.63468857063492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21.022499573790565</v>
      </c>
      <c r="AA31" s="23">
        <f>EXP(-LN(2)/25)*AA30+(1-EXP(-LN(2)/25))/(LN(2)/25)*Calculateur!V31*Calculateur!X31*VLOOKUP('Données projet'!$B$9,Paramètres!$A$1:$I$89,3,0)*0.475*44/12</f>
        <v>13.678383969780674</v>
      </c>
      <c r="AB31" s="23">
        <f>EXP(-LN(2)/2)*AB30+(1-EXP(-LN(2)/2))/(LN(2)/2)*V31*Y31*VLOOKUP('Données projet'!$B$9,Paramètres!$A$1:$I$89,3,0)*0.475*44/12</f>
        <v>6.7355150491020153</v>
      </c>
      <c r="AC31" s="24">
        <f t="shared" si="3"/>
        <v>41.43639859267325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3.5142857142857142</v>
      </c>
      <c r="AI31" s="14">
        <f>IF('Données projet'!$A$62&gt;35,AI30+AH31-AQ30,IF(A31&lt;'Données projet'!$A$62,$AF$205^A31,IF(A31='Données projet'!$A$62,'Données projet'!$B$62,AI30+AH31-AQ30)))</f>
        <v>46.981198243336046</v>
      </c>
      <c r="AJ31" s="14">
        <f>AI31*VLOOKUP('Données projet'!$B$10,Paramètres!$A$1:$I$89,3,0)*VLOOKUP('Données projet'!$B$10,Paramètres!$A$1:$I$89,5,0)</f>
        <v>23.208711932208008</v>
      </c>
      <c r="AK31" s="14">
        <f t="shared" si="35"/>
        <v>7.4172227569924445</v>
      </c>
      <c r="AL31" s="22">
        <f t="shared" si="4"/>
        <v>53.340169583690788</v>
      </c>
      <c r="AM31" s="62">
        <f t="shared" si="5"/>
        <v>346.67350291702411</v>
      </c>
      <c r="AN31" s="62">
        <f ca="1">AVERAGE(OFFSET($AM$3,0,0,'Données projet'!$E$10+1,1))-AVERAGE(OFFSET($H$3,0,0,'Données projet'!$E$10+1,1))</f>
        <v>476.32595424393645</v>
      </c>
      <c r="AO31" s="62">
        <f t="shared" si="36"/>
        <v>36.065940605453875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</v>
      </c>
      <c r="BD31" s="13">
        <f>IF('Données projet'!$A$88&gt;35,BD30+BC31-BL30,IF(A31&lt;'Données projet'!$A$88,$BA$205^A31,IF(A31='Données projet'!$A$88,'Données projet'!$B$88,BD30+BC31-BL30)))</f>
        <v>122.99999999999997</v>
      </c>
      <c r="BE31" s="14">
        <f>BD31*VLOOKUP('Données projet'!$B$11,Paramètres!$A$1:$I$89,3,0)*VLOOKUP('Données projet'!$B$11,Paramètres!$A$1:$I$89,5,0)</f>
        <v>97.858799999999988</v>
      </c>
      <c r="BF31" s="14">
        <f t="shared" si="37"/>
        <v>26.45124536158788</v>
      </c>
      <c r="BG31" s="22">
        <f t="shared" si="7"/>
        <v>216.50666233809886</v>
      </c>
      <c r="BH31" s="62">
        <f t="shared" si="8"/>
        <v>509.83999567143218</v>
      </c>
      <c r="BI31" s="62">
        <f ca="1">AVERAGE(OFFSET($BH$3,0,0,'Données projet'!$E$11+1,1))-AVERAGE(OFFSET($H$3,0,0,'Données projet'!$E$11+1,1))</f>
        <v>225.02590532358471</v>
      </c>
      <c r="BJ31" s="62">
        <f t="shared" si="38"/>
        <v>224.00025638752402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6.8680591212422835</v>
      </c>
      <c r="BR31" s="23">
        <f>EXP(-LN(2)/2)*BR30+(1-EXP(-LN(2)/2))/(LN(2)/2)*BL31*BO31*VLOOKUP('Données projet'!$B$11,Paramètres!$A$1:$I$89,3,0)*0.475*44/12</f>
        <v>5.634097569704239</v>
      </c>
      <c r="BS31" s="24">
        <f t="shared" si="9"/>
        <v>12.502156690946522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23.545454545454547</v>
      </c>
      <c r="N32" s="14">
        <f>IF('Données projet'!$A$36&gt;35,N31+M32-V31,IF(A32&lt;'Données projet'!$A$36,$K$205^A32,IF(A32='Données projet'!$A$36,'Données projet'!$B$36,N31+M32-V31)))</f>
        <v>268.09090909090918</v>
      </c>
      <c r="O32" s="14">
        <f>N32*VLOOKUP('Données projet'!$B$9,Paramètres!$A$1:$I$89,3,0)*VLOOKUP('Données projet'!$B$9,Paramètres!$A$1:$I$89,5,0)</f>
        <v>149.86281818181823</v>
      </c>
      <c r="P32" s="14">
        <f t="shared" si="33"/>
        <v>38.547408900507818</v>
      </c>
      <c r="Q32" s="22">
        <f t="shared" si="2"/>
        <v>328.14781216838452</v>
      </c>
      <c r="R32" s="62">
        <f t="shared" si="0"/>
        <v>621.48114550171783</v>
      </c>
      <c r="S32" s="62">
        <f ca="1">AVERAGE(OFFSET($R$3,0,0,'Données projet'!$E$9+1,1))-AVERAGE(OFFSET($H$3,0,0,'Données projet'!$E$9+1,1))</f>
        <v>395.89088353191511</v>
      </c>
      <c r="T32" s="62">
        <f t="shared" si="34"/>
        <v>322.63468857063492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20.610261179607161</v>
      </c>
      <c r="AA32" s="23">
        <f>EXP(-LN(2)/25)*AA31+(1-EXP(-LN(2)/25))/(LN(2)/25)*Calculateur!V32*Calculateur!X32*VLOOKUP('Données projet'!$B$9,Paramètres!$A$1:$I$89,3,0)*0.475*44/12</f>
        <v>13.304347840812071</v>
      </c>
      <c r="AB32" s="23">
        <f>EXP(-LN(2)/2)*AB31+(1-EXP(-LN(2)/2))/(LN(2)/2)*V32*Y32*VLOOKUP('Données projet'!$B$9,Paramètres!$A$1:$I$89,3,0)*0.475*44/12</f>
        <v>4.7627283660040769</v>
      </c>
      <c r="AC32" s="24">
        <f t="shared" si="3"/>
        <v>38.677337386423311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3.5142857142857142</v>
      </c>
      <c r="AI32" s="14">
        <f>IF('Données projet'!$A$62&gt;35,AI31+AH32-AQ31,IF(A32&lt;'Données projet'!$A$62,$AF$205^A32,IF(A32='Données projet'!$A$62,'Données projet'!$B$62,AI31+AH32-AQ31)))</f>
        <v>53.90582086560228</v>
      </c>
      <c r="AJ32" s="14">
        <f>AI32*VLOOKUP('Données projet'!$B$10,Paramètres!$A$1:$I$89,3,0)*VLOOKUP('Données projet'!$B$10,Paramètres!$A$1:$I$89,5,0)</f>
        <v>26.62947550760753</v>
      </c>
      <c r="AK32" s="14">
        <f t="shared" si="35"/>
        <v>8.3753404441290744</v>
      </c>
      <c r="AL32" s="22">
        <f t="shared" si="4"/>
        <v>60.966721115941247</v>
      </c>
      <c r="AM32" s="62">
        <f t="shared" si="5"/>
        <v>354.30005444927457</v>
      </c>
      <c r="AN32" s="62">
        <f ca="1">AVERAGE(OFFSET($AM$3,0,0,'Données projet'!$E$10+1,1))-AVERAGE(OFFSET($H$3,0,0,'Données projet'!$E$10+1,1))</f>
        <v>476.32595424393645</v>
      </c>
      <c r="AO32" s="62">
        <f t="shared" si="36"/>
        <v>36.065940605453875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</v>
      </c>
      <c r="BD32" s="13">
        <f>IF('Données projet'!$A$88&gt;35,BD31+BC32-BL31,IF(A32&lt;'Données projet'!$A$88,$BA$205^A32,IF(A32='Données projet'!$A$88,'Données projet'!$B$88,BD31+BC32-BL31)))</f>
        <v>134.99999999999997</v>
      </c>
      <c r="BE32" s="14">
        <f>BD32*VLOOKUP('Données projet'!$B$11,Paramètres!$A$1:$I$89,3,0)*VLOOKUP('Données projet'!$B$11,Paramètres!$A$1:$I$89,5,0)</f>
        <v>107.40599999999998</v>
      </c>
      <c r="BF32" s="14">
        <f t="shared" si="37"/>
        <v>28.718971683040337</v>
      </c>
      <c r="BG32" s="22">
        <f t="shared" si="7"/>
        <v>237.08432568129521</v>
      </c>
      <c r="BH32" s="62">
        <f t="shared" si="8"/>
        <v>530.4176590146285</v>
      </c>
      <c r="BI32" s="62">
        <f ca="1">AVERAGE(OFFSET($BH$3,0,0,'Données projet'!$E$11+1,1))-AVERAGE(OFFSET($H$3,0,0,'Données projet'!$E$11+1,1))</f>
        <v>225.02590532358471</v>
      </c>
      <c r="BJ32" s="62">
        <f t="shared" si="38"/>
        <v>224.00025638752402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6.6802516833963814</v>
      </c>
      <c r="BR32" s="23">
        <f>EXP(-LN(2)/2)*BR31+(1-EXP(-LN(2)/2))/(LN(2)/2)*BL32*BO32*VLOOKUP('Données projet'!$B$11,Paramètres!$A$1:$I$89,3,0)*0.475*44/12</f>
        <v>3.9839085974045148</v>
      </c>
      <c r="BS32" s="24">
        <f t="shared" si="9"/>
        <v>10.664160280800896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23.545454545454547</v>
      </c>
      <c r="N33" s="14">
        <f>IF('Données projet'!$A$36&gt;35,N32+M33-V32,IF(A33&lt;'Données projet'!$A$36,$K$205^A33,IF(A33='Données projet'!$A$36,'Données projet'!$B$36,N32+M33-V32)))</f>
        <v>291.63636363636374</v>
      </c>
      <c r="O33" s="14">
        <f>N33*VLOOKUP('Données projet'!$B$9,Paramètres!$A$1:$I$89,3,0)*VLOOKUP('Données projet'!$B$9,Paramètres!$A$1:$I$89,5,0)</f>
        <v>163.02472727272735</v>
      </c>
      <c r="P33" s="14">
        <f t="shared" si="33"/>
        <v>41.524005688455283</v>
      </c>
      <c r="Q33" s="22">
        <f t="shared" si="2"/>
        <v>356.25570990739305</v>
      </c>
      <c r="R33" s="62">
        <f t="shared" si="0"/>
        <v>649.58904324072637</v>
      </c>
      <c r="S33" s="62">
        <f ca="1">AVERAGE(OFFSET($R$3,0,0,'Données projet'!$E$9+1,1))-AVERAGE(OFFSET($H$3,0,0,'Données projet'!$E$9+1,1))</f>
        <v>395.89088353191511</v>
      </c>
      <c r="T33" s="62">
        <f t="shared" si="34"/>
        <v>322.63468857063492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20.206106528893098</v>
      </c>
      <c r="AA33" s="23">
        <f>EXP(-LN(2)/25)*AA32+(1-EXP(-LN(2)/25))/(LN(2)/25)*Calculateur!V33*Calculateur!X33*VLOOKUP('Données projet'!$B$9,Paramètres!$A$1:$I$89,3,0)*0.475*44/12</f>
        <v>12.94053974945982</v>
      </c>
      <c r="AB33" s="23">
        <f>EXP(-LN(2)/2)*AB32+(1-EXP(-LN(2)/2))/(LN(2)/2)*V33*Y33*VLOOKUP('Données projet'!$B$9,Paramètres!$A$1:$I$89,3,0)*0.475*44/12</f>
        <v>3.3677575245510081</v>
      </c>
      <c r="AC33" s="24">
        <f t="shared" si="3"/>
        <v>36.514403802903928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3.5142857142857142</v>
      </c>
      <c r="AI33" s="14">
        <f>IF('Données projet'!$A$62&gt;35,AI32+AH33-AQ32,IF(A33&lt;'Données projet'!$A$62,$AF$205^A33,IF(A33='Données projet'!$A$62,'Données projet'!$B$62,AI32+AH33-AQ32)))</f>
        <v>61.851073021675745</v>
      </c>
      <c r="AJ33" s="14">
        <f>AI33*VLOOKUP('Données projet'!$B$10,Paramètres!$A$1:$I$89,3,0)*VLOOKUP('Données projet'!$B$10,Paramètres!$A$1:$I$89,5,0)</f>
        <v>30.554430072707817</v>
      </c>
      <c r="AK33" s="14">
        <f t="shared" si="35"/>
        <v>9.4572227170789862</v>
      </c>
      <c r="AL33" s="22">
        <f t="shared" si="4"/>
        <v>69.686961942212008</v>
      </c>
      <c r="AM33" s="62">
        <f t="shared" si="5"/>
        <v>363.02029527554532</v>
      </c>
      <c r="AN33" s="62">
        <f ca="1">AVERAGE(OFFSET($AM$3,0,0,'Données projet'!$E$10+1,1))-AVERAGE(OFFSET($H$3,0,0,'Données projet'!$E$10+1,1))</f>
        <v>476.32595424393645</v>
      </c>
      <c r="AO33" s="62">
        <f t="shared" si="36"/>
        <v>36.065940605453875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147</v>
      </c>
      <c r="BB33" s="13">
        <f>VLOOKUP(A33,'Données projet'!$A$87:$I$107,9,0)</f>
        <v>12</v>
      </c>
      <c r="BC33" s="13">
        <f t="array" ref="BC33">INDEX(BB:BB,MIN(IF(ISNUMBER(BB33:BB229),ROW(BB33:BB229),"")))</f>
        <v>12</v>
      </c>
      <c r="BD33" s="13">
        <f>IF('Données projet'!$A$88&gt;35,BD32+BC33-BL32,IF(A33&lt;'Données projet'!$A$88,$BA$205^A33,IF(A33='Données projet'!$A$88,'Données projet'!$B$88,BD32+BC33-BL32)))</f>
        <v>146.99999999999997</v>
      </c>
      <c r="BE33" s="14">
        <f>BD33*VLOOKUP('Données projet'!$B$11,Paramètres!$A$1:$I$89,3,0)*VLOOKUP('Données projet'!$B$11,Paramètres!$A$1:$I$89,5,0)</f>
        <v>116.95319999999998</v>
      </c>
      <c r="BF33" s="14">
        <f t="shared" si="37"/>
        <v>30.963323095281662</v>
      </c>
      <c r="BG33" s="22">
        <f t="shared" si="7"/>
        <v>257.62127772428215</v>
      </c>
      <c r="BH33" s="62">
        <f t="shared" si="8"/>
        <v>550.95461105761547</v>
      </c>
      <c r="BI33" s="62">
        <f ca="1">AVERAGE(OFFSET($BH$3,0,0,'Données projet'!$E$11+1,1))-AVERAGE(OFFSET($H$3,0,0,'Données projet'!$E$11+1,1))</f>
        <v>225.02590532358471</v>
      </c>
      <c r="BJ33" s="62">
        <f t="shared" si="38"/>
        <v>224.00025638752402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28</v>
      </c>
      <c r="BM33" s="17">
        <f>IF(ISNA(VLOOKUP(A33,'Données projet'!$A$87:$I$107,5,0)),0%,VLOOKUP(A33,'Données projet'!$A$87:$I$107,5,0)*VLOOKUP('Données projet'!$B$11,Paramètres!$A$1:$I$89,7,0))</f>
        <v>0.10600000000000001</v>
      </c>
      <c r="BN33" s="17">
        <f>IF(ISNA(VLOOKUP(A33,'Données projet'!$A$87:$I$107,6,0)),0%,VLOOKUP(A33,'Données projet'!$A$87:$I$107,6,0)*VLOOKUP('Données projet'!$B$11,Paramètres!$A$1:$I$89,7,0))</f>
        <v>0.10600000000000001</v>
      </c>
      <c r="BO33" s="17">
        <f>IF(ISNA(VLOOKUP(A33,'Données projet'!$A$87:$I$107,7,0)),0%,VLOOKUP(A33,'Données projet'!$A$87:$I$107,7,0))</f>
        <v>0.6</v>
      </c>
      <c r="BP33" s="23">
        <f>EXP(-LN(2)/35)*BP32+(1-EXP(-LN(2)/35))/(LN(2)/35)*BL33*BM33*VLOOKUP('Données projet'!$B$11,Paramètres!$A$1:$I$89,3,0)*0.475*44/12</f>
        <v>2.6103923103826401</v>
      </c>
      <c r="BQ33" s="23">
        <f>EXP(-LN(2)/25)*BQ32+(1-EXP(-LN(2)/25))/(LN(2)/25)*Calculateur!BL33*Calculateur!BN33*VLOOKUP('Données projet'!$B$11,Paramètres!$A$1:$I$89,3,0)*0.475*44/12</f>
        <v>9.0976940510339546</v>
      </c>
      <c r="BR33" s="23">
        <f>EXP(-LN(2)/2)*BR32+(1-EXP(-LN(2)/2))/(LN(2)/2)*BL33*BO33*VLOOKUP('Données projet'!$B$11,Paramètres!$A$1:$I$89,3,0)*0.475*44/12</f>
        <v>15.42830500762091</v>
      </c>
      <c r="BS33" s="24">
        <f t="shared" si="9"/>
        <v>27.136391369037504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23.545454545454547</v>
      </c>
      <c r="N34" s="14">
        <f>IF('Données projet'!$A$36&gt;35,N33+M34-V33,IF(A34&lt;'Données projet'!$A$36,$K$205^A34,IF(A34='Données projet'!$A$36,'Données projet'!$B$36,N33+M34-V33)))</f>
        <v>315.1818181818183</v>
      </c>
      <c r="O34" s="14">
        <f>N34*VLOOKUP('Données projet'!$B$9,Paramètres!$A$1:$I$89,3,0)*VLOOKUP('Données projet'!$B$9,Paramètres!$A$1:$I$89,5,0)</f>
        <v>176.18663636363644</v>
      </c>
      <c r="P34" s="14">
        <f t="shared" si="33"/>
        <v>44.472728603316995</v>
      </c>
      <c r="Q34" s="22">
        <f t="shared" si="2"/>
        <v>384.31506065077718</v>
      </c>
      <c r="R34" s="62">
        <f t="shared" si="0"/>
        <v>677.6483939841105</v>
      </c>
      <c r="S34" s="62">
        <f ca="1">AVERAGE(OFFSET($R$3,0,0,'Données projet'!$E$9+1,1))-AVERAGE(OFFSET($H$3,0,0,'Données projet'!$E$9+1,1))</f>
        <v>395.89088353191511</v>
      </c>
      <c r="T34" s="62">
        <f t="shared" si="34"/>
        <v>322.63468857063492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19.809877104369544</v>
      </c>
      <c r="AA34" s="23">
        <f>EXP(-LN(2)/25)*AA33+(1-EXP(-LN(2)/25))/(LN(2)/25)*Calculateur!V34*Calculateur!X34*VLOOKUP('Données projet'!$B$9,Paramètres!$A$1:$I$89,3,0)*0.475*44/12</f>
        <v>12.586680009497432</v>
      </c>
      <c r="AB34" s="23">
        <f>EXP(-LN(2)/2)*AB33+(1-EXP(-LN(2)/2))/(LN(2)/2)*V34*Y34*VLOOKUP('Données projet'!$B$9,Paramètres!$A$1:$I$89,3,0)*0.475*44/12</f>
        <v>2.3813641830020389</v>
      </c>
      <c r="AC34" s="24">
        <f t="shared" si="3"/>
        <v>34.777921296869017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3.5142857142857142</v>
      </c>
      <c r="AI34" s="14">
        <f>IF('Données projet'!$A$62&gt;35,AI33+AH34-AQ33,IF(A34&lt;'Données projet'!$A$62,$AF$205^A34,IF(A34='Données projet'!$A$62,'Données projet'!$B$62,AI33+AH34-AQ33)))</f>
        <v>70.967386684835404</v>
      </c>
      <c r="AJ34" s="14">
        <f>AI34*VLOOKUP('Données projet'!$B$10,Paramètres!$A$1:$I$89,3,0)*VLOOKUP('Données projet'!$B$10,Paramètres!$A$1:$I$89,5,0)</f>
        <v>35.057889022308686</v>
      </c>
      <c r="AK34" s="14">
        <f t="shared" si="35"/>
        <v>10.67885683179955</v>
      </c>
      <c r="AL34" s="22">
        <f t="shared" si="4"/>
        <v>79.658165695905168</v>
      </c>
      <c r="AM34" s="62">
        <f t="shared" si="5"/>
        <v>372.99149902923847</v>
      </c>
      <c r="AN34" s="62">
        <f ca="1">AVERAGE(OFFSET($AM$3,0,0,'Données projet'!$E$10+1,1))-AVERAGE(OFFSET($H$3,0,0,'Données projet'!$E$10+1,1))</f>
        <v>476.32595424393645</v>
      </c>
      <c r="AO34" s="62">
        <f t="shared" si="36"/>
        <v>36.065940605453875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129.79999999999998</v>
      </c>
      <c r="BE34" s="14">
        <f>BD34*VLOOKUP('Données projet'!$B$11,Paramètres!$A$1:$I$89,3,0)*VLOOKUP('Données projet'!$B$11,Paramètres!$A$1:$I$89,5,0)</f>
        <v>103.26888</v>
      </c>
      <c r="BF34" s="14">
        <f t="shared" si="37"/>
        <v>27.739299256755746</v>
      </c>
      <c r="BG34" s="22">
        <f t="shared" si="7"/>
        <v>228.17257887218292</v>
      </c>
      <c r="BH34" s="62">
        <f t="shared" si="8"/>
        <v>521.50591220551621</v>
      </c>
      <c r="BI34" s="62">
        <f ca="1">AVERAGE(OFFSET($BH$3,0,0,'Données projet'!$E$11+1,1))-AVERAGE(OFFSET($H$3,0,0,'Données projet'!$E$11+1,1))</f>
        <v>225.02590532358471</v>
      </c>
      <c r="BJ34" s="62">
        <f t="shared" si="38"/>
        <v>224.00025638752402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2.5592041093581308</v>
      </c>
      <c r="BQ34" s="23">
        <f>EXP(-LN(2)/25)*BQ33+(1-EXP(-LN(2)/25))/(LN(2)/25)*Calculateur!BL34*Calculateur!BN34*VLOOKUP('Données projet'!$B$11,Paramètres!$A$1:$I$89,3,0)*0.475*44/12</f>
        <v>8.8489171287814941</v>
      </c>
      <c r="BR34" s="23">
        <f>EXP(-LN(2)/2)*BR33+(1-EXP(-LN(2)/2))/(LN(2)/2)*BL34*BO34*VLOOKUP('Données projet'!$B$11,Paramètres!$A$1:$I$89,3,0)*0.475*44/12</f>
        <v>10.909459093103115</v>
      </c>
      <c r="BS34" s="24">
        <f t="shared" si="9"/>
        <v>22.317580331242738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23.545454545454547</v>
      </c>
      <c r="N35" s="14">
        <f>IF('Données projet'!$A$36&gt;35,N34+M35-V34,IF(A35&lt;'Données projet'!$A$36,$K$205^A35,IF(A35='Données projet'!$A$36,'Données projet'!$B$36,N34+M35-V34)))</f>
        <v>338.72727272727286</v>
      </c>
      <c r="O35" s="14">
        <f>N35*VLOOKUP('Données projet'!$B$9,Paramètres!$A$1:$I$89,3,0)*VLOOKUP('Données projet'!$B$9,Paramètres!$A$1:$I$89,5,0)</f>
        <v>189.34854545454553</v>
      </c>
      <c r="P35" s="14">
        <f t="shared" si="33"/>
        <v>47.395896723206086</v>
      </c>
      <c r="Q35" s="22">
        <f t="shared" ref="Q35:Q66" si="53">(O35+P35)*0.475*44/12</f>
        <v>412.32990345958405</v>
      </c>
      <c r="R35" s="62">
        <f t="shared" si="0"/>
        <v>705.66323679291736</v>
      </c>
      <c r="S35" s="62">
        <f ca="1">AVERAGE(OFFSET($R$3,0,0,'Données projet'!$E$9+1,1))-AVERAGE(OFFSET($H$3,0,0,'Données projet'!$E$9+1,1))</f>
        <v>395.89088353191511</v>
      </c>
      <c r="T35" s="62">
        <f t="shared" si="34"/>
        <v>322.63468857063492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19.421417497184812</v>
      </c>
      <c r="AA35" s="23">
        <f>EXP(-LN(2)/25)*AA34+(1-EXP(-LN(2)/25))/(LN(2)/25)*Calculateur!V35*Calculateur!X35*VLOOKUP('Données projet'!$B$9,Paramètres!$A$1:$I$89,3,0)*0.475*44/12</f>
        <v>12.24249658273299</v>
      </c>
      <c r="AB35" s="23">
        <f>EXP(-LN(2)/2)*AB34+(1-EXP(-LN(2)/2))/(LN(2)/2)*V35*Y35*VLOOKUP('Données projet'!$B$9,Paramètres!$A$1:$I$89,3,0)*0.475*44/12</f>
        <v>1.6838787622755043</v>
      </c>
      <c r="AC35" s="24">
        <f t="shared" si="3"/>
        <v>33.347792842193307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3.5142857142857142</v>
      </c>
      <c r="AI35" s="14">
        <f>IF('Données projet'!$A$62&gt;35,AI34+AH35-AQ34,IF(A35&lt;'Données projet'!$A$62,$AF$205^A35,IF(A35='Données projet'!$A$62,'Données projet'!$B$62,AI34+AH35-AQ34)))</f>
        <v>81.427366201229134</v>
      </c>
      <c r="AJ35" s="14">
        <f>AI35*VLOOKUP('Données projet'!$B$10,Paramètres!$A$1:$I$89,3,0)*VLOOKUP('Données projet'!$B$10,Paramètres!$A$1:$I$89,5,0)</f>
        <v>40.225118903407193</v>
      </c>
      <c r="AK35" s="14">
        <f t="shared" si="35"/>
        <v>12.05829519359088</v>
      </c>
      <c r="AL35" s="22">
        <f t="shared" si="4"/>
        <v>91.060279552271638</v>
      </c>
      <c r="AM35" s="62">
        <f t="shared" si="5"/>
        <v>384.39361288560497</v>
      </c>
      <c r="AN35" s="62">
        <f ca="1">AVERAGE(OFFSET($AM$3,0,0,'Données projet'!$E$10+1,1))-AVERAGE(OFFSET($H$3,0,0,'Données projet'!$E$10+1,1))</f>
        <v>476.32595424393645</v>
      </c>
      <c r="AO35" s="62">
        <f t="shared" si="36"/>
        <v>36.065940605453875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140.6</v>
      </c>
      <c r="BE35" s="14">
        <f>BD35*VLOOKUP('Données projet'!$B$11,Paramètres!$A$1:$I$89,3,0)*VLOOKUP('Données projet'!$B$11,Paramètres!$A$1:$I$89,5,0)</f>
        <v>111.86136</v>
      </c>
      <c r="BF35" s="14">
        <f t="shared" si="37"/>
        <v>29.769106304683568</v>
      </c>
      <c r="BG35" s="22">
        <f t="shared" si="7"/>
        <v>246.67306214732389</v>
      </c>
      <c r="BH35" s="62">
        <f t="shared" si="8"/>
        <v>540.00639548065715</v>
      </c>
      <c r="BI35" s="62">
        <f ca="1">AVERAGE(OFFSET($BH$3,0,0,'Données projet'!$E$11+1,1))-AVERAGE(OFFSET($H$3,0,0,'Données projet'!$E$11+1,1))</f>
        <v>225.02590532358471</v>
      </c>
      <c r="BJ35" s="62">
        <f t="shared" si="38"/>
        <v>224.00025638752402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2.5090196777339924</v>
      </c>
      <c r="BQ35" s="23">
        <f>EXP(-LN(2)/25)*BQ34+(1-EXP(-LN(2)/25))/(LN(2)/25)*Calculateur!BL35*Calculateur!BN35*VLOOKUP('Données projet'!$B$11,Paramètres!$A$1:$I$89,3,0)*0.475*44/12</f>
        <v>8.6069430245506364</v>
      </c>
      <c r="BR35" s="23">
        <f>EXP(-LN(2)/2)*BR34+(1-EXP(-LN(2)/2))/(LN(2)/2)*BL35*BO35*VLOOKUP('Données projet'!$B$11,Paramètres!$A$1:$I$89,3,0)*0.475*44/12</f>
        <v>7.7141525038104559</v>
      </c>
      <c r="BS35" s="24">
        <f t="shared" si="9"/>
        <v>18.830115206095083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23.545454545454547</v>
      </c>
      <c r="N36" s="14">
        <f>IF('Données projet'!$A$36&gt;35,N35+M36-V35,IF(A36&lt;'Données projet'!$A$36,$K$205^A36,IF(A36='Données projet'!$A$36,'Données projet'!$B$36,N35+M36-V35)))</f>
        <v>362.27272727272742</v>
      </c>
      <c r="O36" s="14">
        <f>N36*VLOOKUP('Données projet'!$B$9,Paramètres!$A$1:$I$89,3,0)*VLOOKUP('Données projet'!$B$9,Paramètres!$A$1:$I$89,5,0)</f>
        <v>202.51045454545462</v>
      </c>
      <c r="P36" s="14">
        <f t="shared" si="33"/>
        <v>50.295488464700725</v>
      </c>
      <c r="Q36" s="22">
        <f t="shared" si="53"/>
        <v>440.30368407602055</v>
      </c>
      <c r="R36" s="62">
        <f t="shared" si="0"/>
        <v>733.6370174093538</v>
      </c>
      <c r="S36" s="62">
        <f ca="1">AVERAGE(OFFSET($R$3,0,0,'Données projet'!$E$9+1,1))-AVERAGE(OFFSET($H$3,0,0,'Données projet'!$E$9+1,1))</f>
        <v>395.89088353191511</v>
      </c>
      <c r="T36" s="62">
        <f t="shared" si="34"/>
        <v>322.63468857063492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19.040575345960008</v>
      </c>
      <c r="AA36" s="23">
        <f>EXP(-LN(2)/25)*AA35+(1-EXP(-LN(2)/25))/(LN(2)/25)*Calculateur!V36*Calculateur!X36*VLOOKUP('Données projet'!$B$9,Paramètres!$A$1:$I$89,3,0)*0.475*44/12</f>
        <v>11.907724869873242</v>
      </c>
      <c r="AB36" s="23">
        <f>EXP(-LN(2)/2)*AB35+(1-EXP(-LN(2)/2))/(LN(2)/2)*V36*Y36*VLOOKUP('Données projet'!$B$9,Paramètres!$A$1:$I$89,3,0)*0.475*44/12</f>
        <v>1.1906820915010194</v>
      </c>
      <c r="AC36" s="24">
        <f t="shared" si="3"/>
        <v>32.138982307334267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3.5142857142857142</v>
      </c>
      <c r="AI36" s="14">
        <f>IF('Données projet'!$A$62&gt;35,AI35+AH36-AQ35,IF(A36&lt;'Données projet'!$A$62,$AF$205^A36,IF(A36='Données projet'!$A$62,'Données projet'!$B$62,AI35+AH36-AQ35)))</f>
        <v>93.429056306026908</v>
      </c>
      <c r="AJ36" s="14">
        <f>AI36*VLOOKUP('Données projet'!$B$10,Paramètres!$A$1:$I$89,3,0)*VLOOKUP('Données projet'!$B$10,Paramètres!$A$1:$I$89,5,0)</f>
        <v>46.153953815177296</v>
      </c>
      <c r="AK36" s="14">
        <f t="shared" si="35"/>
        <v>13.615922122187895</v>
      </c>
      <c r="AL36" s="22">
        <f t="shared" si="4"/>
        <v>104.09920059091104</v>
      </c>
      <c r="AM36" s="62">
        <f t="shared" si="5"/>
        <v>397.43253392424435</v>
      </c>
      <c r="AN36" s="62">
        <f ca="1">AVERAGE(OFFSET($AM$3,0,0,'Données projet'!$E$10+1,1))-AVERAGE(OFFSET($H$3,0,0,'Données projet'!$E$10+1,1))</f>
        <v>476.32595424393645</v>
      </c>
      <c r="AO36" s="62">
        <f t="shared" si="36"/>
        <v>36.065940605453875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151.4</v>
      </c>
      <c r="BE36" s="14">
        <f>BD36*VLOOKUP('Données projet'!$B$11,Paramètres!$A$1:$I$89,3,0)*VLOOKUP('Données projet'!$B$11,Paramètres!$A$1:$I$89,5,0)</f>
        <v>120.45384</v>
      </c>
      <c r="BF36" s="14">
        <f t="shared" si="37"/>
        <v>31.780826754892406</v>
      </c>
      <c r="BG36" s="22">
        <f t="shared" si="7"/>
        <v>265.14204459810429</v>
      </c>
      <c r="BH36" s="62">
        <f t="shared" si="8"/>
        <v>558.47537793143761</v>
      </c>
      <c r="BI36" s="62">
        <f ca="1">AVERAGE(OFFSET($BH$3,0,0,'Données projet'!$E$11+1,1))-AVERAGE(OFFSET($H$3,0,0,'Données projet'!$E$11+1,1))</f>
        <v>225.02590532358471</v>
      </c>
      <c r="BJ36" s="62">
        <f t="shared" si="38"/>
        <v>224.00025638752402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2.4598193322045225</v>
      </c>
      <c r="BQ36" s="23">
        <f>EXP(-LN(2)/25)*BQ35+(1-EXP(-LN(2)/25))/(LN(2)/25)*Calculateur!BL36*Calculateur!BN36*VLOOKUP('Données projet'!$B$11,Paramètres!$A$1:$I$89,3,0)*0.475*44/12</f>
        <v>8.3715857149248372</v>
      </c>
      <c r="BR36" s="23">
        <f>EXP(-LN(2)/2)*BR35+(1-EXP(-LN(2)/2))/(LN(2)/2)*BL36*BO36*VLOOKUP('Données projet'!$B$11,Paramètres!$A$1:$I$89,3,0)*0.475*44/12</f>
        <v>5.4547295465515582</v>
      </c>
      <c r="BS36" s="24">
        <f t="shared" si="9"/>
        <v>16.28613459368092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23.545454545454547</v>
      </c>
      <c r="N37" s="14">
        <f>IF('Données projet'!$A$36&gt;35,N36+M37-V36,IF(A37&lt;'Données projet'!$A$36,$K$205^A37,IF(A37='Données projet'!$A$36,'Données projet'!$B$36,N36+M37-V36)))</f>
        <v>385.81818181818198</v>
      </c>
      <c r="O37" s="14">
        <f>N37*VLOOKUP('Données projet'!$B$9,Paramètres!$A$1:$I$89,3,0)*VLOOKUP('Données projet'!$B$9,Paramètres!$A$1:$I$89,5,0)</f>
        <v>215.67236363636371</v>
      </c>
      <c r="P37" s="14">
        <f t="shared" si="33"/>
        <v>53.173210532108904</v>
      </c>
      <c r="Q37" s="22">
        <f t="shared" si="53"/>
        <v>468.23937501008982</v>
      </c>
      <c r="R37" s="62">
        <f t="shared" si="0"/>
        <v>761.57270834342307</v>
      </c>
      <c r="S37" s="62">
        <f ca="1">AVERAGE(OFFSET($R$3,0,0,'Données projet'!$E$9+1,1))-AVERAGE(OFFSET($H$3,0,0,'Données projet'!$E$9+1,1))</f>
        <v>395.89088353191511</v>
      </c>
      <c r="T37" s="62">
        <f t="shared" si="34"/>
        <v>322.63468857063492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18.667201277029946</v>
      </c>
      <c r="AA37" s="23">
        <f>EXP(-LN(2)/25)*AA36+(1-EXP(-LN(2)/25))/(LN(2)/25)*Calculateur!V37*Calculateur!X37*VLOOKUP('Données projet'!$B$9,Paramètres!$A$1:$I$89,3,0)*0.475*44/12</f>
        <v>11.582107507106523</v>
      </c>
      <c r="AB37" s="23">
        <f>EXP(-LN(2)/2)*AB36+(1-EXP(-LN(2)/2))/(LN(2)/2)*V37*Y37*VLOOKUP('Données projet'!$B$9,Paramètres!$A$1:$I$89,3,0)*0.475*44/12</f>
        <v>0.84193938113775213</v>
      </c>
      <c r="AC37" s="24">
        <f t="shared" si="3"/>
        <v>31.091248165274219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3.5142857142857142</v>
      </c>
      <c r="AI37" s="14">
        <f>IF('Données projet'!$A$62&gt;35,AI36+AH37-AQ36,IF(A37&lt;'Données projet'!$A$62,$AF$205^A37,IF(A37='Données projet'!$A$62,'Données projet'!$B$62,AI36+AH37-AQ36)))</f>
        <v>107.1996918169138</v>
      </c>
      <c r="AJ37" s="14">
        <f>AI37*VLOOKUP('Données projet'!$B$10,Paramètres!$A$1:$I$89,3,0)*VLOOKUP('Données projet'!$B$10,Paramètres!$A$1:$I$89,5,0)</f>
        <v>52.956647757555416</v>
      </c>
      <c r="AK37" s="14">
        <f t="shared" si="35"/>
        <v>15.374755076159063</v>
      </c>
      <c r="AL37" s="22">
        <f t="shared" si="4"/>
        <v>119.01052660205272</v>
      </c>
      <c r="AM37" s="62">
        <f t="shared" si="5"/>
        <v>412.34385993538604</v>
      </c>
      <c r="AN37" s="62">
        <f ca="1">AVERAGE(OFFSET($AM$3,0,0,'Données projet'!$E$10+1,1))-AVERAGE(OFFSET($H$3,0,0,'Données projet'!$E$10+1,1))</f>
        <v>476.32595424393645</v>
      </c>
      <c r="AO37" s="62">
        <f t="shared" si="36"/>
        <v>36.065940605453875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162.20000000000002</v>
      </c>
      <c r="BE37" s="14">
        <f>BD37*VLOOKUP('Données projet'!$B$11,Paramètres!$A$1:$I$89,3,0)*VLOOKUP('Données projet'!$B$11,Paramètres!$A$1:$I$89,5,0)</f>
        <v>129.04632000000001</v>
      </c>
      <c r="BF37" s="14">
        <f t="shared" si="37"/>
        <v>33.775897540199807</v>
      </c>
      <c r="BG37" s="22">
        <f t="shared" si="7"/>
        <v>283.58202888251463</v>
      </c>
      <c r="BH37" s="62">
        <f t="shared" si="8"/>
        <v>576.91536221584795</v>
      </c>
      <c r="BI37" s="62">
        <f ca="1">AVERAGE(OFFSET($BH$3,0,0,'Données projet'!$E$11+1,1))-AVERAGE(OFFSET($H$3,0,0,'Données projet'!$E$11+1,1))</f>
        <v>225.02590532358471</v>
      </c>
      <c r="BJ37" s="62">
        <f t="shared" si="38"/>
        <v>224.00025638752402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2.4115837754416383</v>
      </c>
      <c r="BQ37" s="23">
        <f>EXP(-LN(2)/25)*BQ36+(1-EXP(-LN(2)/25))/(LN(2)/25)*Calculateur!BL37*Calculateur!BN37*VLOOKUP('Données projet'!$B$11,Paramètres!$A$1:$I$89,3,0)*0.475*44/12</f>
        <v>8.1426642633076582</v>
      </c>
      <c r="BR37" s="23">
        <f>EXP(-LN(2)/2)*BR36+(1-EXP(-LN(2)/2))/(LN(2)/2)*BL37*BO37*VLOOKUP('Données projet'!$B$11,Paramètres!$A$1:$I$89,3,0)*0.475*44/12</f>
        <v>3.8570762519052284</v>
      </c>
      <c r="BS37" s="24">
        <f t="shared" si="9"/>
        <v>14.411324290654525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23.545454545454547</v>
      </c>
      <c r="N38" s="14">
        <f>IF('Données projet'!$A$36&gt;35,N37+M38-V37,IF(A38&lt;'Données projet'!$A$36,$K$205^A38,IF(A38='Données projet'!$A$36,'Données projet'!$B$36,N37+M38-V37)))</f>
        <v>409.36363636363654</v>
      </c>
      <c r="O38" s="14">
        <f>N38*VLOOKUP('Données projet'!$B$9,Paramètres!$A$1:$I$89,3,0)*VLOOKUP('Données projet'!$B$9,Paramètres!$A$1:$I$89,5,0)</f>
        <v>228.8342727272728</v>
      </c>
      <c r="P38" s="14">
        <f t="shared" si="33"/>
        <v>56.030549547616872</v>
      </c>
      <c r="Q38" s="22">
        <f t="shared" si="53"/>
        <v>496.13956546209948</v>
      </c>
      <c r="R38" s="62">
        <f t="shared" si="0"/>
        <v>789.4728987954328</v>
      </c>
      <c r="S38" s="62">
        <f ca="1">AVERAGE(OFFSET($R$3,0,0,'Données projet'!$E$9+1,1))-AVERAGE(OFFSET($H$3,0,0,'Données projet'!$E$9+1,1))</f>
        <v>395.89088353191511</v>
      </c>
      <c r="T38" s="62">
        <f t="shared" si="34"/>
        <v>322.63468857063492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18.301148845855906</v>
      </c>
      <c r="AA38" s="23">
        <f>EXP(-LN(2)/25)*AA37+(1-EXP(-LN(2)/25))/(LN(2)/25)*Calculateur!V38*Calculateur!X38*VLOOKUP('Données projet'!$B$9,Paramètres!$A$1:$I$89,3,0)*0.475*44/12</f>
        <v>11.265394168248132</v>
      </c>
      <c r="AB38" s="23">
        <f>EXP(-LN(2)/2)*AB37+(1-EXP(-LN(2)/2))/(LN(2)/2)*V38*Y38*VLOOKUP('Données projet'!$B$9,Paramètres!$A$1:$I$89,3,0)*0.475*44/12</f>
        <v>0.59534104575050972</v>
      </c>
      <c r="AC38" s="24">
        <f t="shared" si="3"/>
        <v>30.161884059854547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123</v>
      </c>
      <c r="AG38" s="13">
        <f>VLOOKUP(A38,'Données projet'!$A$61:$I$81,9,0)</f>
        <v>3.5142857142857142</v>
      </c>
      <c r="AH38" s="13">
        <f t="array" ref="AH38">INDEX(AG:AG,MIN(IF(ISNUMBER(AG38:AG234),ROW(AG38:AG234),"")))</f>
        <v>3.5142857142857142</v>
      </c>
      <c r="AI38" s="14">
        <f>IF('Données projet'!$A$62&gt;35,AI37+AH38-AQ37,IF(A38&lt;'Données projet'!$A$62,$AF$205^A38,IF(A38='Données projet'!$A$62,'Données projet'!$B$62,AI37+AH38-AQ37)))</f>
        <v>123</v>
      </c>
      <c r="AJ38" s="14">
        <f>AI38*VLOOKUP('Données projet'!$B$10,Paramètres!$A$1:$I$89,3,0)*VLOOKUP('Données projet'!$B$10,Paramètres!$A$1:$I$89,5,0)</f>
        <v>60.762000000000008</v>
      </c>
      <c r="AK38" s="14">
        <f t="shared" si="35"/>
        <v>17.360784787882984</v>
      </c>
      <c r="AL38" s="22">
        <f t="shared" si="4"/>
        <v>136.06385017222954</v>
      </c>
      <c r="AM38" s="62">
        <f t="shared" si="5"/>
        <v>429.39718350556285</v>
      </c>
      <c r="AN38" s="62">
        <f ca="1">AVERAGE(OFFSET($AM$3,0,0,'Données projet'!$E$10+1,1))-AVERAGE(OFFSET($H$3,0,0,'Données projet'!$E$10+1,1))</f>
        <v>476.32595424393645</v>
      </c>
      <c r="AO38" s="62">
        <f t="shared" si="36"/>
        <v>36.065940605453875</v>
      </c>
      <c r="AP38" s="16">
        <f>IF(ISNA(VLOOKUP(A38,'Données projet'!$A$61:$I$81,3,0)),0,VLOOKUP(A38,'Données projet'!$A$61:$I$81,3,0))</f>
        <v>1</v>
      </c>
      <c r="AQ38" s="16">
        <f>IF(ISNA(VLOOKUP(A38,'Données projet'!$A$61:$I$81,4,0)),0,VLOOKUP(A38,'Données projet'!$A$61:$I$81,4,0))</f>
        <v>25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173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173.00000000000003</v>
      </c>
      <c r="BE38" s="14">
        <f>BD38*VLOOKUP('Données projet'!$B$11,Paramètres!$A$1:$I$89,3,0)*VLOOKUP('Données projet'!$B$11,Paramètres!$A$1:$I$89,5,0)</f>
        <v>137.63880000000003</v>
      </c>
      <c r="BF38" s="14">
        <f t="shared" si="37"/>
        <v>35.755553413044268</v>
      </c>
      <c r="BG38" s="22">
        <f t="shared" si="7"/>
        <v>301.99516552771883</v>
      </c>
      <c r="BH38" s="62">
        <f t="shared" si="8"/>
        <v>595.32849886105214</v>
      </c>
      <c r="BI38" s="62">
        <f ca="1">AVERAGE(OFFSET($BH$3,0,0,'Données projet'!$E$11+1,1))-AVERAGE(OFFSET($H$3,0,0,'Données projet'!$E$11+1,1))</f>
        <v>225.02590532358471</v>
      </c>
      <c r="BJ38" s="62">
        <f t="shared" si="38"/>
        <v>224.00025638752402</v>
      </c>
      <c r="BK38" s="16">
        <f>IF(ISNA(VLOOKUP(A38,'Données projet'!$A$87:$I$107,3,0)),0,VLOOKUP(A38,'Données projet'!$A$87:$I$107,3,0))</f>
        <v>5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2.3642940885260892</v>
      </c>
      <c r="BQ38" s="23">
        <f>EXP(-LN(2)/25)*BQ37+(1-EXP(-LN(2)/25))/(LN(2)/25)*Calculateur!BL38*Calculateur!BN38*VLOOKUP('Données projet'!$B$11,Paramètres!$A$1:$I$89,3,0)*0.475*44/12</f>
        <v>7.9200026808234067</v>
      </c>
      <c r="BR38" s="23">
        <f>EXP(-LN(2)/2)*BR37+(1-EXP(-LN(2)/2))/(LN(2)/2)*BL38*BO38*VLOOKUP('Données projet'!$B$11,Paramètres!$A$1:$I$89,3,0)*0.475*44/12</f>
        <v>2.7273647732757795</v>
      </c>
      <c r="BS38" s="24">
        <f t="shared" si="9"/>
        <v>13.011661542625275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23.545454545454547</v>
      </c>
      <c r="N39" s="14">
        <f>IF('Données projet'!$A$36&gt;35,N38+M39-V38,IF(A39&lt;'Données projet'!$A$36,$K$205^A39,IF(A39='Données projet'!$A$36,'Données projet'!$B$36,N38+M39-V38)))</f>
        <v>432.90909090909111</v>
      </c>
      <c r="O39" s="14">
        <f>N39*VLOOKUP('Données projet'!$B$9,Paramètres!$A$1:$I$89,3,0)*VLOOKUP('Données projet'!$B$9,Paramètres!$A$1:$I$89,5,0)</f>
        <v>241.99618181818195</v>
      </c>
      <c r="P39" s="14">
        <f t="shared" si="33"/>
        <v>58.868811461135721</v>
      </c>
      <c r="Q39" s="22">
        <f t="shared" si="53"/>
        <v>524.00652996147824</v>
      </c>
      <c r="R39" s="62">
        <f t="shared" si="0"/>
        <v>817.33986329481149</v>
      </c>
      <c r="S39" s="62">
        <f ca="1">AVERAGE(OFFSET($R$3,0,0,'Données projet'!$E$9+1,1))-AVERAGE(OFFSET($H$3,0,0,'Données projet'!$E$9+1,1))</f>
        <v>395.89088353191511</v>
      </c>
      <c r="T39" s="62">
        <f t="shared" si="34"/>
        <v>322.63468857063492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17.942274479587251</v>
      </c>
      <c r="AA39" s="23">
        <f>EXP(-LN(2)/25)*AA38+(1-EXP(-LN(2)/25))/(LN(2)/25)*Calculateur!V39*Calculateur!X39*VLOOKUP('Données projet'!$B$9,Paramètres!$A$1:$I$89,3,0)*0.475*44/12</f>
        <v>10.957341372296055</v>
      </c>
      <c r="AB39" s="23">
        <f>EXP(-LN(2)/2)*AB38+(1-EXP(-LN(2)/2))/(LN(2)/2)*V39*Y39*VLOOKUP('Données projet'!$B$9,Paramètres!$A$1:$I$89,3,0)*0.475*44/12</f>
        <v>0.42096969056887606</v>
      </c>
      <c r="AC39" s="24">
        <f t="shared" si="3"/>
        <v>29.320585542452179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23.142857142857142</v>
      </c>
      <c r="AI39" s="14">
        <f>IF('Données projet'!$A$62&gt;35,AI38+AH39-AQ38,IF(A39&lt;'Données projet'!$A$62,$AF$205^A39,IF(A39='Données projet'!$A$62,'Données projet'!$B$62,AI38+AH39-AQ38)))</f>
        <v>121.14285714285714</v>
      </c>
      <c r="AJ39" s="14">
        <f>AI39*VLOOKUP('Données projet'!$B$10,Paramètres!$A$1:$I$89,3,0)*VLOOKUP('Données projet'!$B$10,Paramètres!$A$1:$I$89,5,0)</f>
        <v>59.844571428571435</v>
      </c>
      <c r="AK39" s="14">
        <f t="shared" si="35"/>
        <v>17.128965862677592</v>
      </c>
      <c r="AL39" s="22">
        <f t="shared" si="4"/>
        <v>134.06224411559205</v>
      </c>
      <c r="AM39" s="62">
        <f t="shared" si="5"/>
        <v>427.39557744892534</v>
      </c>
      <c r="AN39" s="62">
        <f ca="1">AVERAGE(OFFSET($AM$3,0,0,'Données projet'!$E$10+1,1))-AVERAGE(OFFSET($H$3,0,0,'Données projet'!$E$10+1,1))</f>
        <v>476.32595424393645</v>
      </c>
      <c r="AO39" s="62">
        <f t="shared" si="36"/>
        <v>36.065940605453875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9.4</v>
      </c>
      <c r="BD39" s="13">
        <f>IF('Données projet'!$A$88&gt;35,BD38+BC39-BL38,IF(A39&lt;'Données projet'!$A$88,$BA$205^A39,IF(A39='Données projet'!$A$88,'Données projet'!$B$88,BD38+BC39-BL38)))</f>
        <v>154.40000000000003</v>
      </c>
      <c r="BE39" s="14">
        <f>BD39*VLOOKUP('Données projet'!$B$11,Paramètres!$A$1:$I$89,3,0)*VLOOKUP('Données projet'!$B$11,Paramètres!$A$1:$I$89,5,0)</f>
        <v>122.84064000000002</v>
      </c>
      <c r="BF39" s="14">
        <f t="shared" si="37"/>
        <v>32.336627088964654</v>
      </c>
      <c r="BG39" s="22">
        <f t="shared" si="7"/>
        <v>270.26707351328014</v>
      </c>
      <c r="BH39" s="62">
        <f t="shared" si="8"/>
        <v>563.6004068466134</v>
      </c>
      <c r="BI39" s="62">
        <f ca="1">AVERAGE(OFFSET($BH$3,0,0,'Données projet'!$E$11+1,1))-AVERAGE(OFFSET($H$3,0,0,'Données projet'!$E$11+1,1))</f>
        <v>225.02590532358471</v>
      </c>
      <c r="BJ39" s="62">
        <f t="shared" si="38"/>
        <v>224.00025638752402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2.3179317235270935</v>
      </c>
      <c r="BQ39" s="23">
        <f>EXP(-LN(2)/25)*BQ38+(1-EXP(-LN(2)/25))/(LN(2)/25)*Calculateur!BL39*Calculateur!BN39*VLOOKUP('Données projet'!$B$11,Paramètres!$A$1:$I$89,3,0)*0.475*44/12</f>
        <v>7.7034297910214509</v>
      </c>
      <c r="BR39" s="23">
        <f>EXP(-LN(2)/2)*BR38+(1-EXP(-LN(2)/2))/(LN(2)/2)*BL39*BO39*VLOOKUP('Données projet'!$B$11,Paramètres!$A$1:$I$89,3,0)*0.475*44/12</f>
        <v>1.9285381259526146</v>
      </c>
      <c r="BS39" s="24">
        <f t="shared" si="9"/>
        <v>11.94989964050116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23.545454545454547</v>
      </c>
      <c r="N40" s="14">
        <f>IF('Données projet'!$A$36&gt;35,N39+M40-V39,IF(A40&lt;'Données projet'!$A$36,$K$205^A40,IF(A40='Données projet'!$A$36,'Données projet'!$B$36,N39+M40-V39)))</f>
        <v>456.45454545454567</v>
      </c>
      <c r="O40" s="14">
        <f>N40*VLOOKUP('Données projet'!$B$9,Paramètres!$A$1:$I$89,3,0)*VLOOKUP('Données projet'!$B$9,Paramètres!$A$1:$I$89,5,0)</f>
        <v>255.15809090909104</v>
      </c>
      <c r="P40" s="14">
        <f t="shared" si="33"/>
        <v>61.689152141014794</v>
      </c>
      <c r="Q40" s="22">
        <f t="shared" si="53"/>
        <v>551.84228164560091</v>
      </c>
      <c r="R40" s="62">
        <f t="shared" si="0"/>
        <v>845.17561497893416</v>
      </c>
      <c r="S40" s="62">
        <f ca="1">AVERAGE(OFFSET($R$3,0,0,'Données projet'!$E$9+1,1))-AVERAGE(OFFSET($H$3,0,0,'Données projet'!$E$9+1,1))</f>
        <v>395.89088353191511</v>
      </c>
      <c r="T40" s="62">
        <f t="shared" si="34"/>
        <v>322.63468857063492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17.590437420749378</v>
      </c>
      <c r="AA40" s="23">
        <f>EXP(-LN(2)/25)*AA39+(1-EXP(-LN(2)/25))/(LN(2)/25)*Calculateur!V40*Calculateur!X40*VLOOKUP('Données projet'!$B$9,Paramètres!$A$1:$I$89,3,0)*0.475*44/12</f>
        <v>10.65771229624908</v>
      </c>
      <c r="AB40" s="23">
        <f>EXP(-LN(2)/2)*AB39+(1-EXP(-LN(2)/2))/(LN(2)/2)*V40*Y40*VLOOKUP('Données projet'!$B$9,Paramètres!$A$1:$I$89,3,0)*0.475*44/12</f>
        <v>0.29767052287525486</v>
      </c>
      <c r="AC40" s="24">
        <f t="shared" si="3"/>
        <v>28.545820239873713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23.142857142857142</v>
      </c>
      <c r="AI40" s="14">
        <f>IF('Données projet'!$A$62&gt;35,AI39+AH40-AQ39,IF(A40&lt;'Données projet'!$A$62,$AF$205^A40,IF(A40='Données projet'!$A$62,'Données projet'!$B$62,AI39+AH40-AQ39)))</f>
        <v>144.28571428571428</v>
      </c>
      <c r="AJ40" s="14">
        <f>AI40*VLOOKUP('Données projet'!$B$10,Paramètres!$A$1:$I$89,3,0)*VLOOKUP('Données projet'!$B$10,Paramètres!$A$1:$I$89,5,0)</f>
        <v>71.277142857142863</v>
      </c>
      <c r="AK40" s="14">
        <f t="shared" si="35"/>
        <v>19.990282642837528</v>
      </c>
      <c r="AL40" s="22">
        <f t="shared" si="4"/>
        <v>158.95743274579917</v>
      </c>
      <c r="AM40" s="62">
        <f t="shared" si="5"/>
        <v>452.29076607913248</v>
      </c>
      <c r="AN40" s="62">
        <f ca="1">AVERAGE(OFFSET($AM$3,0,0,'Données projet'!$E$10+1,1))-AVERAGE(OFFSET($H$3,0,0,'Données projet'!$E$10+1,1))</f>
        <v>476.32595424393645</v>
      </c>
      <c r="AO40" s="62">
        <f t="shared" si="36"/>
        <v>36.065940605453875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9.4</v>
      </c>
      <c r="BD40" s="13">
        <f>IF('Données projet'!$A$88&gt;35,BD39+BC40-BL39,IF(A40&lt;'Données projet'!$A$88,$BA$205^A40,IF(A40='Données projet'!$A$88,'Données projet'!$B$88,BD39+BC40-BL39)))</f>
        <v>163.80000000000004</v>
      </c>
      <c r="BE40" s="14">
        <f>BD40*VLOOKUP('Données projet'!$B$11,Paramètres!$A$1:$I$89,3,0)*VLOOKUP('Données projet'!$B$11,Paramètres!$A$1:$I$89,5,0)</f>
        <v>130.31928000000005</v>
      </c>
      <c r="BF40" s="14">
        <f t="shared" si="37"/>
        <v>34.070125030168121</v>
      </c>
      <c r="BG40" s="22">
        <f t="shared" si="7"/>
        <v>286.31154709420952</v>
      </c>
      <c r="BH40" s="62">
        <f t="shared" si="8"/>
        <v>579.64488042754283</v>
      </c>
      <c r="BI40" s="62">
        <f ca="1">AVERAGE(OFFSET($BH$3,0,0,'Données projet'!$E$11+1,1))-AVERAGE(OFFSET($H$3,0,0,'Données projet'!$E$11+1,1))</f>
        <v>225.02590532358471</v>
      </c>
      <c r="BJ40" s="62">
        <f t="shared" si="38"/>
        <v>224.00025638752402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2.2724784962274773</v>
      </c>
      <c r="BQ40" s="23">
        <f>EXP(-LN(2)/25)*BQ39+(1-EXP(-LN(2)/25))/(LN(2)/25)*Calculateur!BL40*Calculateur!BN40*VLOOKUP('Données projet'!$B$11,Paramètres!$A$1:$I$89,3,0)*0.475*44/12</f>
        <v>7.4927790982802032</v>
      </c>
      <c r="BR40" s="23">
        <f>EXP(-LN(2)/2)*BR39+(1-EXP(-LN(2)/2))/(LN(2)/2)*BL40*BO40*VLOOKUP('Données projet'!$B$11,Paramètres!$A$1:$I$89,3,0)*0.475*44/12</f>
        <v>1.36368238663789</v>
      </c>
      <c r="BS40" s="24">
        <f t="shared" si="9"/>
        <v>11.128939981145571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480</v>
      </c>
      <c r="L41" s="13">
        <f>VLOOKUP(A41,'Données projet'!$A$35:$I$55,9,0)</f>
        <v>23.545454545454547</v>
      </c>
      <c r="M41" s="13">
        <f t="array" ref="M41">INDEX(L:L,MIN(IF(ISNUMBER(L41:L237),ROW(L41:L237),"")))</f>
        <v>23.545454545454547</v>
      </c>
      <c r="N41" s="14">
        <f>IF('Données projet'!$A$36&gt;35,N40+M41-V40,IF(A41&lt;'Données projet'!$A$36,$K$205^A41,IF(A41='Données projet'!$A$36,'Données projet'!$B$36,N40+M41-V40)))</f>
        <v>480.00000000000023</v>
      </c>
      <c r="O41" s="14">
        <f>N41*VLOOKUP('Données projet'!$B$9,Paramètres!$A$1:$I$89,3,0)*VLOOKUP('Données projet'!$B$9,Paramètres!$A$1:$I$89,5,0)</f>
        <v>268.32000000000011</v>
      </c>
      <c r="P41" s="14">
        <f t="shared" si="33"/>
        <v>64.492601473092478</v>
      </c>
      <c r="Q41" s="22">
        <f t="shared" si="53"/>
        <v>579.64861423230298</v>
      </c>
      <c r="R41" s="62">
        <f t="shared" si="0"/>
        <v>872.98194756563635</v>
      </c>
      <c r="S41" s="62">
        <f ca="1">AVERAGE(OFFSET($R$3,0,0,'Données projet'!$E$9+1,1))-AVERAGE(OFFSET($H$3,0,0,'Données projet'!$E$9+1,1))</f>
        <v>395.89088353191511</v>
      </c>
      <c r="T41" s="62">
        <f t="shared" si="34"/>
        <v>322.63468857063492</v>
      </c>
      <c r="U41" s="16">
        <f>IF(ISNA(VLOOKUP(A41,'Données projet'!$A$35:$I$55,3,0)),0,VLOOKUP(A41,'Données projet'!$A$35:$I$55,3,0))</f>
        <v>4</v>
      </c>
      <c r="V41" s="16">
        <f>IF(ISNA(VLOOKUP(A41,'Données projet'!$A$35:$I$55,4,0)),0,VLOOKUP(A41,'Données projet'!$A$35:$I$55,4,0))</f>
        <v>90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17.245499672035898</v>
      </c>
      <c r="AA41" s="23">
        <f>EXP(-LN(2)/25)*AA40+(1-EXP(-LN(2)/25))/(LN(2)/25)*Calculateur!V41*Calculateur!X41*VLOOKUP('Données projet'!$B$9,Paramètres!$A$1:$I$89,3,0)*0.475*44/12</f>
        <v>10.366276593043418</v>
      </c>
      <c r="AB41" s="23">
        <f>EXP(-LN(2)/2)*AB40+(1-EXP(-LN(2)/2))/(LN(2)/2)*V41*Y41*VLOOKUP('Données projet'!$B$9,Paramètres!$A$1:$I$89,3,0)*0.475*44/12</f>
        <v>0.21048484528443803</v>
      </c>
      <c r="AC41" s="24">
        <f t="shared" si="3"/>
        <v>27.822261110363751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23.142857142857142</v>
      </c>
      <c r="AI41" s="14">
        <f>IF('Données projet'!$A$62&gt;35,AI40+AH41-AQ40,IF(A41&lt;'Données projet'!$A$62,$AF$205^A41,IF(A41='Données projet'!$A$62,'Données projet'!$B$62,AI40+AH41-AQ40)))</f>
        <v>167.42857142857142</v>
      </c>
      <c r="AJ41" s="14">
        <f>AI41*VLOOKUP('Données projet'!$B$10,Paramètres!$A$1:$I$89,3,0)*VLOOKUP('Données projet'!$B$10,Paramètres!$A$1:$I$89,5,0)</f>
        <v>82.709714285714284</v>
      </c>
      <c r="AK41" s="14">
        <f t="shared" si="35"/>
        <v>22.798433457291782</v>
      </c>
      <c r="AL41" s="22">
        <f t="shared" si="4"/>
        <v>183.76002398573556</v>
      </c>
      <c r="AM41" s="62">
        <f t="shared" si="5"/>
        <v>477.0933573190689</v>
      </c>
      <c r="AN41" s="62">
        <f ca="1">AVERAGE(OFFSET($AM$3,0,0,'Données projet'!$E$10+1,1))-AVERAGE(OFFSET($H$3,0,0,'Données projet'!$E$10+1,1))</f>
        <v>476.32595424393645</v>
      </c>
      <c r="AO41" s="62">
        <f t="shared" si="36"/>
        <v>36.065940605453875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9.4</v>
      </c>
      <c r="BD41" s="13">
        <f>IF('Données projet'!$A$88&gt;35,BD40+BC41-BL40,IF(A41&lt;'Données projet'!$A$88,$BA$205^A41,IF(A41='Données projet'!$A$88,'Données projet'!$B$88,BD40+BC41-BL40)))</f>
        <v>173.20000000000005</v>
      </c>
      <c r="BE41" s="14">
        <f>BD41*VLOOKUP('Données projet'!$B$11,Paramètres!$A$1:$I$89,3,0)*VLOOKUP('Données projet'!$B$11,Paramètres!$A$1:$I$89,5,0)</f>
        <v>137.79792000000003</v>
      </c>
      <c r="BF41" s="14">
        <f t="shared" si="37"/>
        <v>35.792075357772092</v>
      </c>
      <c r="BG41" s="22">
        <f t="shared" si="7"/>
        <v>302.33590858145311</v>
      </c>
      <c r="BH41" s="62">
        <f t="shared" si="8"/>
        <v>595.66924191478643</v>
      </c>
      <c r="BI41" s="62">
        <f ca="1">AVERAGE(OFFSET($BH$3,0,0,'Données projet'!$E$11+1,1))-AVERAGE(OFFSET($H$3,0,0,'Données projet'!$E$11+1,1))</f>
        <v>225.02590532358471</v>
      </c>
      <c r="BJ41" s="62">
        <f t="shared" si="38"/>
        <v>224.00025638752402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2.2279165789914757</v>
      </c>
      <c r="BQ41" s="23">
        <f>EXP(-LN(2)/25)*BQ40+(1-EXP(-LN(2)/25))/(LN(2)/25)*Calculateur!BL41*Calculateur!BN41*VLOOKUP('Données projet'!$B$11,Paramètres!$A$1:$I$89,3,0)*0.475*44/12</f>
        <v>7.2878886598096031</v>
      </c>
      <c r="BR41" s="23">
        <f>EXP(-LN(2)/2)*BR40+(1-EXP(-LN(2)/2))/(LN(2)/2)*BL41*BO41*VLOOKUP('Données projet'!$B$11,Paramètres!$A$1:$I$89,3,0)*0.475*44/12</f>
        <v>0.96426906297630743</v>
      </c>
      <c r="BS41" s="24">
        <f t="shared" si="9"/>
        <v>10.480074301777385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20.75</v>
      </c>
      <c r="N42" s="14">
        <f>IF('Données projet'!$A$36&gt;35,N41+M42-V41,IF(A42&lt;'Données projet'!$A$36,$K$205^A42,IF(A42='Données projet'!$A$36,'Données projet'!$B$36,N41+M42-V41)))</f>
        <v>410.75000000000023</v>
      </c>
      <c r="O42" s="14">
        <f>N42*VLOOKUP('Données projet'!$B$9,Paramètres!$A$1:$I$89,3,0)*VLOOKUP('Données projet'!$B$9,Paramètres!$A$1:$I$89,5,0)</f>
        <v>229.60925000000012</v>
      </c>
      <c r="P42" s="14">
        <f t="shared" si="33"/>
        <v>56.198183886093062</v>
      </c>
      <c r="Q42" s="22">
        <f t="shared" si="53"/>
        <v>497.78128068494561</v>
      </c>
      <c r="R42" s="62">
        <f t="shared" si="0"/>
        <v>791.11461401827887</v>
      </c>
      <c r="S42" s="62">
        <f ca="1">AVERAGE(OFFSET($R$3,0,0,'Données projet'!$E$9+1,1))-AVERAGE(OFFSET($H$3,0,0,'Données projet'!$E$9+1,1))</f>
        <v>395.89088353191511</v>
      </c>
      <c r="T42" s="62">
        <f t="shared" si="34"/>
        <v>322.63468857063492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16.907325942183437</v>
      </c>
      <c r="AA42" s="23">
        <f>EXP(-LN(2)/25)*AA41+(1-EXP(-LN(2)/25))/(LN(2)/25)*Calculateur!V42*Calculateur!X42*VLOOKUP('Données projet'!$B$9,Paramètres!$A$1:$I$89,3,0)*0.475*44/12</f>
        <v>10.082810214467852</v>
      </c>
      <c r="AB42" s="23">
        <f>EXP(-LN(2)/2)*AB41+(1-EXP(-LN(2)/2))/(LN(2)/2)*V42*Y42*VLOOKUP('Données projet'!$B$9,Paramètres!$A$1:$I$89,3,0)*0.475*44/12</f>
        <v>0.14883526143762743</v>
      </c>
      <c r="AC42" s="24">
        <f t="shared" si="3"/>
        <v>27.138971418088918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23.142857142857142</v>
      </c>
      <c r="AI42" s="14">
        <f>IF('Données projet'!$A$62&gt;35,AI41+AH42-AQ41,IF(A42&lt;'Données projet'!$A$62,$AF$205^A42,IF(A42='Données projet'!$A$62,'Données projet'!$B$62,AI41+AH42-AQ41)))</f>
        <v>190.57142857142856</v>
      </c>
      <c r="AJ42" s="14">
        <f>AI42*VLOOKUP('Données projet'!$B$10,Paramètres!$A$1:$I$89,3,0)*VLOOKUP('Données projet'!$B$10,Paramètres!$A$1:$I$89,5,0)</f>
        <v>94.142285714285705</v>
      </c>
      <c r="AK42" s="14">
        <f t="shared" si="35"/>
        <v>25.56161325951906</v>
      </c>
      <c r="AL42" s="22">
        <f t="shared" si="4"/>
        <v>208.48429071270994</v>
      </c>
      <c r="AM42" s="62">
        <f t="shared" si="5"/>
        <v>501.81762404604325</v>
      </c>
      <c r="AN42" s="62">
        <f ca="1">AVERAGE(OFFSET($AM$3,0,0,'Données projet'!$E$10+1,1))-AVERAGE(OFFSET($H$3,0,0,'Données projet'!$E$10+1,1))</f>
        <v>476.32595424393645</v>
      </c>
      <c r="AO42" s="62">
        <f t="shared" si="36"/>
        <v>36.065940605453875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9.4</v>
      </c>
      <c r="BD42" s="13">
        <f>IF('Données projet'!$A$88&gt;35,BD41+BC42-BL41,IF(A42&lt;'Données projet'!$A$88,$BA$205^A42,IF(A42='Données projet'!$A$88,'Données projet'!$B$88,BD41+BC42-BL41)))</f>
        <v>182.60000000000005</v>
      </c>
      <c r="BE42" s="14">
        <f>BD42*VLOOKUP('Données projet'!$B$11,Paramètres!$A$1:$I$89,3,0)*VLOOKUP('Données projet'!$B$11,Paramètres!$A$1:$I$89,5,0)</f>
        <v>145.27656000000005</v>
      </c>
      <c r="BF42" s="14">
        <f t="shared" si="37"/>
        <v>37.503176238005366</v>
      </c>
      <c r="BG42" s="22">
        <f t="shared" si="7"/>
        <v>318.34137394785938</v>
      </c>
      <c r="BH42" s="62">
        <f t="shared" si="8"/>
        <v>611.6747072811927</v>
      </c>
      <c r="BI42" s="62">
        <f ca="1">AVERAGE(OFFSET($BH$3,0,0,'Données projet'!$E$11+1,1))-AVERAGE(OFFSET($H$3,0,0,'Données projet'!$E$11+1,1))</f>
        <v>225.02590532358471</v>
      </c>
      <c r="BJ42" s="62">
        <f t="shared" si="38"/>
        <v>224.00025638752402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2.1842284937723861</v>
      </c>
      <c r="BQ42" s="23">
        <f>EXP(-LN(2)/25)*BQ41+(1-EXP(-LN(2)/25))/(LN(2)/25)*Calculateur!BL42*Calculateur!BN42*VLOOKUP('Données projet'!$B$11,Paramètres!$A$1:$I$89,3,0)*0.475*44/12</f>
        <v>7.088600961153702</v>
      </c>
      <c r="BR42" s="23">
        <f>EXP(-LN(2)/2)*BR41+(1-EXP(-LN(2)/2))/(LN(2)/2)*BL42*BO42*VLOOKUP('Données projet'!$B$11,Paramètres!$A$1:$I$89,3,0)*0.475*44/12</f>
        <v>0.6818411933189451</v>
      </c>
      <c r="BS42" s="24">
        <f t="shared" si="9"/>
        <v>9.9546706482450329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20.75</v>
      </c>
      <c r="N43" s="14">
        <f>IF('Données projet'!$A$36&gt;35,N42+M43-V42,IF(A43&lt;'Données projet'!$A$36,$K$205^A43,IF(A43='Données projet'!$A$36,'Données projet'!$B$36,N42+M43-V42)))</f>
        <v>431.50000000000023</v>
      </c>
      <c r="O43" s="14">
        <f>N43*VLOOKUP('Données projet'!$B$9,Paramètres!$A$1:$I$89,3,0)*VLOOKUP('Données projet'!$B$9,Paramètres!$A$1:$I$89,5,0)</f>
        <v>241.20850000000013</v>
      </c>
      <c r="P43" s="14">
        <f t="shared" si="33"/>
        <v>58.699469086478196</v>
      </c>
      <c r="Q43" s="22">
        <f t="shared" si="53"/>
        <v>522.3397128256164</v>
      </c>
      <c r="R43" s="62">
        <f t="shared" si="0"/>
        <v>815.67304615894977</v>
      </c>
      <c r="S43" s="62">
        <f ca="1">AVERAGE(OFFSET($R$3,0,0,'Données projet'!$E$9+1,1))-AVERAGE(OFFSET($H$3,0,0,'Données projet'!$E$9+1,1))</f>
        <v>395.89088353191511</v>
      </c>
      <c r="T43" s="62">
        <f t="shared" si="34"/>
        <v>322.63468857063492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16.575783592907776</v>
      </c>
      <c r="AA43" s="23">
        <f>EXP(-LN(2)/25)*AA42+(1-EXP(-LN(2)/25))/(LN(2)/25)*Calculateur!V43*Calculateur!X43*VLOOKUP('Données projet'!$B$9,Paramètres!$A$1:$I$89,3,0)*0.475*44/12</f>
        <v>9.8070952389212831</v>
      </c>
      <c r="AB43" s="23">
        <f>EXP(-LN(2)/2)*AB42+(1-EXP(-LN(2)/2))/(LN(2)/2)*V43*Y43*VLOOKUP('Données projet'!$B$9,Paramètres!$A$1:$I$89,3,0)*0.475*44/12</f>
        <v>0.10524242264221902</v>
      </c>
      <c r="AC43" s="24">
        <f t="shared" si="3"/>
        <v>26.488121254471281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23.142857142857142</v>
      </c>
      <c r="AI43" s="14">
        <f>IF('Données projet'!$A$62&gt;35,AI42+AH43-AQ42,IF(A43&lt;'Données projet'!$A$62,$AF$205^A43,IF(A43='Données projet'!$A$62,'Données projet'!$B$62,AI42+AH43-AQ42)))</f>
        <v>213.71428571428569</v>
      </c>
      <c r="AJ43" s="14">
        <f>AI43*VLOOKUP('Données projet'!$B$10,Paramètres!$A$1:$I$89,3,0)*VLOOKUP('Données projet'!$B$10,Paramètres!$A$1:$I$89,5,0)</f>
        <v>105.57485714285714</v>
      </c>
      <c r="AK43" s="14">
        <f t="shared" si="35"/>
        <v>28.285908021320605</v>
      </c>
      <c r="AL43" s="22">
        <f t="shared" si="4"/>
        <v>233.14083266094289</v>
      </c>
      <c r="AM43" s="62">
        <f t="shared" si="5"/>
        <v>526.47416599427618</v>
      </c>
      <c r="AN43" s="62">
        <f ca="1">AVERAGE(OFFSET($AM$3,0,0,'Données projet'!$E$10+1,1))-AVERAGE(OFFSET($H$3,0,0,'Données projet'!$E$10+1,1))</f>
        <v>476.32595424393645</v>
      </c>
      <c r="AO43" s="62">
        <f t="shared" si="36"/>
        <v>36.065940605453875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192</v>
      </c>
      <c r="BB43" s="13">
        <f>VLOOKUP(A43,'Données projet'!$A$87:$I$107,9,0)</f>
        <v>9.4</v>
      </c>
      <c r="BC43" s="13">
        <f t="array" ref="BC43">INDEX(BB:BB,MIN(IF(ISNUMBER(BB43:BB239),ROW(BB43:BB239),"")))</f>
        <v>9.4</v>
      </c>
      <c r="BD43" s="13">
        <f>IF('Données projet'!$A$88&gt;35,BD42+BC43-BL42,IF(A43&lt;'Données projet'!$A$88,$BA$205^A43,IF(A43='Données projet'!$A$88,'Données projet'!$B$88,BD42+BC43-BL42)))</f>
        <v>192.00000000000006</v>
      </c>
      <c r="BE43" s="14">
        <f>BD43*VLOOKUP('Données projet'!$B$11,Paramètres!$A$1:$I$89,3,0)*VLOOKUP('Données projet'!$B$11,Paramètres!$A$1:$I$89,5,0)</f>
        <v>152.75520000000006</v>
      </c>
      <c r="BF43" s="14">
        <f t="shared" si="37"/>
        <v>39.204049895729561</v>
      </c>
      <c r="BG43" s="22">
        <f t="shared" si="7"/>
        <v>334.32902690172904</v>
      </c>
      <c r="BH43" s="62">
        <f t="shared" si="8"/>
        <v>627.66236023506235</v>
      </c>
      <c r="BI43" s="62">
        <f ca="1">AVERAGE(OFFSET($BH$3,0,0,'Données projet'!$E$11+1,1))-AVERAGE(OFFSET($H$3,0,0,'Données projet'!$E$11+1,1))</f>
        <v>225.02590532358471</v>
      </c>
      <c r="BJ43" s="62">
        <f t="shared" si="38"/>
        <v>224.00025638752402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28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2.1413971052573424</v>
      </c>
      <c r="BQ43" s="23">
        <f>EXP(-LN(2)/25)*BQ42+(1-EXP(-LN(2)/25))/(LN(2)/25)*Calculateur!BL43*Calculateur!BN43*VLOOKUP('Données projet'!$B$11,Paramètres!$A$1:$I$89,3,0)*0.475*44/12</f>
        <v>6.8947627950976305</v>
      </c>
      <c r="BR43" s="23">
        <f>EXP(-LN(2)/2)*BR42+(1-EXP(-LN(2)/2))/(LN(2)/2)*BL43*BO43*VLOOKUP('Données projet'!$B$11,Paramètres!$A$1:$I$89,3,0)*0.475*44/12</f>
        <v>0.48213453148815377</v>
      </c>
      <c r="BS43" s="24">
        <f t="shared" si="9"/>
        <v>9.5182944318431257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20.75</v>
      </c>
      <c r="N44" s="14">
        <f>IF('Données projet'!$A$36&gt;35,N43+M44-V43,IF(A44&lt;'Données projet'!$A$36,$K$205^A44,IF(A44='Données projet'!$A$36,'Données projet'!$B$36,N43+M44-V43)))</f>
        <v>452.25000000000023</v>
      </c>
      <c r="O44" s="14">
        <f>N44*VLOOKUP('Données projet'!$B$9,Paramètres!$A$1:$I$89,3,0)*VLOOKUP('Données projet'!$B$9,Paramètres!$A$1:$I$89,5,0)</f>
        <v>252.80775000000011</v>
      </c>
      <c r="P44" s="14">
        <f t="shared" si="33"/>
        <v>61.186786893840043</v>
      </c>
      <c r="Q44" s="22">
        <f t="shared" si="53"/>
        <v>546.87381842343837</v>
      </c>
      <c r="R44" s="62">
        <f t="shared" si="0"/>
        <v>840.20715175677174</v>
      </c>
      <c r="S44" s="62">
        <f ca="1">AVERAGE(OFFSET($R$3,0,0,'Données projet'!$E$9+1,1))-AVERAGE(OFFSET($H$3,0,0,'Données projet'!$E$9+1,1))</f>
        <v>395.89088353191511</v>
      </c>
      <c r="T44" s="62">
        <f t="shared" si="34"/>
        <v>322.63468857063492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16.250742586880545</v>
      </c>
      <c r="AA44" s="23">
        <f>EXP(-LN(2)/25)*AA43+(1-EXP(-LN(2)/25))/(LN(2)/25)*Calculateur!V44*Calculateur!X44*VLOOKUP('Données projet'!$B$9,Paramètres!$A$1:$I$89,3,0)*0.475*44/12</f>
        <v>9.5389197038802571</v>
      </c>
      <c r="AB44" s="23">
        <f>EXP(-LN(2)/2)*AB43+(1-EXP(-LN(2)/2))/(LN(2)/2)*V44*Y44*VLOOKUP('Données projet'!$B$9,Paramètres!$A$1:$I$89,3,0)*0.475*44/12</f>
        <v>7.4417630718813715E-2</v>
      </c>
      <c r="AC44" s="24">
        <f t="shared" si="3"/>
        <v>25.864079921479615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23.142857142857142</v>
      </c>
      <c r="AI44" s="14">
        <f>IF('Données projet'!$A$62&gt;35,AI43+AH44-AQ43,IF(A44&lt;'Données projet'!$A$62,$AF$205^A44,IF(A44='Données projet'!$A$62,'Données projet'!$B$62,AI43+AH44-AQ43)))</f>
        <v>236.85714285714283</v>
      </c>
      <c r="AJ44" s="14">
        <f>AI44*VLOOKUP('Données projet'!$B$10,Paramètres!$A$1:$I$89,3,0)*VLOOKUP('Données projet'!$B$10,Paramètres!$A$1:$I$89,5,0)</f>
        <v>117.00742857142856</v>
      </c>
      <c r="AK44" s="14">
        <f t="shared" si="35"/>
        <v>30.976008595825846</v>
      </c>
      <c r="AL44" s="22">
        <f t="shared" si="4"/>
        <v>257.73781973296803</v>
      </c>
      <c r="AM44" s="62">
        <f t="shared" si="5"/>
        <v>551.07115306630135</v>
      </c>
      <c r="AN44" s="62">
        <f ca="1">AVERAGE(OFFSET($AM$3,0,0,'Données projet'!$E$10+1,1))-AVERAGE(OFFSET($H$3,0,0,'Données projet'!$E$10+1,1))</f>
        <v>476.32595424393645</v>
      </c>
      <c r="AO44" s="62">
        <f t="shared" si="36"/>
        <v>36.065940605453875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8.1999999999999993</v>
      </c>
      <c r="BD44" s="13">
        <f>IF('Données projet'!$A$88&gt;35,BD43+BC44-BL43,IF(A44&lt;'Données projet'!$A$88,$BA$205^A44,IF(A44='Données projet'!$A$88,'Données projet'!$B$88,BD43+BC44-BL43)))</f>
        <v>172.20000000000005</v>
      </c>
      <c r="BE44" s="14">
        <f>BD44*VLOOKUP('Données projet'!$B$11,Paramètres!$A$1:$I$89,3,0)*VLOOKUP('Données projet'!$B$11,Paramètres!$A$1:$I$89,5,0)</f>
        <v>137.00232000000005</v>
      </c>
      <c r="BF44" s="14">
        <f t="shared" si="37"/>
        <v>35.609416420931346</v>
      </c>
      <c r="BG44" s="22">
        <f t="shared" si="7"/>
        <v>300.63210759978887</v>
      </c>
      <c r="BH44" s="62">
        <f t="shared" si="8"/>
        <v>593.96544093312218</v>
      </c>
      <c r="BI44" s="62">
        <f ca="1">AVERAGE(OFFSET($BH$3,0,0,'Données projet'!$E$11+1,1))-AVERAGE(OFFSET($H$3,0,0,'Données projet'!$E$11+1,1))</f>
        <v>225.02590532358471</v>
      </c>
      <c r="BJ44" s="62">
        <f t="shared" si="38"/>
        <v>224.00025638752402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2.0994056141465109</v>
      </c>
      <c r="BQ44" s="23">
        <f>EXP(-LN(2)/25)*BQ43+(1-EXP(-LN(2)/25))/(LN(2)/25)*Calculateur!BL44*Calculateur!BN44*VLOOKUP('Données projet'!$B$11,Paramètres!$A$1:$I$89,3,0)*0.475*44/12</f>
        <v>6.7062251438858684</v>
      </c>
      <c r="BR44" s="23">
        <f>EXP(-LN(2)/2)*BR43+(1-EXP(-LN(2)/2))/(LN(2)/2)*BL44*BO44*VLOOKUP('Données projet'!$B$11,Paramètres!$A$1:$I$89,3,0)*0.475*44/12</f>
        <v>0.34092059665947261</v>
      </c>
      <c r="BS44" s="24">
        <f t="shared" si="9"/>
        <v>9.1465513546918515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20.75</v>
      </c>
      <c r="N45" s="14">
        <f>IF('Données projet'!$A$36&gt;35,N44+M45-V44,IF(A45&lt;'Données projet'!$A$36,$K$205^A45,IF(A45='Données projet'!$A$36,'Données projet'!$B$36,N44+M45-V44)))</f>
        <v>473.00000000000023</v>
      </c>
      <c r="O45" s="14">
        <f>N45*VLOOKUP('Données projet'!$B$9,Paramètres!$A$1:$I$89,3,0)*VLOOKUP('Données projet'!$B$9,Paramètres!$A$1:$I$89,5,0)</f>
        <v>264.40700000000015</v>
      </c>
      <c r="P45" s="14">
        <f t="shared" si="33"/>
        <v>63.660851355620899</v>
      </c>
      <c r="Q45" s="22">
        <f t="shared" si="53"/>
        <v>571.38484111103992</v>
      </c>
      <c r="R45" s="62">
        <f t="shared" si="0"/>
        <v>864.71817444437329</v>
      </c>
      <c r="S45" s="62">
        <f ca="1">AVERAGE(OFFSET($R$3,0,0,'Données projet'!$E$9+1,1))-AVERAGE(OFFSET($H$3,0,0,'Données projet'!$E$9+1,1))</f>
        <v>395.89088353191511</v>
      </c>
      <c r="T45" s="62">
        <f t="shared" si="34"/>
        <v>322.63468857063492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15.93207543672607</v>
      </c>
      <c r="AA45" s="23">
        <f>EXP(-LN(2)/25)*AA44+(1-EXP(-LN(2)/25))/(LN(2)/25)*Calculateur!V45*Calculateur!X45*VLOOKUP('Données projet'!$B$9,Paramètres!$A$1:$I$89,3,0)*0.475*44/12</f>
        <v>9.2780774429476658</v>
      </c>
      <c r="AB45" s="23">
        <f>EXP(-LN(2)/2)*AB44+(1-EXP(-LN(2)/2))/(LN(2)/2)*V45*Y45*VLOOKUP('Données projet'!$B$9,Paramètres!$A$1:$I$89,3,0)*0.475*44/12</f>
        <v>5.2621211321109508E-2</v>
      </c>
      <c r="AC45" s="24">
        <f t="shared" si="3"/>
        <v>25.262774090994846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260</v>
      </c>
      <c r="AG45" s="13">
        <f>VLOOKUP(A45,'Données projet'!$A$61:$I$81,9,0)</f>
        <v>23.142857142857142</v>
      </c>
      <c r="AH45" s="13">
        <f t="array" ref="AH45">INDEX(AG:AG,MIN(IF(ISNUMBER(AG45:AG241),ROW(AG45:AG241),"")))</f>
        <v>23.142857142857142</v>
      </c>
      <c r="AI45" s="14">
        <f>IF('Données projet'!$A$62&gt;35,AI44+AH45-AQ44,IF(A45&lt;'Données projet'!$A$62,$AF$205^A45,IF(A45='Données projet'!$A$62,'Données projet'!$B$62,AI44+AH45-AQ44)))</f>
        <v>260</v>
      </c>
      <c r="AJ45" s="14">
        <f>AI45*VLOOKUP('Données projet'!$B$10,Paramètres!$A$1:$I$89,3,0)*VLOOKUP('Données projet'!$B$10,Paramètres!$A$1:$I$89,5,0)</f>
        <v>128.44</v>
      </c>
      <c r="AK45" s="14">
        <f t="shared" si="35"/>
        <v>33.635636251273993</v>
      </c>
      <c r="AL45" s="22">
        <f t="shared" si="4"/>
        <v>282.28173313763551</v>
      </c>
      <c r="AM45" s="62">
        <f t="shared" si="5"/>
        <v>575.61506647096883</v>
      </c>
      <c r="AN45" s="62">
        <f ca="1">AVERAGE(OFFSET($AM$3,0,0,'Données projet'!$E$10+1,1))-AVERAGE(OFFSET($H$3,0,0,'Données projet'!$E$10+1,1))</f>
        <v>476.32595424393645</v>
      </c>
      <c r="AO45" s="62">
        <f t="shared" si="36"/>
        <v>36.065940605453875</v>
      </c>
      <c r="AP45" s="16">
        <f>IF(ISNA(VLOOKUP(A45,'Données projet'!$A$61:$I$81,3,0)),0,VLOOKUP(A45,'Données projet'!$A$61:$I$81,3,0))</f>
        <v>2</v>
      </c>
      <c r="AQ45" s="16">
        <f>IF(ISNA(VLOOKUP(A45,'Données projet'!$A$61:$I$81,4,0)),0,VLOOKUP(A45,'Données projet'!$A$61:$I$81,4,0))</f>
        <v>50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8.1999999999999993</v>
      </c>
      <c r="BD45" s="13">
        <f>IF('Données projet'!$A$88&gt;35,BD44+BC45-BL44,IF(A45&lt;'Données projet'!$A$88,$BA$205^A45,IF(A45='Données projet'!$A$88,'Données projet'!$B$88,BD44+BC45-BL44)))</f>
        <v>180.40000000000003</v>
      </c>
      <c r="BE45" s="14">
        <f>BD45*VLOOKUP('Données projet'!$B$11,Paramètres!$A$1:$I$89,3,0)*VLOOKUP('Données projet'!$B$11,Paramètres!$A$1:$I$89,5,0)</f>
        <v>143.52624000000003</v>
      </c>
      <c r="BF45" s="14">
        <f t="shared" si="37"/>
        <v>37.103644337236275</v>
      </c>
      <c r="BG45" s="22">
        <f t="shared" si="7"/>
        <v>314.59704855401986</v>
      </c>
      <c r="BH45" s="62">
        <f t="shared" si="8"/>
        <v>607.93038188735318</v>
      </c>
      <c r="BI45" s="62">
        <f ca="1">AVERAGE(OFFSET($BH$3,0,0,'Données projet'!$E$11+1,1))-AVERAGE(OFFSET($H$3,0,0,'Données projet'!$E$11+1,1))</f>
        <v>225.02590532358471</v>
      </c>
      <c r="BJ45" s="62">
        <f t="shared" si="38"/>
        <v>224.00025638752402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2.0582375505640824</v>
      </c>
      <c r="BQ45" s="23">
        <f>EXP(-LN(2)/25)*BQ44+(1-EXP(-LN(2)/25))/(LN(2)/25)*Calculateur!BL45*Calculateur!BN45*VLOOKUP('Données projet'!$B$11,Paramètres!$A$1:$I$89,3,0)*0.475*44/12</f>
        <v>6.5228430646612567</v>
      </c>
      <c r="BR45" s="23">
        <f>EXP(-LN(2)/2)*BR44+(1-EXP(-LN(2)/2))/(LN(2)/2)*BL45*BO45*VLOOKUP('Données projet'!$B$11,Paramètres!$A$1:$I$89,3,0)*0.475*44/12</f>
        <v>0.24106726574407694</v>
      </c>
      <c r="BS45" s="24">
        <f t="shared" si="9"/>
        <v>8.8221478809694158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20.75</v>
      </c>
      <c r="N46" s="14">
        <f>IF('Données projet'!$A$36&gt;35,N45+M46-V45,IF(A46&lt;'Données projet'!$A$36,$K$205^A46,IF(A46='Données projet'!$A$36,'Données projet'!$B$36,N45+M46-V45)))</f>
        <v>493.75000000000023</v>
      </c>
      <c r="O46" s="14">
        <f>N46*VLOOKUP('Données projet'!$B$9,Paramètres!$A$1:$I$89,3,0)*VLOOKUP('Données projet'!$B$9,Paramètres!$A$1:$I$89,5,0)</f>
        <v>276.00625000000014</v>
      </c>
      <c r="P46" s="14">
        <f t="shared" si="33"/>
        <v>66.122310327795361</v>
      </c>
      <c r="Q46" s="22">
        <f t="shared" si="53"/>
        <v>595.87390923757721</v>
      </c>
      <c r="R46" s="62">
        <f t="shared" si="0"/>
        <v>889.20724257091047</v>
      </c>
      <c r="S46" s="62">
        <f ca="1">AVERAGE(OFFSET($R$3,0,0,'Données projet'!$E$9+1,1))-AVERAGE(OFFSET($H$3,0,0,'Données projet'!$E$9+1,1))</f>
        <v>395.89088353191511</v>
      </c>
      <c r="T46" s="62">
        <f t="shared" si="34"/>
        <v>322.63468857063492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15.619657155018354</v>
      </c>
      <c r="AA46" s="23">
        <f>EXP(-LN(2)/25)*AA45+(1-EXP(-LN(2)/25))/(LN(2)/25)*Calculateur!V46*Calculateur!X46*VLOOKUP('Données projet'!$B$9,Paramètres!$A$1:$I$89,3,0)*0.475*44/12</f>
        <v>9.0243679273573747</v>
      </c>
      <c r="AB46" s="23">
        <f>EXP(-LN(2)/2)*AB45+(1-EXP(-LN(2)/2))/(LN(2)/2)*V46*Y46*VLOOKUP('Données projet'!$B$9,Paramètres!$A$1:$I$89,3,0)*0.475*44/12</f>
        <v>3.7208815359406858E-2</v>
      </c>
      <c r="AC46" s="24">
        <f t="shared" si="3"/>
        <v>24.681233897735133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29.285714285714285</v>
      </c>
      <c r="AI46" s="14">
        <f>IF('Données projet'!$A$62&gt;35,AI45+AH46-AQ45,IF(A46&lt;'Données projet'!$A$62,$AF$205^A46,IF(A46='Données projet'!$A$62,'Données projet'!$B$62,AI45+AH46-AQ45)))</f>
        <v>239.28571428571428</v>
      </c>
      <c r="AJ46" s="14">
        <f>AI46*VLOOKUP('Données projet'!$B$10,Paramètres!$A$1:$I$89,3,0)*VLOOKUP('Données projet'!$B$10,Paramètres!$A$1:$I$89,5,0)</f>
        <v>118.20714285714287</v>
      </c>
      <c r="AK46" s="14">
        <f t="shared" si="35"/>
        <v>31.256479169654749</v>
      </c>
      <c r="AL46" s="22">
        <f t="shared" si="4"/>
        <v>260.31580836333916</v>
      </c>
      <c r="AM46" s="62">
        <f t="shared" si="5"/>
        <v>553.64914169667247</v>
      </c>
      <c r="AN46" s="62">
        <f ca="1">AVERAGE(OFFSET($AM$3,0,0,'Données projet'!$E$10+1,1))-AVERAGE(OFFSET($H$3,0,0,'Données projet'!$E$10+1,1))</f>
        <v>476.32595424393645</v>
      </c>
      <c r="AO46" s="62">
        <f t="shared" si="36"/>
        <v>36.065940605453875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8.1999999999999993</v>
      </c>
      <c r="BD46" s="13">
        <f>IF('Données projet'!$A$88&gt;35,BD45+BC46-BL45,IF(A46&lt;'Données projet'!$A$88,$BA$205^A46,IF(A46='Données projet'!$A$88,'Données projet'!$B$88,BD45+BC46-BL45)))</f>
        <v>188.60000000000002</v>
      </c>
      <c r="BE46" s="14">
        <f>BD46*VLOOKUP('Données projet'!$B$11,Paramètres!$A$1:$I$89,3,0)*VLOOKUP('Données projet'!$B$11,Paramètres!$A$1:$I$89,5,0)</f>
        <v>150.05016000000001</v>
      </c>
      <c r="BF46" s="14">
        <f t="shared" si="37"/>
        <v>38.589984439024605</v>
      </c>
      <c r="BG46" s="22">
        <f t="shared" si="7"/>
        <v>328.54825156463448</v>
      </c>
      <c r="BH46" s="62">
        <f t="shared" si="8"/>
        <v>621.88158489796774</v>
      </c>
      <c r="BI46" s="62">
        <f ca="1">AVERAGE(OFFSET($BH$3,0,0,'Données projet'!$E$11+1,1))-AVERAGE(OFFSET($H$3,0,0,'Données projet'!$E$11+1,1))</f>
        <v>225.02590532358471</v>
      </c>
      <c r="BJ46" s="62">
        <f t="shared" si="38"/>
        <v>224.00025638752402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2.0178767675984659</v>
      </c>
      <c r="BQ46" s="23">
        <f>EXP(-LN(2)/25)*BQ45+(1-EXP(-LN(2)/25))/(LN(2)/25)*Calculateur!BL46*Calculateur!BN46*VLOOKUP('Données projet'!$B$11,Paramètres!$A$1:$I$89,3,0)*0.475*44/12</f>
        <v>6.3444755780366862</v>
      </c>
      <c r="BR46" s="23">
        <f>EXP(-LN(2)/2)*BR45+(1-EXP(-LN(2)/2))/(LN(2)/2)*BL46*BO46*VLOOKUP('Données projet'!$B$11,Paramètres!$A$1:$I$89,3,0)*0.475*44/12</f>
        <v>0.17046029832973633</v>
      </c>
      <c r="BS46" s="24">
        <f t="shared" si="9"/>
        <v>8.5328126439648884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20.75</v>
      </c>
      <c r="N47" s="14">
        <f>IF('Données projet'!$A$36&gt;35,N46+M47-V46,IF(A47&lt;'Données projet'!$A$36,$K$205^A47,IF(A47='Données projet'!$A$36,'Données projet'!$B$36,N46+M47-V46)))</f>
        <v>514.50000000000023</v>
      </c>
      <c r="O47" s="14">
        <f>N47*VLOOKUP('Données projet'!$B$9,Paramètres!$A$1:$I$89,3,0)*VLOOKUP('Données projet'!$B$9,Paramètres!$A$1:$I$89,5,0)</f>
        <v>287.60550000000012</v>
      </c>
      <c r="P47" s="14">
        <f t="shared" si="33"/>
        <v>68.571754133216572</v>
      </c>
      <c r="Q47" s="22">
        <f t="shared" si="53"/>
        <v>620.34205094868571</v>
      </c>
      <c r="R47" s="62">
        <f t="shared" si="0"/>
        <v>913.67538428201897</v>
      </c>
      <c r="S47" s="62">
        <f ca="1">AVERAGE(OFFSET($R$3,0,0,'Données projet'!$E$9+1,1))-AVERAGE(OFFSET($H$3,0,0,'Données projet'!$E$9+1,1))</f>
        <v>395.89088353191511</v>
      </c>
      <c r="T47" s="62">
        <f t="shared" si="34"/>
        <v>322.63468857063492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15.31336520525859</v>
      </c>
      <c r="AA47" s="23">
        <f>EXP(-LN(2)/25)*AA46+(1-EXP(-LN(2)/25))/(LN(2)/25)*Calculateur!V47*Calculateur!X47*VLOOKUP('Données projet'!$B$9,Paramètres!$A$1:$I$89,3,0)*0.475*44/12</f>
        <v>8.7775961118129029</v>
      </c>
      <c r="AB47" s="23">
        <f>EXP(-LN(2)/2)*AB46+(1-EXP(-LN(2)/2))/(LN(2)/2)*V47*Y47*VLOOKUP('Données projet'!$B$9,Paramètres!$A$1:$I$89,3,0)*0.475*44/12</f>
        <v>2.6310605660554754E-2</v>
      </c>
      <c r="AC47" s="24">
        <f t="shared" si="3"/>
        <v>24.117271922732048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29.285714285714285</v>
      </c>
      <c r="AI47" s="14">
        <f>IF('Données projet'!$A$62&gt;35,AI46+AH47-AQ46,IF(A47&lt;'Données projet'!$A$62,$AF$205^A47,IF(A47='Données projet'!$A$62,'Données projet'!$B$62,AI46+AH47-AQ46)))</f>
        <v>268.57142857142856</v>
      </c>
      <c r="AJ47" s="14">
        <f>AI47*VLOOKUP('Données projet'!$B$10,Paramètres!$A$1:$I$89,3,0)*VLOOKUP('Données projet'!$B$10,Paramètres!$A$1:$I$89,5,0)</f>
        <v>132.6742857142857</v>
      </c>
      <c r="AK47" s="14">
        <f t="shared" si="35"/>
        <v>34.613574001084046</v>
      </c>
      <c r="AL47" s="22">
        <f t="shared" si="4"/>
        <v>291.35968900426894</v>
      </c>
      <c r="AM47" s="62">
        <f t="shared" si="5"/>
        <v>584.69302233760232</v>
      </c>
      <c r="AN47" s="62">
        <f ca="1">AVERAGE(OFFSET($AM$3,0,0,'Données projet'!$E$10+1,1))-AVERAGE(OFFSET($H$3,0,0,'Données projet'!$E$10+1,1))</f>
        <v>476.32595424393645</v>
      </c>
      <c r="AO47" s="62">
        <f t="shared" si="36"/>
        <v>36.065940605453875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8.1999999999999993</v>
      </c>
      <c r="BD47" s="13">
        <f>IF('Données projet'!$A$88&gt;35,BD46+BC47-BL46,IF(A47&lt;'Données projet'!$A$88,$BA$205^A47,IF(A47='Données projet'!$A$88,'Données projet'!$B$88,BD46+BC47-BL46)))</f>
        <v>196.8</v>
      </c>
      <c r="BE47" s="14">
        <f>BD47*VLOOKUP('Données projet'!$B$11,Paramètres!$A$1:$I$89,3,0)*VLOOKUP('Données projet'!$B$11,Paramètres!$A$1:$I$89,5,0)</f>
        <v>156.57408000000001</v>
      </c>
      <c r="BF47" s="14">
        <f t="shared" si="37"/>
        <v>40.068818872547467</v>
      </c>
      <c r="BG47" s="22">
        <f t="shared" si="7"/>
        <v>342.48638220302018</v>
      </c>
      <c r="BH47" s="62">
        <f t="shared" si="8"/>
        <v>635.81971553635344</v>
      </c>
      <c r="BI47" s="62">
        <f ca="1">AVERAGE(OFFSET($BH$3,0,0,'Données projet'!$E$11+1,1))-AVERAGE(OFFSET($H$3,0,0,'Données projet'!$E$11+1,1))</f>
        <v>225.02590532358471</v>
      </c>
      <c r="BJ47" s="62">
        <f t="shared" si="38"/>
        <v>224.00025638752402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1.9783074349691585</v>
      </c>
      <c r="BQ47" s="23">
        <f>EXP(-LN(2)/25)*BQ46+(1-EXP(-LN(2)/25))/(LN(2)/25)*Calculateur!BL47*Calculateur!BN47*VLOOKUP('Données projet'!$B$11,Paramètres!$A$1:$I$89,3,0)*0.475*44/12</f>
        <v>6.1709855597138032</v>
      </c>
      <c r="BR47" s="23">
        <f>EXP(-LN(2)/2)*BR46+(1-EXP(-LN(2)/2))/(LN(2)/2)*BL47*BO47*VLOOKUP('Données projet'!$B$11,Paramètres!$A$1:$I$89,3,0)*0.475*44/12</f>
        <v>0.12053363287203848</v>
      </c>
      <c r="BS47" s="24">
        <f t="shared" si="9"/>
        <v>8.2698266275550019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20.75</v>
      </c>
      <c r="N48" s="14">
        <f>IF('Données projet'!$A$36&gt;35,N47+M48-V47,IF(A48&lt;'Données projet'!$A$36,$K$205^A48,IF(A48='Données projet'!$A$36,'Données projet'!$B$36,N47+M48-V47)))</f>
        <v>535.25000000000023</v>
      </c>
      <c r="O48" s="14">
        <f>N48*VLOOKUP('Données projet'!$B$9,Paramètres!$A$1:$I$89,3,0)*VLOOKUP('Données projet'!$B$9,Paramètres!$A$1:$I$89,5,0)</f>
        <v>299.2047500000001</v>
      </c>
      <c r="P48" s="14">
        <f t="shared" si="33"/>
        <v>71.009722783859033</v>
      </c>
      <c r="Q48" s="22">
        <f t="shared" si="53"/>
        <v>644.79020676522134</v>
      </c>
      <c r="R48" s="62">
        <f t="shared" si="0"/>
        <v>938.12354009855471</v>
      </c>
      <c r="S48" s="62">
        <f ca="1">AVERAGE(OFFSET($R$3,0,0,'Données projet'!$E$9+1,1))-AVERAGE(OFFSET($H$3,0,0,'Données projet'!$E$9+1,1))</f>
        <v>395.89088353191511</v>
      </c>
      <c r="T48" s="62">
        <f t="shared" si="34"/>
        <v>322.63468857063492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15.013079453813972</v>
      </c>
      <c r="AA48" s="23">
        <f>EXP(-LN(2)/25)*AA47+(1-EXP(-LN(2)/25))/(LN(2)/25)*Calculateur!V48*Calculateur!X48*VLOOKUP('Données projet'!$B$9,Paramètres!$A$1:$I$89,3,0)*0.475*44/12</f>
        <v>8.5375722845416604</v>
      </c>
      <c r="AB48" s="23">
        <f>EXP(-LN(2)/2)*AB47+(1-EXP(-LN(2)/2))/(LN(2)/2)*V48*Y48*VLOOKUP('Données projet'!$B$9,Paramètres!$A$1:$I$89,3,0)*0.475*44/12</f>
        <v>1.8604407679703429E-2</v>
      </c>
      <c r="AC48" s="24">
        <f t="shared" si="3"/>
        <v>23.569256146035336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29.285714285714285</v>
      </c>
      <c r="AI48" s="14">
        <f>IF('Données projet'!$A$62&gt;35,AI47+AH48-AQ47,IF(A48&lt;'Données projet'!$A$62,$AF$205^A48,IF(A48='Données projet'!$A$62,'Données projet'!$B$62,AI47+AH48-AQ47)))</f>
        <v>297.85714285714283</v>
      </c>
      <c r="AJ48" s="14">
        <f>AI48*VLOOKUP('Données projet'!$B$10,Paramètres!$A$1:$I$89,3,0)*VLOOKUP('Données projet'!$B$10,Paramètres!$A$1:$I$89,5,0)</f>
        <v>147.14142857142858</v>
      </c>
      <c r="AK48" s="14">
        <f t="shared" si="35"/>
        <v>37.928239333327852</v>
      </c>
      <c r="AL48" s="22">
        <f t="shared" si="4"/>
        <v>322.32967160078414</v>
      </c>
      <c r="AM48" s="62">
        <f t="shared" si="5"/>
        <v>615.66300493411745</v>
      </c>
      <c r="AN48" s="62">
        <f ca="1">AVERAGE(OFFSET($AM$3,0,0,'Données projet'!$E$10+1,1))-AVERAGE(OFFSET($H$3,0,0,'Données projet'!$E$10+1,1))</f>
        <v>476.32595424393645</v>
      </c>
      <c r="AO48" s="62">
        <f t="shared" si="36"/>
        <v>36.065940605453875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205</v>
      </c>
      <c r="BB48" s="13">
        <f>VLOOKUP(A48,'Données projet'!$A$87:$I$107,9,0)</f>
        <v>8.1999999999999993</v>
      </c>
      <c r="BC48" s="13">
        <f t="array" ref="BC48">INDEX(BB:BB,MIN(IF(ISNUMBER(BB48:BB244),ROW(BB48:BB244),"")))</f>
        <v>8.1999999999999993</v>
      </c>
      <c r="BD48" s="13">
        <f>IF('Données projet'!$A$88&gt;35,BD47+BC48-BL47,IF(A48&lt;'Données projet'!$A$88,$BA$205^A48,IF(A48='Données projet'!$A$88,'Données projet'!$B$88,BD47+BC48-BL47)))</f>
        <v>205</v>
      </c>
      <c r="BE48" s="14">
        <f>BD48*VLOOKUP('Données projet'!$B$11,Paramètres!$A$1:$I$89,3,0)*VLOOKUP('Données projet'!$B$11,Paramètres!$A$1:$I$89,5,0)</f>
        <v>163.09800000000001</v>
      </c>
      <c r="BF48" s="14">
        <f t="shared" si="37"/>
        <v>41.540496136845142</v>
      </c>
      <c r="BG48" s="22">
        <f t="shared" si="7"/>
        <v>356.41204743833867</v>
      </c>
      <c r="BH48" s="62">
        <f t="shared" si="8"/>
        <v>649.74538077167199</v>
      </c>
      <c r="BI48" s="62">
        <f ca="1">AVERAGE(OFFSET($BH$3,0,0,'Données projet'!$E$11+1,1))-AVERAGE(OFFSET($H$3,0,0,'Données projet'!$E$11+1,1))</f>
        <v>225.02590532358471</v>
      </c>
      <c r="BJ48" s="62">
        <f t="shared" si="38"/>
        <v>224.00025638752402</v>
      </c>
      <c r="BK48" s="16">
        <f>IF(ISNA(VLOOKUP(A48,'Données projet'!$A$87:$I$107,3,0)),0,VLOOKUP(A48,'Données projet'!$A$87:$I$107,3,0))</f>
        <v>7</v>
      </c>
      <c r="BL48" s="16">
        <f>IF(ISNA(VLOOKUP(A48,'Données projet'!$A$87:$I$107,4,0)),0,VLOOKUP(A48,'Données projet'!$A$87:$I$107,4,0))</f>
        <v>22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1.939514032817802</v>
      </c>
      <c r="BQ48" s="23">
        <f>EXP(-LN(2)/25)*BQ47+(1-EXP(-LN(2)/25))/(LN(2)/25)*Calculateur!BL48*Calculateur!BN48*VLOOKUP('Données projet'!$B$11,Paramètres!$A$1:$I$89,3,0)*0.475*44/12</f>
        <v>6.0022396350654024</v>
      </c>
      <c r="BR48" s="23">
        <f>EXP(-LN(2)/2)*BR47+(1-EXP(-LN(2)/2))/(LN(2)/2)*BL48*BO48*VLOOKUP('Données projet'!$B$11,Paramètres!$A$1:$I$89,3,0)*0.475*44/12</f>
        <v>8.523014916486818E-2</v>
      </c>
      <c r="BS48" s="24">
        <f t="shared" si="9"/>
        <v>8.0269838170480732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20.75</v>
      </c>
      <c r="N49" s="14">
        <f>IF('Données projet'!$A$36&gt;35,N48+M49-V48,IF(A49&lt;'Données projet'!$A$36,$K$205^A49,IF(A49='Données projet'!$A$36,'Données projet'!$B$36,N48+M49-V48)))</f>
        <v>556.00000000000023</v>
      </c>
      <c r="O49" s="14">
        <f>N49*VLOOKUP('Données projet'!$B$9,Paramètres!$A$1:$I$89,3,0)*VLOOKUP('Données projet'!$B$9,Paramètres!$A$1:$I$89,5,0)</f>
        <v>310.80400000000014</v>
      </c>
      <c r="P49" s="14">
        <f t="shared" si="33"/>
        <v>73.436712051618755</v>
      </c>
      <c r="Q49" s="22">
        <f t="shared" si="53"/>
        <v>669.21924015656953</v>
      </c>
      <c r="R49" s="62">
        <f t="shared" si="0"/>
        <v>962.5525734899029</v>
      </c>
      <c r="S49" s="62">
        <f ca="1">AVERAGE(OFFSET($R$3,0,0,'Données projet'!$E$9+1,1))-AVERAGE(OFFSET($H$3,0,0,'Données projet'!$E$9+1,1))</f>
        <v>395.89088353191511</v>
      </c>
      <c r="T49" s="62">
        <f t="shared" si="34"/>
        <v>322.63468857063492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14.718682122798961</v>
      </c>
      <c r="AA49" s="23">
        <f>EXP(-LN(2)/25)*AA48+(1-EXP(-LN(2)/25))/(LN(2)/25)*Calculateur!V49*Calculateur!X49*VLOOKUP('Données projet'!$B$9,Paramètres!$A$1:$I$89,3,0)*0.475*44/12</f>
        <v>8.3041119214494543</v>
      </c>
      <c r="AB49" s="23">
        <f>EXP(-LN(2)/2)*AB48+(1-EXP(-LN(2)/2))/(LN(2)/2)*V49*Y49*VLOOKUP('Données projet'!$B$9,Paramètres!$A$1:$I$89,3,0)*0.475*44/12</f>
        <v>1.3155302830277377E-2</v>
      </c>
      <c r="AC49" s="24">
        <f t="shared" si="3"/>
        <v>23.035949347078692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29.285714285714285</v>
      </c>
      <c r="AI49" s="14">
        <f>IF('Données projet'!$A$62&gt;35,AI48+AH49-AQ48,IF(A49&lt;'Données projet'!$A$62,$AF$205^A49,IF(A49='Données projet'!$A$62,'Données projet'!$B$62,AI48+AH49-AQ48)))</f>
        <v>327.14285714285711</v>
      </c>
      <c r="AJ49" s="14">
        <f>AI49*VLOOKUP('Données projet'!$B$10,Paramètres!$A$1:$I$89,3,0)*VLOOKUP('Données projet'!$B$10,Paramètres!$A$1:$I$89,5,0)</f>
        <v>161.60857142857142</v>
      </c>
      <c r="AK49" s="14">
        <f t="shared" si="35"/>
        <v>41.205121681349695</v>
      </c>
      <c r="AL49" s="22">
        <f t="shared" si="4"/>
        <v>353.23384883311263</v>
      </c>
      <c r="AM49" s="62">
        <f t="shared" si="5"/>
        <v>646.56718216644595</v>
      </c>
      <c r="AN49" s="62">
        <f ca="1">AVERAGE(OFFSET($AM$3,0,0,'Données projet'!$E$10+1,1))-AVERAGE(OFFSET($H$3,0,0,'Données projet'!$E$10+1,1))</f>
        <v>476.32595424393645</v>
      </c>
      <c r="AO49" s="62">
        <f t="shared" si="36"/>
        <v>36.065940605453875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</v>
      </c>
      <c r="BD49" s="13">
        <f>IF('Données projet'!$A$88&gt;35,BD48+BC49-BL48,IF(A49&lt;'Données projet'!$A$88,$BA$205^A49,IF(A49='Données projet'!$A$88,'Données projet'!$B$88,BD48+BC49-BL48)))</f>
        <v>190</v>
      </c>
      <c r="BE49" s="14">
        <f>BD49*VLOOKUP('Données projet'!$B$11,Paramètres!$A$1:$I$89,3,0)*VLOOKUP('Données projet'!$B$11,Paramètres!$A$1:$I$89,5,0)</f>
        <v>151.16400000000002</v>
      </c>
      <c r="BF49" s="14">
        <f t="shared" si="37"/>
        <v>38.84298967415998</v>
      </c>
      <c r="BG49" s="22">
        <f t="shared" si="7"/>
        <v>330.92884034916193</v>
      </c>
      <c r="BH49" s="62">
        <f t="shared" si="8"/>
        <v>624.26217368249524</v>
      </c>
      <c r="BI49" s="62">
        <f ca="1">AVERAGE(OFFSET($BH$3,0,0,'Données projet'!$E$11+1,1))-AVERAGE(OFFSET($H$3,0,0,'Données projet'!$E$11+1,1))</f>
        <v>225.02590532358471</v>
      </c>
      <c r="BJ49" s="62">
        <f t="shared" si="38"/>
        <v>224.00025638752402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1.9014813456209947</v>
      </c>
      <c r="BQ49" s="23">
        <f>EXP(-LN(2)/25)*BQ48+(1-EXP(-LN(2)/25))/(LN(2)/25)*Calculateur!BL49*Calculateur!BN49*VLOOKUP('Données projet'!$B$11,Paramètres!$A$1:$I$89,3,0)*0.475*44/12</f>
        <v>5.8381080766004745</v>
      </c>
      <c r="BR49" s="23">
        <f>EXP(-LN(2)/2)*BR48+(1-EXP(-LN(2)/2))/(LN(2)/2)*BL49*BO49*VLOOKUP('Données projet'!$B$11,Paramètres!$A$1:$I$89,3,0)*0.475*44/12</f>
        <v>6.0266816436019256E-2</v>
      </c>
      <c r="BS49" s="24">
        <f t="shared" si="9"/>
        <v>7.7998562386574886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20.75</v>
      </c>
      <c r="N50" s="14">
        <f>IF('Données projet'!$A$36&gt;35,N49+M50-V49,IF(A50&lt;'Données projet'!$A$36,$K$205^A50,IF(A50='Données projet'!$A$36,'Données projet'!$B$36,N49+M50-V49)))</f>
        <v>576.75000000000023</v>
      </c>
      <c r="O50" s="14">
        <f>N50*VLOOKUP('Données projet'!$B$9,Paramètres!$A$1:$I$89,3,0)*VLOOKUP('Données projet'!$B$9,Paramètres!$A$1:$I$89,5,0)</f>
        <v>322.40325000000013</v>
      </c>
      <c r="P50" s="14">
        <f t="shared" si="33"/>
        <v>75.853178607382929</v>
      </c>
      <c r="Q50" s="22">
        <f t="shared" si="53"/>
        <v>693.62994649119219</v>
      </c>
      <c r="R50" s="62">
        <f t="shared" si="0"/>
        <v>986.96327982452544</v>
      </c>
      <c r="S50" s="62">
        <f ca="1">AVERAGE(OFFSET($R$3,0,0,'Données projet'!$E$9+1,1))-AVERAGE(OFFSET($H$3,0,0,'Données projet'!$E$9+1,1))</f>
        <v>395.89088353191511</v>
      </c>
      <c r="T50" s="62">
        <f t="shared" si="34"/>
        <v>322.63468857063492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14.430057743880512</v>
      </c>
      <c r="AA50" s="23">
        <f>EXP(-LN(2)/25)*AA49+(1-EXP(-LN(2)/25))/(LN(2)/25)*Calculateur!V50*Calculateur!X50*VLOOKUP('Données projet'!$B$9,Paramètres!$A$1:$I$89,3,0)*0.475*44/12</f>
        <v>8.0770355442631523</v>
      </c>
      <c r="AB50" s="23">
        <f>EXP(-LN(2)/2)*AB49+(1-EXP(-LN(2)/2))/(LN(2)/2)*V50*Y50*VLOOKUP('Données projet'!$B$9,Paramètres!$A$1:$I$89,3,0)*0.475*44/12</f>
        <v>9.3022038398517144E-3</v>
      </c>
      <c r="AC50" s="24">
        <f t="shared" si="3"/>
        <v>22.516395491983516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29.285714285714285</v>
      </c>
      <c r="AI50" s="14">
        <f>IF('Données projet'!$A$62&gt;35,AI49+AH50-AQ49,IF(A50&lt;'Données projet'!$A$62,$AF$205^A50,IF(A50='Données projet'!$A$62,'Données projet'!$B$62,AI49+AH50-AQ49)))</f>
        <v>356.42857142857139</v>
      </c>
      <c r="AJ50" s="14">
        <f>AI50*VLOOKUP('Données projet'!$B$10,Paramètres!$A$1:$I$89,3,0)*VLOOKUP('Données projet'!$B$10,Paramètres!$A$1:$I$89,5,0)</f>
        <v>176.07571428571427</v>
      </c>
      <c r="AK50" s="14">
        <f t="shared" si="35"/>
        <v>44.44798799167377</v>
      </c>
      <c r="AL50" s="22">
        <f t="shared" si="4"/>
        <v>384.07878146645083</v>
      </c>
      <c r="AM50" s="62">
        <f t="shared" si="5"/>
        <v>677.41211479978415</v>
      </c>
      <c r="AN50" s="62">
        <f ca="1">AVERAGE(OFFSET($AM$3,0,0,'Données projet'!$E$10+1,1))-AVERAGE(OFFSET($H$3,0,0,'Données projet'!$E$10+1,1))</f>
        <v>476.32595424393645</v>
      </c>
      <c r="AO50" s="62">
        <f t="shared" si="36"/>
        <v>36.065940605453875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</v>
      </c>
      <c r="BD50" s="13">
        <f>IF('Données projet'!$A$88&gt;35,BD49+BC50-BL49,IF(A50&lt;'Données projet'!$A$88,$BA$205^A50,IF(A50='Données projet'!$A$88,'Données projet'!$B$88,BD49+BC50-BL49)))</f>
        <v>197</v>
      </c>
      <c r="BE50" s="14">
        <f>BD50*VLOOKUP('Données projet'!$B$11,Paramètres!$A$1:$I$89,3,0)*VLOOKUP('Données projet'!$B$11,Paramètres!$A$1:$I$89,5,0)</f>
        <v>156.73320000000001</v>
      </c>
      <c r="BF50" s="14">
        <f t="shared" si="37"/>
        <v>40.104797241533682</v>
      </c>
      <c r="BG50" s="22">
        <f t="shared" si="7"/>
        <v>342.82617852900444</v>
      </c>
      <c r="BH50" s="62">
        <f t="shared" si="8"/>
        <v>636.15951186233769</v>
      </c>
      <c r="BI50" s="62">
        <f ca="1">AVERAGE(OFFSET($BH$3,0,0,'Données projet'!$E$11+1,1))-AVERAGE(OFFSET($H$3,0,0,'Données projet'!$E$11+1,1))</f>
        <v>225.02590532358471</v>
      </c>
      <c r="BJ50" s="62">
        <f t="shared" si="38"/>
        <v>224.00025638752402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1.8641944562224682</v>
      </c>
      <c r="BQ50" s="23">
        <f>EXP(-LN(2)/25)*BQ49+(1-EXP(-LN(2)/25))/(LN(2)/25)*Calculateur!BL50*Calculateur!BN50*VLOOKUP('Données projet'!$B$11,Paramètres!$A$1:$I$89,3,0)*0.475*44/12</f>
        <v>5.6784647042330736</v>
      </c>
      <c r="BR50" s="23">
        <f>EXP(-LN(2)/2)*BR49+(1-EXP(-LN(2)/2))/(LN(2)/2)*BL50*BO50*VLOOKUP('Données projet'!$B$11,Paramètres!$A$1:$I$89,3,0)*0.475*44/12</f>
        <v>4.2615074582434097E-2</v>
      </c>
      <c r="BS50" s="24">
        <f t="shared" si="9"/>
        <v>7.5852742350379758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20.75</v>
      </c>
      <c r="N51" s="14">
        <f>IF('Données projet'!$A$36&gt;35,N50+M51-V50,IF(A51&lt;'Données projet'!$A$36,$K$205^A51,IF(A51='Données projet'!$A$36,'Données projet'!$B$36,N50+M51-V50)))</f>
        <v>597.50000000000023</v>
      </c>
      <c r="O51" s="14">
        <f>N51*VLOOKUP('Données projet'!$B$9,Paramètres!$A$1:$I$89,3,0)*VLOOKUP('Données projet'!$B$9,Paramètres!$A$1:$I$89,5,0)</f>
        <v>334.00250000000011</v>
      </c>
      <c r="P51" s="14">
        <f t="shared" si="33"/>
        <v>78.259544399752343</v>
      </c>
      <c r="Q51" s="22">
        <f t="shared" si="53"/>
        <v>718.02306066290214</v>
      </c>
      <c r="R51" s="62">
        <f t="shared" si="0"/>
        <v>1011.3563939962355</v>
      </c>
      <c r="S51" s="62">
        <f ca="1">AVERAGE(OFFSET($R$3,0,0,'Données projet'!$E$9+1,1))-AVERAGE(OFFSET($H$3,0,0,'Données projet'!$E$9+1,1))</f>
        <v>395.89088353191511</v>
      </c>
      <c r="T51" s="62">
        <f t="shared" si="34"/>
        <v>322.63468857063492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14.147093112989166</v>
      </c>
      <c r="AA51" s="23">
        <f>EXP(-LN(2)/25)*AA50+(1-EXP(-LN(2)/25))/(LN(2)/25)*Calculateur!V51*Calculateur!X51*VLOOKUP('Données projet'!$B$9,Paramètres!$A$1:$I$89,3,0)*0.475*44/12</f>
        <v>7.8561685825524377</v>
      </c>
      <c r="AB51" s="23">
        <f>EXP(-LN(2)/2)*AB50+(1-EXP(-LN(2)/2))/(LN(2)/2)*V51*Y51*VLOOKUP('Données projet'!$B$9,Paramètres!$A$1:$I$89,3,0)*0.475*44/12</f>
        <v>6.5776514151386885E-3</v>
      </c>
      <c r="AC51" s="24">
        <f t="shared" si="3"/>
        <v>22.009839346956742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29.285714285714285</v>
      </c>
      <c r="AI51" s="14">
        <f>IF('Données projet'!$A$62&gt;35,AI50+AH51-AQ50,IF(A51&lt;'Données projet'!$A$62,$AF$205^A51,IF(A51='Données projet'!$A$62,'Données projet'!$B$62,AI50+AH51-AQ50)))</f>
        <v>385.71428571428567</v>
      </c>
      <c r="AJ51" s="14">
        <f>AI51*VLOOKUP('Données projet'!$B$10,Paramètres!$A$1:$I$89,3,0)*VLOOKUP('Données projet'!$B$10,Paramètres!$A$1:$I$89,5,0)</f>
        <v>190.54285714285712</v>
      </c>
      <c r="AK51" s="14">
        <f t="shared" si="35"/>
        <v>47.659950921819245</v>
      </c>
      <c r="AL51" s="22">
        <f t="shared" si="4"/>
        <v>414.86989071264458</v>
      </c>
      <c r="AM51" s="62">
        <f t="shared" si="5"/>
        <v>708.20322404597789</v>
      </c>
      <c r="AN51" s="62">
        <f ca="1">AVERAGE(OFFSET($AM$3,0,0,'Données projet'!$E$10+1,1))-AVERAGE(OFFSET($H$3,0,0,'Données projet'!$E$10+1,1))</f>
        <v>476.32595424393645</v>
      </c>
      <c r="AO51" s="62">
        <f t="shared" si="36"/>
        <v>36.065940605453875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</v>
      </c>
      <c r="BD51" s="13">
        <f>IF('Données projet'!$A$88&gt;35,BD50+BC51-BL50,IF(A51&lt;'Données projet'!$A$88,$BA$205^A51,IF(A51='Données projet'!$A$88,'Données projet'!$B$88,BD50+BC51-BL50)))</f>
        <v>204</v>
      </c>
      <c r="BE51" s="14">
        <f>BD51*VLOOKUP('Données projet'!$B$11,Paramètres!$A$1:$I$89,3,0)*VLOOKUP('Données projet'!$B$11,Paramètres!$A$1:$I$89,5,0)</f>
        <v>162.30240000000001</v>
      </c>
      <c r="BF51" s="14">
        <f t="shared" si="37"/>
        <v>41.361395541514355</v>
      </c>
      <c r="BG51" s="22">
        <f t="shared" si="7"/>
        <v>354.71444390147082</v>
      </c>
      <c r="BH51" s="62">
        <f t="shared" si="8"/>
        <v>648.04777723480413</v>
      </c>
      <c r="BI51" s="62">
        <f ca="1">AVERAGE(OFFSET($BH$3,0,0,'Données projet'!$E$11+1,1))-AVERAGE(OFFSET($H$3,0,0,'Données projet'!$E$11+1,1))</f>
        <v>225.02590532358471</v>
      </c>
      <c r="BJ51" s="62">
        <f t="shared" si="38"/>
        <v>224.00025638752402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1.8276387399822898</v>
      </c>
      <c r="BQ51" s="23">
        <f>EXP(-LN(2)/25)*BQ50+(1-EXP(-LN(2)/25))/(LN(2)/25)*Calculateur!BL51*Calculateur!BN51*VLOOKUP('Données projet'!$B$11,Paramètres!$A$1:$I$89,3,0)*0.475*44/12</f>
        <v>5.5231867882783394</v>
      </c>
      <c r="BR51" s="23">
        <f>EXP(-LN(2)/2)*BR50+(1-EXP(-LN(2)/2))/(LN(2)/2)*BL51*BO51*VLOOKUP('Données projet'!$B$11,Paramètres!$A$1:$I$89,3,0)*0.475*44/12</f>
        <v>3.0133408218009632E-2</v>
      </c>
      <c r="BS51" s="24">
        <f t="shared" si="9"/>
        <v>7.3809589364786392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20.75</v>
      </c>
      <c r="N52" s="14">
        <f>IF('Données projet'!$A$36&gt;35,N51+M52-V51,IF(A52&lt;'Données projet'!$A$36,$K$205^A52,IF(A52='Données projet'!$A$36,'Données projet'!$B$36,N51+M52-V51)))</f>
        <v>618.25000000000023</v>
      </c>
      <c r="O52" s="14">
        <f>N52*VLOOKUP('Données projet'!$B$9,Paramètres!$A$1:$I$89,3,0)*VLOOKUP('Données projet'!$B$9,Paramètres!$A$1:$I$89,5,0)</f>
        <v>345.6017500000001</v>
      </c>
      <c r="P52" s="14">
        <f t="shared" si="33"/>
        <v>80.656200408417533</v>
      </c>
      <c r="Q52" s="22">
        <f t="shared" si="53"/>
        <v>742.39926362799406</v>
      </c>
      <c r="R52" s="62">
        <f t="shared" si="0"/>
        <v>1035.7325969613273</v>
      </c>
      <c r="S52" s="62">
        <f ca="1">AVERAGE(OFFSET($R$3,0,0,'Données projet'!$E$9+1,1))-AVERAGE(OFFSET($H$3,0,0,'Données projet'!$E$9+1,1))</f>
        <v>395.89088353191511</v>
      </c>
      <c r="T52" s="62">
        <f t="shared" si="34"/>
        <v>322.63468857063492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13.869677245918217</v>
      </c>
      <c r="AA52" s="23">
        <f>EXP(-LN(2)/25)*AA51+(1-EXP(-LN(2)/25))/(LN(2)/25)*Calculateur!V52*Calculateur!X52*VLOOKUP('Données projet'!$B$9,Paramètres!$A$1:$I$89,3,0)*0.475*44/12</f>
        <v>7.641341239524591</v>
      </c>
      <c r="AB52" s="23">
        <f>EXP(-LN(2)/2)*AB51+(1-EXP(-LN(2)/2))/(LN(2)/2)*V52*Y52*VLOOKUP('Données projet'!$B$9,Paramètres!$A$1:$I$89,3,0)*0.475*44/12</f>
        <v>4.6511019199258572E-3</v>
      </c>
      <c r="AC52" s="24">
        <f t="shared" si="3"/>
        <v>21.515669587362733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>
        <f>VLOOKUP(A52,'Données projet'!$A$61:$I$81,2,0)</f>
        <v>415</v>
      </c>
      <c r="AG52" s="13">
        <f>VLOOKUP(A52,'Données projet'!$A$61:$I$81,9,0)</f>
        <v>29.285714285714285</v>
      </c>
      <c r="AH52" s="13">
        <f t="array" ref="AH52">INDEX(AG:AG,MIN(IF(ISNUMBER(AG52:AG248),ROW(AG52:AG248),"")))</f>
        <v>29.285714285714285</v>
      </c>
      <c r="AI52" s="14">
        <f>IF('Données projet'!$A$62&gt;35,AI51+AH52-AQ51,IF(A52&lt;'Données projet'!$A$62,$AF$205^A52,IF(A52='Données projet'!$A$62,'Données projet'!$B$62,AI51+AH52-AQ51)))</f>
        <v>414.99999999999994</v>
      </c>
      <c r="AJ52" s="14">
        <f>AI52*VLOOKUP('Données projet'!$B$10,Paramètres!$A$1:$I$89,3,0)*VLOOKUP('Données projet'!$B$10,Paramètres!$A$1:$I$89,5,0)</f>
        <v>205.01</v>
      </c>
      <c r="AK52" s="14">
        <f t="shared" si="35"/>
        <v>50.843623629804377</v>
      </c>
      <c r="AL52" s="22">
        <f t="shared" si="4"/>
        <v>445.61172782190926</v>
      </c>
      <c r="AM52" s="62">
        <f t="shared" si="5"/>
        <v>738.94506115524257</v>
      </c>
      <c r="AN52" s="62">
        <f ca="1">AVERAGE(OFFSET($AM$3,0,0,'Données projet'!$E$10+1,1))-AVERAGE(OFFSET($H$3,0,0,'Données projet'!$E$10+1,1))</f>
        <v>476.32595424393645</v>
      </c>
      <c r="AO52" s="62">
        <f t="shared" si="36"/>
        <v>36.065940605453875</v>
      </c>
      <c r="AP52" s="16">
        <f>IF(ISNA(VLOOKUP(A52,'Données projet'!$A$61:$I$81,3,0)),0,VLOOKUP(A52,'Données projet'!$A$61:$I$81,3,0))</f>
        <v>3</v>
      </c>
      <c r="AQ52" s="16">
        <f>IF(ISNA(VLOOKUP(A52,'Données projet'!$A$61:$I$81,4,0)),0,VLOOKUP(A52,'Données projet'!$A$61:$I$81,4,0))</f>
        <v>75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</v>
      </c>
      <c r="BD52" s="13">
        <f>IF('Données projet'!$A$88&gt;35,BD51+BC52-BL51,IF(A52&lt;'Données projet'!$A$88,$BA$205^A52,IF(A52='Données projet'!$A$88,'Données projet'!$B$88,BD51+BC52-BL51)))</f>
        <v>211</v>
      </c>
      <c r="BE52" s="14">
        <f>BD52*VLOOKUP('Données projet'!$B$11,Paramètres!$A$1:$I$89,3,0)*VLOOKUP('Données projet'!$B$11,Paramètres!$A$1:$I$89,5,0)</f>
        <v>167.8716</v>
      </c>
      <c r="BF52" s="14">
        <f t="shared" si="37"/>
        <v>42.612983811358006</v>
      </c>
      <c r="BG52" s="22">
        <f t="shared" si="7"/>
        <v>366.59398347144844</v>
      </c>
      <c r="BH52" s="62">
        <f t="shared" si="8"/>
        <v>659.92731680478175</v>
      </c>
      <c r="BI52" s="62">
        <f ca="1">AVERAGE(OFFSET($BH$3,0,0,'Données projet'!$E$11+1,1))-AVERAGE(OFFSET($H$3,0,0,'Données projet'!$E$11+1,1))</f>
        <v>225.02590532358471</v>
      </c>
      <c r="BJ52" s="62">
        <f t="shared" si="38"/>
        <v>224.00025638752402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1.791799859040796</v>
      </c>
      <c r="BQ52" s="23">
        <f>EXP(-LN(2)/25)*BQ51+(1-EXP(-LN(2)/25))/(LN(2)/25)*Calculateur!BL52*Calculateur!BN52*VLOOKUP('Données projet'!$B$11,Paramètres!$A$1:$I$89,3,0)*0.475*44/12</f>
        <v>5.3721549551010987</v>
      </c>
      <c r="BR52" s="23">
        <f>EXP(-LN(2)/2)*BR51+(1-EXP(-LN(2)/2))/(LN(2)/2)*BL52*BO52*VLOOKUP('Données projet'!$B$11,Paramètres!$A$1:$I$89,3,0)*0.475*44/12</f>
        <v>2.1307537291217052E-2</v>
      </c>
      <c r="BS52" s="24">
        <f t="shared" si="9"/>
        <v>7.1852623514331118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639</v>
      </c>
      <c r="L53" s="13">
        <f>VLOOKUP(A53,'Données projet'!$A$35:$I$55,9,0)</f>
        <v>20.75</v>
      </c>
      <c r="M53" s="13">
        <f t="array" ref="M53">INDEX(L:L,MIN(IF(ISNUMBER(L53:L249),ROW(L53:L249),"")))</f>
        <v>20.75</v>
      </c>
      <c r="N53" s="14">
        <f>IF('Données projet'!$A$36&gt;35,N52+M53-V52,IF(A53&lt;'Données projet'!$A$36,$K$205^A53,IF(A53='Données projet'!$A$36,'Données projet'!$B$36,N52+M53-V52)))</f>
        <v>639.00000000000023</v>
      </c>
      <c r="O53" s="14">
        <f>N53*VLOOKUP('Données projet'!$B$9,Paramètres!$A$1:$I$89,3,0)*VLOOKUP('Données projet'!$B$9,Paramètres!$A$1:$I$89,5,0)</f>
        <v>357.20100000000014</v>
      </c>
      <c r="P53" s="14">
        <f t="shared" si="33"/>
        <v>83.043509879488369</v>
      </c>
      <c r="Q53" s="22">
        <f t="shared" si="53"/>
        <v>766.75918804010917</v>
      </c>
      <c r="R53" s="62">
        <f t="shared" si="0"/>
        <v>1060.0925213734424</v>
      </c>
      <c r="S53" s="62">
        <f ca="1">AVERAGE(OFFSET($R$3,0,0,'Données projet'!$E$9+1,1))-AVERAGE(OFFSET($H$3,0,0,'Données projet'!$E$9+1,1))</f>
        <v>395.89088353191511</v>
      </c>
      <c r="T53" s="62">
        <f t="shared" si="34"/>
        <v>322.63468857063492</v>
      </c>
      <c r="U53" s="16">
        <f>IF(ISNA(VLOOKUP(A53,'Données projet'!$A$35:$I$55,3,0)),0,VLOOKUP(A53,'Données projet'!$A$35:$I$55,3,0))</f>
        <v>5</v>
      </c>
      <c r="V53" s="16">
        <f>IF(ISNA(VLOOKUP(A53,'Données projet'!$A$35:$I$55,4,0)),0,VLOOKUP(A53,'Données projet'!$A$35:$I$55,4,0))</f>
        <v>82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13.597701334793557</v>
      </c>
      <c r="AA53" s="23">
        <f>EXP(-LN(2)/25)*AA52+(1-EXP(-LN(2)/25))/(LN(2)/25)*Calculateur!V53*Calculateur!X53*VLOOKUP('Données projet'!$B$9,Paramètres!$A$1:$I$89,3,0)*0.475*44/12</f>
        <v>7.43238836148912</v>
      </c>
      <c r="AB53" s="23">
        <f>EXP(-LN(2)/2)*AB52+(1-EXP(-LN(2)/2))/(LN(2)/2)*V53*Y53*VLOOKUP('Données projet'!$B$9,Paramètres!$A$1:$I$89,3,0)*0.475*44/12</f>
        <v>3.2888257075693443E-3</v>
      </c>
      <c r="AC53" s="24">
        <f t="shared" si="3"/>
        <v>21.033378521990244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30.285714285714285</v>
      </c>
      <c r="AI53" s="14">
        <f>IF('Données projet'!$A$62&gt;35,AI52+AH53-AQ52,IF(A53&lt;'Données projet'!$A$62,$AF$205^A53,IF(A53='Données projet'!$A$62,'Données projet'!$B$62,AI52+AH53-AQ52)))</f>
        <v>370.28571428571422</v>
      </c>
      <c r="AJ53" s="14">
        <f>AI53*VLOOKUP('Données projet'!$B$10,Paramètres!$A$1:$I$89,3,0)*VLOOKUP('Données projet'!$B$10,Paramètres!$A$1:$I$89,5,0)</f>
        <v>182.92114285714285</v>
      </c>
      <c r="AK53" s="14">
        <f t="shared" si="35"/>
        <v>45.971476476109089</v>
      </c>
      <c r="AL53" s="22">
        <f t="shared" si="4"/>
        <v>398.65464533874712</v>
      </c>
      <c r="AM53" s="62">
        <f t="shared" si="5"/>
        <v>691.98797867208043</v>
      </c>
      <c r="AN53" s="62">
        <f ca="1">AVERAGE(OFFSET($AM$3,0,0,'Données projet'!$E$10+1,1))-AVERAGE(OFFSET($H$3,0,0,'Données projet'!$E$10+1,1))</f>
        <v>476.32595424393645</v>
      </c>
      <c r="AO53" s="62">
        <f t="shared" si="36"/>
        <v>36.065940605453875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218</v>
      </c>
      <c r="BB53" s="13">
        <f>VLOOKUP(A53,'Données projet'!$A$87:$I$107,9,0)</f>
        <v>7</v>
      </c>
      <c r="BC53" s="13">
        <f t="array" ref="BC53">INDEX(BB:BB,MIN(IF(ISNUMBER(BB53:BB249),ROW(BB53:BB249),"")))</f>
        <v>7</v>
      </c>
      <c r="BD53" s="13">
        <f>IF('Données projet'!$A$88&gt;35,BD52+BC53-BL52,IF(A53&lt;'Données projet'!$A$88,$BA$205^A53,IF(A53='Données projet'!$A$88,'Données projet'!$B$88,BD52+BC53-BL52)))</f>
        <v>218</v>
      </c>
      <c r="BE53" s="14">
        <f>BD53*VLOOKUP('Données projet'!$B$11,Paramètres!$A$1:$I$89,3,0)*VLOOKUP('Données projet'!$B$11,Paramètres!$A$1:$I$89,5,0)</f>
        <v>173.44080000000002</v>
      </c>
      <c r="BF53" s="14">
        <f t="shared" si="37"/>
        <v>43.859747318594479</v>
      </c>
      <c r="BG53" s="22">
        <f t="shared" si="7"/>
        <v>378.46511991321876</v>
      </c>
      <c r="BH53" s="62">
        <f t="shared" si="8"/>
        <v>671.79845324655207</v>
      </c>
      <c r="BI53" s="62">
        <f ca="1">AVERAGE(OFFSET($BH$3,0,0,'Données projet'!$E$11+1,1))-AVERAGE(OFFSET($H$3,0,0,'Données projet'!$E$11+1,1))</f>
        <v>225.02590532358471</v>
      </c>
      <c r="BJ53" s="62">
        <f t="shared" si="38"/>
        <v>224.00025638752402</v>
      </c>
      <c r="BK53" s="16">
        <f>IF(ISNA(VLOOKUP(A53,'Données projet'!$A$87:$I$107,3,0)),0,VLOOKUP(A53,'Données projet'!$A$87:$I$107,3,0))</f>
        <v>8</v>
      </c>
      <c r="BL53" s="16">
        <f>IF(ISNA(VLOOKUP(A53,'Données projet'!$A$87:$I$107,4,0)),0,VLOOKUP(A53,'Données projet'!$A$87:$I$107,4,0))</f>
        <v>17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1.7566637566950061</v>
      </c>
      <c r="BQ53" s="23">
        <f>EXP(-LN(2)/25)*BQ52+(1-EXP(-LN(2)/25))/(LN(2)/25)*Calculateur!BL53*Calculateur!BN53*VLOOKUP('Données projet'!$B$11,Paramètres!$A$1:$I$89,3,0)*0.475*44/12</f>
        <v>5.2252530953445087</v>
      </c>
      <c r="BR53" s="23">
        <f>EXP(-LN(2)/2)*BR52+(1-EXP(-LN(2)/2))/(LN(2)/2)*BL53*BO53*VLOOKUP('Données projet'!$B$11,Paramètres!$A$1:$I$89,3,0)*0.475*44/12</f>
        <v>1.5066704109004819E-2</v>
      </c>
      <c r="BS53" s="24">
        <f t="shared" si="9"/>
        <v>6.9969835561485194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20.142857142857142</v>
      </c>
      <c r="N54" s="14">
        <f>IF('Données projet'!$A$36&gt;35,N53+M54-V53,IF(A54&lt;'Données projet'!$A$36,$K$205^A54,IF(A54='Données projet'!$A$36,'Données projet'!$B$36,N53+M54-V53)))</f>
        <v>577.14285714285734</v>
      </c>
      <c r="O54" s="14">
        <f>N54*VLOOKUP('Données projet'!$B$9,Paramètres!$A$1:$I$89,3,0)*VLOOKUP('Données projet'!$B$9,Paramètres!$A$1:$I$89,5,0)</f>
        <v>322.6228571428573</v>
      </c>
      <c r="P54" s="14">
        <f t="shared" si="33"/>
        <v>75.898830557018272</v>
      </c>
      <c r="Q54" s="22">
        <f t="shared" si="53"/>
        <v>694.09193941061665</v>
      </c>
      <c r="R54" s="62">
        <f t="shared" si="0"/>
        <v>987.42527274395002</v>
      </c>
      <c r="S54" s="62">
        <f ca="1">AVERAGE(OFFSET($R$3,0,0,'Données projet'!$E$9+1,1))-AVERAGE(OFFSET($H$3,0,0,'Données projet'!$E$9+1,1))</f>
        <v>395.89088353191511</v>
      </c>
      <c r="T54" s="62">
        <f t="shared" si="34"/>
        <v>322.63468857063492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13.331058705397128</v>
      </c>
      <c r="AA54" s="23">
        <f>EXP(-LN(2)/25)*AA53+(1-EXP(-LN(2)/25))/(LN(2)/25)*Calculateur!V54*Calculateur!X54*VLOOKUP('Données projet'!$B$9,Paramètres!$A$1:$I$89,3,0)*0.475*44/12</f>
        <v>7.2291493108918834</v>
      </c>
      <c r="AB54" s="23">
        <f>EXP(-LN(2)/2)*AB53+(1-EXP(-LN(2)/2))/(LN(2)/2)*V54*Y54*VLOOKUP('Données projet'!$B$9,Paramètres!$A$1:$I$89,3,0)*0.475*44/12</f>
        <v>2.3255509599629286E-3</v>
      </c>
      <c r="AC54" s="24">
        <f t="shared" si="3"/>
        <v>20.562533567248973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30.285714285714285</v>
      </c>
      <c r="AI54" s="14">
        <f>IF('Données projet'!$A$62&gt;35,AI53+AH54-AQ53,IF(A54&lt;'Données projet'!$A$62,$AF$205^A54,IF(A54='Données projet'!$A$62,'Données projet'!$B$62,AI53+AH54-AQ53)))</f>
        <v>400.5714285714285</v>
      </c>
      <c r="AJ54" s="14">
        <f>AI54*VLOOKUP('Données projet'!$B$10,Paramètres!$A$1:$I$89,3,0)*VLOOKUP('Données projet'!$B$10,Paramètres!$A$1:$I$89,5,0)</f>
        <v>197.88228571428567</v>
      </c>
      <c r="AK54" s="14">
        <f t="shared" si="35"/>
        <v>49.278470274840053</v>
      </c>
      <c r="AL54" s="22">
        <f t="shared" si="4"/>
        <v>430.47165001439402</v>
      </c>
      <c r="AM54" s="62">
        <f t="shared" si="5"/>
        <v>723.80498334772733</v>
      </c>
      <c r="AN54" s="62">
        <f ca="1">AVERAGE(OFFSET($AM$3,0,0,'Données projet'!$E$10+1,1))-AVERAGE(OFFSET($H$3,0,0,'Données projet'!$E$10+1,1))</f>
        <v>476.32595424393645</v>
      </c>
      <c r="AO54" s="62">
        <f t="shared" si="36"/>
        <v>36.065940605453875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6.2</v>
      </c>
      <c r="BD54" s="13">
        <f>IF('Données projet'!$A$88&gt;35,BD53+BC54-BL53,IF(A54&lt;'Données projet'!$A$88,$BA$205^A54,IF(A54='Données projet'!$A$88,'Données projet'!$B$88,BD53+BC54-BL53)))</f>
        <v>207.2</v>
      </c>
      <c r="BE54" s="14">
        <f>BD54*VLOOKUP('Données projet'!$B$11,Paramètres!$A$1:$I$89,3,0)*VLOOKUP('Données projet'!$B$11,Paramètres!$A$1:$I$89,5,0)</f>
        <v>164.84832</v>
      </c>
      <c r="BF54" s="14">
        <f t="shared" si="37"/>
        <v>41.934160358278433</v>
      </c>
      <c r="BG54" s="22">
        <f t="shared" si="7"/>
        <v>360.14615329066828</v>
      </c>
      <c r="BH54" s="62">
        <f t="shared" si="8"/>
        <v>653.47948662400154</v>
      </c>
      <c r="BI54" s="62">
        <f ca="1">AVERAGE(OFFSET($BH$3,0,0,'Données projet'!$E$11+1,1))-AVERAGE(OFFSET($H$3,0,0,'Données projet'!$E$11+1,1))</f>
        <v>225.02590532358471</v>
      </c>
      <c r="BJ54" s="62">
        <f t="shared" si="38"/>
        <v>224.00025638752402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1.7222166518853108</v>
      </c>
      <c r="BQ54" s="23">
        <f>EXP(-LN(2)/25)*BQ53+(1-EXP(-LN(2)/25))/(LN(2)/25)*Calculateur!BL54*Calculateur!BN54*VLOOKUP('Données projet'!$B$11,Paramètres!$A$1:$I$89,3,0)*0.475*44/12</f>
        <v>5.0823682746681955</v>
      </c>
      <c r="BR54" s="23">
        <f>EXP(-LN(2)/2)*BR53+(1-EXP(-LN(2)/2))/(LN(2)/2)*BL54*BO54*VLOOKUP('Données projet'!$B$11,Paramètres!$A$1:$I$89,3,0)*0.475*44/12</f>
        <v>1.0653768645608528E-2</v>
      </c>
      <c r="BS54" s="24">
        <f t="shared" si="9"/>
        <v>6.8152386951991151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20.142857142857142</v>
      </c>
      <c r="N55" s="14">
        <f>IF('Données projet'!$A$36&gt;35,N54+M55-V54,IF(A55&lt;'Données projet'!$A$36,$K$205^A55,IF(A55='Données projet'!$A$36,'Données projet'!$B$36,N54+M55-V54)))</f>
        <v>597.28571428571445</v>
      </c>
      <c r="O55" s="14">
        <f>N55*VLOOKUP('Données projet'!$B$9,Paramètres!$A$1:$I$89,3,0)*VLOOKUP('Données projet'!$B$9,Paramètres!$A$1:$I$89,5,0)</f>
        <v>333.88271428571443</v>
      </c>
      <c r="P55" s="14">
        <f t="shared" si="33"/>
        <v>78.234744073282599</v>
      </c>
      <c r="Q55" s="22">
        <f t="shared" si="53"/>
        <v>717.77123997525314</v>
      </c>
      <c r="R55" s="62">
        <f t="shared" si="0"/>
        <v>1011.1045733085864</v>
      </c>
      <c r="S55" s="62">
        <f ca="1">AVERAGE(OFFSET($R$3,0,0,'Données projet'!$E$9+1,1))-AVERAGE(OFFSET($H$3,0,0,'Données projet'!$E$9+1,1))</f>
        <v>395.89088353191511</v>
      </c>
      <c r="T55" s="62">
        <f t="shared" si="34"/>
        <v>322.63468857063492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13.069644775327216</v>
      </c>
      <c r="AA55" s="23">
        <f>EXP(-LN(2)/25)*AA54+(1-EXP(-LN(2)/25))/(LN(2)/25)*Calculateur!V55*Calculateur!X55*VLOOKUP('Données projet'!$B$9,Paramètres!$A$1:$I$89,3,0)*0.475*44/12</f>
        <v>7.0314678428211046</v>
      </c>
      <c r="AB55" s="23">
        <f>EXP(-LN(2)/2)*AB54+(1-EXP(-LN(2)/2))/(LN(2)/2)*V55*Y55*VLOOKUP('Données projet'!$B$9,Paramètres!$A$1:$I$89,3,0)*0.475*44/12</f>
        <v>1.6444128537846721E-3</v>
      </c>
      <c r="AC55" s="24">
        <f t="shared" si="3"/>
        <v>20.102757031002106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30.285714285714285</v>
      </c>
      <c r="AI55" s="14">
        <f>IF('Données projet'!$A$62&gt;35,AI54+AH55-AQ54,IF(A55&lt;'Données projet'!$A$62,$AF$205^A55,IF(A55='Données projet'!$A$62,'Données projet'!$B$62,AI54+AH55-AQ54)))</f>
        <v>430.85714285714278</v>
      </c>
      <c r="AJ55" s="14">
        <f>AI55*VLOOKUP('Données projet'!$B$10,Paramètres!$A$1:$I$89,3,0)*VLOOKUP('Données projet'!$B$10,Paramètres!$A$1:$I$89,5,0)</f>
        <v>212.84342857142852</v>
      </c>
      <c r="AK55" s="14">
        <f t="shared" si="35"/>
        <v>52.55645917595475</v>
      </c>
      <c r="AL55" s="22">
        <f t="shared" si="4"/>
        <v>462.23813782669254</v>
      </c>
      <c r="AM55" s="62">
        <f t="shared" si="5"/>
        <v>755.57147116002579</v>
      </c>
      <c r="AN55" s="62">
        <f ca="1">AVERAGE(OFFSET($AM$3,0,0,'Données projet'!$E$10+1,1))-AVERAGE(OFFSET($H$3,0,0,'Données projet'!$E$10+1,1))</f>
        <v>476.32595424393645</v>
      </c>
      <c r="AO55" s="62">
        <f t="shared" si="36"/>
        <v>36.065940605453875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6.2</v>
      </c>
      <c r="BD55" s="13">
        <f>IF('Données projet'!$A$88&gt;35,BD54+BC55-BL54,IF(A55&lt;'Données projet'!$A$88,$BA$205^A55,IF(A55='Données projet'!$A$88,'Données projet'!$B$88,BD54+BC55-BL54)))</f>
        <v>213.39999999999998</v>
      </c>
      <c r="BE55" s="14">
        <f>BD55*VLOOKUP('Données projet'!$B$11,Paramètres!$A$1:$I$89,3,0)*VLOOKUP('Données projet'!$B$11,Paramètres!$A$1:$I$89,5,0)</f>
        <v>169.78103999999999</v>
      </c>
      <c r="BF55" s="14">
        <f t="shared" si="37"/>
        <v>43.040980151296445</v>
      </c>
      <c r="BG55" s="22">
        <f t="shared" si="7"/>
        <v>370.6650184301746</v>
      </c>
      <c r="BH55" s="62">
        <f t="shared" si="8"/>
        <v>663.99835176350791</v>
      </c>
      <c r="BI55" s="62">
        <f ca="1">AVERAGE(OFFSET($BH$3,0,0,'Données projet'!$E$11+1,1))-AVERAGE(OFFSET($H$3,0,0,'Données projet'!$E$11+1,1))</f>
        <v>225.02590532358471</v>
      </c>
      <c r="BJ55" s="62">
        <f t="shared" si="38"/>
        <v>224.00025638752402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1.6884450337902743</v>
      </c>
      <c r="BQ55" s="23">
        <f>EXP(-LN(2)/25)*BQ54+(1-EXP(-LN(2)/25))/(LN(2)/25)*Calculateur!BL55*Calculateur!BN55*VLOOKUP('Données projet'!$B$11,Paramètres!$A$1:$I$89,3,0)*0.475*44/12</f>
        <v>4.9433906469272619</v>
      </c>
      <c r="BR55" s="23">
        <f>EXP(-LN(2)/2)*BR54+(1-EXP(-LN(2)/2))/(LN(2)/2)*BL55*BO55*VLOOKUP('Données projet'!$B$11,Paramètres!$A$1:$I$89,3,0)*0.475*44/12</f>
        <v>7.5333520545024105E-3</v>
      </c>
      <c r="BS55" s="24">
        <f t="shared" si="9"/>
        <v>6.6393690327720387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20.142857142857142</v>
      </c>
      <c r="N56" s="14">
        <f>IF('Données projet'!$A$36&gt;35,N55+M56-V55,IF(A56&lt;'Données projet'!$A$36,$K$205^A56,IF(A56='Données projet'!$A$36,'Données projet'!$B$36,N55+M56-V55)))</f>
        <v>617.42857142857156</v>
      </c>
      <c r="O56" s="14">
        <f>N56*VLOOKUP('Données projet'!$B$9,Paramètres!$A$1:$I$89,3,0)*VLOOKUP('Données projet'!$B$9,Paramètres!$A$1:$I$89,5,0)</f>
        <v>345.1425714285715</v>
      </c>
      <c r="P56" s="14">
        <f t="shared" si="33"/>
        <v>80.561504166550677</v>
      </c>
      <c r="Q56" s="22">
        <f t="shared" si="53"/>
        <v>741.43459832817109</v>
      </c>
      <c r="R56" s="62">
        <f t="shared" si="0"/>
        <v>1034.7679316615045</v>
      </c>
      <c r="S56" s="62">
        <f ca="1">AVERAGE(OFFSET($R$3,0,0,'Données projet'!$E$9+1,1))-AVERAGE(OFFSET($H$3,0,0,'Données projet'!$E$9+1,1))</f>
        <v>395.89088353191511</v>
      </c>
      <c r="T56" s="62">
        <f t="shared" si="34"/>
        <v>322.63468857063492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12.813357012979223</v>
      </c>
      <c r="AA56" s="23">
        <f>EXP(-LN(2)/25)*AA55+(1-EXP(-LN(2)/25))/(LN(2)/25)*Calculateur!V56*Calculateur!X56*VLOOKUP('Données projet'!$B$9,Paramètres!$A$1:$I$89,3,0)*0.475*44/12</f>
        <v>6.8391919848903386</v>
      </c>
      <c r="AB56" s="23">
        <f>EXP(-LN(2)/2)*AB55+(1-EXP(-LN(2)/2))/(LN(2)/2)*V56*Y56*VLOOKUP('Données projet'!$B$9,Paramètres!$A$1:$I$89,3,0)*0.475*44/12</f>
        <v>1.1627754799814643E-3</v>
      </c>
      <c r="AC56" s="24">
        <f t="shared" si="3"/>
        <v>19.653711773349546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30.285714285714285</v>
      </c>
      <c r="AI56" s="14">
        <f>IF('Données projet'!$A$62&gt;35,AI55+AH56-AQ55,IF(A56&lt;'Données projet'!$A$62,$AF$205^A56,IF(A56='Données projet'!$A$62,'Données projet'!$B$62,AI55+AH56-AQ55)))</f>
        <v>461.14285714285705</v>
      </c>
      <c r="AJ56" s="14">
        <f>AI56*VLOOKUP('Données projet'!$B$10,Paramètres!$A$1:$I$89,3,0)*VLOOKUP('Données projet'!$B$10,Paramètres!$A$1:$I$89,5,0)</f>
        <v>227.80457142857139</v>
      </c>
      <c r="AK56" s="14">
        <f t="shared" si="35"/>
        <v>55.807713887387798</v>
      </c>
      <c r="AL56" s="22">
        <f t="shared" si="4"/>
        <v>493.95806359196217</v>
      </c>
      <c r="AM56" s="62">
        <f t="shared" si="5"/>
        <v>787.29139692529543</v>
      </c>
      <c r="AN56" s="62">
        <f ca="1">AVERAGE(OFFSET($AM$3,0,0,'Données projet'!$E$10+1,1))-AVERAGE(OFFSET($H$3,0,0,'Données projet'!$E$10+1,1))</f>
        <v>476.32595424393645</v>
      </c>
      <c r="AO56" s="62">
        <f t="shared" si="36"/>
        <v>36.065940605453875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6.2</v>
      </c>
      <c r="BD56" s="13">
        <f>IF('Données projet'!$A$88&gt;35,BD55+BC56-BL55,IF(A56&lt;'Données projet'!$A$88,$BA$205^A56,IF(A56='Données projet'!$A$88,'Données projet'!$B$88,BD55+BC56-BL55)))</f>
        <v>219.59999999999997</v>
      </c>
      <c r="BE56" s="14">
        <f>BD56*VLOOKUP('Données projet'!$B$11,Paramètres!$A$1:$I$89,3,0)*VLOOKUP('Données projet'!$B$11,Paramètres!$A$1:$I$89,5,0)</f>
        <v>174.71375999999998</v>
      </c>
      <c r="BF56" s="14">
        <f t="shared" si="37"/>
        <v>44.144062647515817</v>
      </c>
      <c r="BG56" s="22">
        <f t="shared" si="7"/>
        <v>381.17737444442332</v>
      </c>
      <c r="BH56" s="62">
        <f t="shared" si="8"/>
        <v>674.51070777775658</v>
      </c>
      <c r="BI56" s="62">
        <f ca="1">AVERAGE(OFFSET($BH$3,0,0,'Données projet'!$E$11+1,1))-AVERAGE(OFFSET($H$3,0,0,'Données projet'!$E$11+1,1))</f>
        <v>225.02590532358471</v>
      </c>
      <c r="BJ56" s="62">
        <f t="shared" si="38"/>
        <v>224.00025638752402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1.6553356565274284</v>
      </c>
      <c r="BQ56" s="23">
        <f>EXP(-LN(2)/25)*BQ55+(1-EXP(-LN(2)/25))/(LN(2)/25)*Calculateur!BL56*Calculateur!BN56*VLOOKUP('Données projet'!$B$11,Paramètres!$A$1:$I$89,3,0)*0.475*44/12</f>
        <v>4.8082133697254203</v>
      </c>
      <c r="BR56" s="23">
        <f>EXP(-LN(2)/2)*BR55+(1-EXP(-LN(2)/2))/(LN(2)/2)*BL56*BO56*VLOOKUP('Données projet'!$B$11,Paramètres!$A$1:$I$89,3,0)*0.475*44/12</f>
        <v>5.3268843228042647E-3</v>
      </c>
      <c r="BS56" s="24">
        <f t="shared" si="9"/>
        <v>6.4688759105756537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20.142857142857142</v>
      </c>
      <c r="N57" s="14">
        <f>IF('Données projet'!$A$36&gt;35,N56+M57-V56,IF(A57&lt;'Données projet'!$A$36,$K$205^A57,IF(A57='Données projet'!$A$36,'Données projet'!$B$36,N56+M57-V56)))</f>
        <v>637.57142857142867</v>
      </c>
      <c r="O57" s="14">
        <f>N57*VLOOKUP('Données projet'!$B$9,Paramètres!$A$1:$I$89,3,0)*VLOOKUP('Données projet'!$B$9,Paramètres!$A$1:$I$89,5,0)</f>
        <v>356.40242857142863</v>
      </c>
      <c r="P57" s="14">
        <f t="shared" si="33"/>
        <v>82.879443703118795</v>
      </c>
      <c r="Q57" s="22">
        <f t="shared" si="53"/>
        <v>765.08259421150342</v>
      </c>
      <c r="R57" s="62">
        <f t="shared" si="0"/>
        <v>1058.4159275448367</v>
      </c>
      <c r="S57" s="62">
        <f ca="1">AVERAGE(OFFSET($R$3,0,0,'Données projet'!$E$9+1,1))-AVERAGE(OFFSET($H$3,0,0,'Données projet'!$E$9+1,1))</f>
        <v>395.89088353191511</v>
      </c>
      <c r="T57" s="62">
        <f t="shared" si="34"/>
        <v>322.63468857063492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12.562094897330773</v>
      </c>
      <c r="AA57" s="23">
        <f>EXP(-LN(2)/25)*AA56+(1-EXP(-LN(2)/25))/(LN(2)/25)*Calculateur!V57*Calculateur!X57*VLOOKUP('Données projet'!$B$9,Paramètres!$A$1:$I$89,3,0)*0.475*44/12</f>
        <v>6.6521739204060371</v>
      </c>
      <c r="AB57" s="23">
        <f>EXP(-LN(2)/2)*AB56+(1-EXP(-LN(2)/2))/(LN(2)/2)*V57*Y57*VLOOKUP('Données projet'!$B$9,Paramètres!$A$1:$I$89,3,0)*0.475*44/12</f>
        <v>8.2220642689233606E-4</v>
      </c>
      <c r="AC57" s="24">
        <f t="shared" si="3"/>
        <v>19.215091024163701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30.285714285714285</v>
      </c>
      <c r="AI57" s="14">
        <f>IF('Données projet'!$A$62&gt;35,AI56+AH57-AQ56,IF(A57&lt;'Données projet'!$A$62,$AF$205^A57,IF(A57='Données projet'!$A$62,'Données projet'!$B$62,AI56+AH57-AQ56)))</f>
        <v>491.42857142857133</v>
      </c>
      <c r="AJ57" s="14">
        <f>AI57*VLOOKUP('Données projet'!$B$10,Paramètres!$A$1:$I$89,3,0)*VLOOKUP('Données projet'!$B$10,Paramètres!$A$1:$I$89,5,0)</f>
        <v>242.76571428571424</v>
      </c>
      <c r="AK57" s="14">
        <f t="shared" si="35"/>
        <v>59.034189988621911</v>
      </c>
      <c r="AL57" s="22">
        <f t="shared" si="4"/>
        <v>525.63483327780216</v>
      </c>
      <c r="AM57" s="62">
        <f t="shared" si="5"/>
        <v>818.96816661113553</v>
      </c>
      <c r="AN57" s="62">
        <f ca="1">AVERAGE(OFFSET($AM$3,0,0,'Données projet'!$E$10+1,1))-AVERAGE(OFFSET($H$3,0,0,'Données projet'!$E$10+1,1))</f>
        <v>476.32595424393645</v>
      </c>
      <c r="AO57" s="62">
        <f t="shared" si="36"/>
        <v>36.065940605453875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6.2</v>
      </c>
      <c r="BD57" s="13">
        <f>IF('Données projet'!$A$88&gt;35,BD56+BC57-BL56,IF(A57&lt;'Données projet'!$A$88,$BA$205^A57,IF(A57='Données projet'!$A$88,'Données projet'!$B$88,BD56+BC57-BL56)))</f>
        <v>225.79999999999995</v>
      </c>
      <c r="BE57" s="14">
        <f>BD57*VLOOKUP('Données projet'!$B$11,Paramètres!$A$1:$I$89,3,0)*VLOOKUP('Données projet'!$B$11,Paramètres!$A$1:$I$89,5,0)</f>
        <v>179.64647999999997</v>
      </c>
      <c r="BF57" s="14">
        <f t="shared" si="37"/>
        <v>45.24352548294069</v>
      </c>
      <c r="BG57" s="22">
        <f t="shared" si="7"/>
        <v>391.68342621612163</v>
      </c>
      <c r="BH57" s="62">
        <f t="shared" si="8"/>
        <v>685.01675954945495</v>
      </c>
      <c r="BI57" s="62">
        <f ca="1">AVERAGE(OFFSET($BH$3,0,0,'Données projet'!$E$11+1,1))-AVERAGE(OFFSET($H$3,0,0,'Données projet'!$E$11+1,1))</f>
        <v>225.02590532358471</v>
      </c>
      <c r="BJ57" s="62">
        <f t="shared" si="38"/>
        <v>224.00025638752402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1.6228755339579808</v>
      </c>
      <c r="BQ57" s="23">
        <f>EXP(-LN(2)/25)*BQ56+(1-EXP(-LN(2)/25))/(LN(2)/25)*Calculateur!BL57*Calculateur!BN57*VLOOKUP('Données projet'!$B$11,Paramètres!$A$1:$I$89,3,0)*0.475*44/12</f>
        <v>4.6767325222773266</v>
      </c>
      <c r="BR57" s="23">
        <f>EXP(-LN(2)/2)*BR56+(1-EXP(-LN(2)/2))/(LN(2)/2)*BL57*BO57*VLOOKUP('Données projet'!$B$11,Paramètres!$A$1:$I$89,3,0)*0.475*44/12</f>
        <v>3.7666760272512057E-3</v>
      </c>
      <c r="BS57" s="24">
        <f t="shared" si="9"/>
        <v>6.303374732262558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20.142857142857142</v>
      </c>
      <c r="N58" s="14">
        <f>IF('Données projet'!$A$36&gt;35,N57+M58-V57,IF(A58&lt;'Données projet'!$A$36,$K$205^A58,IF(A58='Données projet'!$A$36,'Données projet'!$B$36,N57+M58-V57)))</f>
        <v>657.71428571428578</v>
      </c>
      <c r="O58" s="14">
        <f>N58*VLOOKUP('Données projet'!$B$9,Paramètres!$A$1:$I$89,3,0)*VLOOKUP('Données projet'!$B$9,Paramètres!$A$1:$I$89,5,0)</f>
        <v>367.66228571428576</v>
      </c>
      <c r="P58" s="14">
        <f t="shared" si="33"/>
        <v>85.188873322283442</v>
      </c>
      <c r="Q58" s="22">
        <f t="shared" si="53"/>
        <v>788.71576865535792</v>
      </c>
      <c r="R58" s="62">
        <f t="shared" si="0"/>
        <v>1082.0491019886913</v>
      </c>
      <c r="S58" s="62">
        <f ca="1">AVERAGE(OFFSET($R$3,0,0,'Données projet'!$E$9+1,1))-AVERAGE(OFFSET($H$3,0,0,'Données projet'!$E$9+1,1))</f>
        <v>395.89088353191511</v>
      </c>
      <c r="T58" s="62">
        <f t="shared" si="34"/>
        <v>322.63468857063492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12.315759878515433</v>
      </c>
      <c r="AA58" s="23">
        <f>EXP(-LN(2)/25)*AA57+(1-EXP(-LN(2)/25))/(LN(2)/25)*Calculateur!V58*Calculateur!X58*VLOOKUP('Données projet'!$B$9,Paramètres!$A$1:$I$89,3,0)*0.475*44/12</f>
        <v>6.4702698747299117</v>
      </c>
      <c r="AB58" s="23">
        <f>EXP(-LN(2)/2)*AB57+(1-EXP(-LN(2)/2))/(LN(2)/2)*V58*Y58*VLOOKUP('Données projet'!$B$9,Paramètres!$A$1:$I$89,3,0)*0.475*44/12</f>
        <v>5.8138773999073215E-4</v>
      </c>
      <c r="AC58" s="24">
        <f t="shared" si="3"/>
        <v>18.786611140985336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30.285714285714285</v>
      </c>
      <c r="AI58" s="14">
        <f>IF('Données projet'!$A$62&gt;35,AI57+AH58-AQ57,IF(A58&lt;'Données projet'!$A$62,$AF$205^A58,IF(A58='Données projet'!$A$62,'Données projet'!$B$62,AI57+AH58-AQ57)))</f>
        <v>521.71428571428567</v>
      </c>
      <c r="AJ58" s="14">
        <f>AI58*VLOOKUP('Données projet'!$B$10,Paramètres!$A$1:$I$89,3,0)*VLOOKUP('Données projet'!$B$10,Paramètres!$A$1:$I$89,5,0)</f>
        <v>257.72685714285711</v>
      </c>
      <c r="AK58" s="14">
        <f t="shared" si="35"/>
        <v>62.237588401231015</v>
      </c>
      <c r="AL58" s="22">
        <f t="shared" si="4"/>
        <v>557.27140932262012</v>
      </c>
      <c r="AM58" s="62">
        <f t="shared" si="5"/>
        <v>850.60474265595349</v>
      </c>
      <c r="AN58" s="62">
        <f ca="1">AVERAGE(OFFSET($AM$3,0,0,'Données projet'!$E$10+1,1))-AVERAGE(OFFSET($H$3,0,0,'Données projet'!$E$10+1,1))</f>
        <v>476.32595424393645</v>
      </c>
      <c r="AO58" s="62">
        <f t="shared" si="36"/>
        <v>36.065940605453875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232</v>
      </c>
      <c r="BB58" s="13">
        <f>VLOOKUP(A58,'Données projet'!$A$87:$I$107,9,0)</f>
        <v>6.2</v>
      </c>
      <c r="BC58" s="13">
        <f t="array" ref="BC58">INDEX(BB:BB,MIN(IF(ISNUMBER(BB58:BB254),ROW(BB58:BB254),"")))</f>
        <v>6.2</v>
      </c>
      <c r="BD58" s="13">
        <f>IF('Données projet'!$A$88&gt;35,BD57+BC58-BL57,IF(A58&lt;'Données projet'!$A$88,$BA$205^A58,IF(A58='Données projet'!$A$88,'Données projet'!$B$88,BD57+BC58-BL57)))</f>
        <v>231.99999999999994</v>
      </c>
      <c r="BE58" s="14">
        <f>BD58*VLOOKUP('Données projet'!$B$11,Paramètres!$A$1:$I$89,3,0)*VLOOKUP('Données projet'!$B$11,Paramètres!$A$1:$I$89,5,0)</f>
        <v>184.57919999999999</v>
      </c>
      <c r="BF58" s="14">
        <f t="shared" si="37"/>
        <v>46.339479465836618</v>
      </c>
      <c r="BG58" s="22">
        <f t="shared" si="7"/>
        <v>402.18336673633206</v>
      </c>
      <c r="BH58" s="62">
        <f t="shared" si="8"/>
        <v>695.51670006966538</v>
      </c>
      <c r="BI58" s="62">
        <f ca="1">AVERAGE(OFFSET($BH$3,0,0,'Données projet'!$E$11+1,1))-AVERAGE(OFFSET($H$3,0,0,'Données projet'!$E$11+1,1))</f>
        <v>225.02590532358471</v>
      </c>
      <c r="BJ58" s="62">
        <f t="shared" si="38"/>
        <v>224.00025638752402</v>
      </c>
      <c r="BK58" s="16">
        <f>IF(ISNA(VLOOKUP(A58,'Données projet'!$A$87:$I$107,3,0)),0,VLOOKUP(A58,'Données projet'!$A$87:$I$107,3,0))</f>
        <v>9</v>
      </c>
      <c r="BL58" s="16">
        <f>IF(ISNA(VLOOKUP(A58,'Données projet'!$A$87:$I$107,4,0)),0,VLOOKUP(A58,'Données projet'!$A$87:$I$107,4,0))</f>
        <v>13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1.5910519345934002</v>
      </c>
      <c r="BQ58" s="23">
        <f>EXP(-LN(2)/25)*BQ57+(1-EXP(-LN(2)/25))/(LN(2)/25)*Calculateur!BL58*Calculateur!BN58*VLOOKUP('Données projet'!$B$11,Paramètres!$A$1:$I$89,3,0)*0.475*44/12</f>
        <v>4.5488470255169782</v>
      </c>
      <c r="BR58" s="23">
        <f>EXP(-LN(2)/2)*BR57+(1-EXP(-LN(2)/2))/(LN(2)/2)*BL58*BO58*VLOOKUP('Données projet'!$B$11,Paramètres!$A$1:$I$89,3,0)*0.475*44/12</f>
        <v>2.6634421614021328E-3</v>
      </c>
      <c r="BS58" s="24">
        <f t="shared" si="9"/>
        <v>6.1425624022717802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20.142857142857142</v>
      </c>
      <c r="N59" s="14">
        <f>IF('Données projet'!$A$36&gt;35,N58+M59-V58,IF(A59&lt;'Données projet'!$A$36,$K$205^A59,IF(A59='Données projet'!$A$36,'Données projet'!$B$36,N58+M59-V58)))</f>
        <v>677.85714285714289</v>
      </c>
      <c r="O59" s="14">
        <f>N59*VLOOKUP('Données projet'!$B$9,Paramètres!$A$1:$I$89,3,0)*VLOOKUP('Données projet'!$B$9,Paramètres!$A$1:$I$89,5,0)</f>
        <v>378.92214285714289</v>
      </c>
      <c r="P59" s="14">
        <f t="shared" si="33"/>
        <v>87.490083555289559</v>
      </c>
      <c r="Q59" s="22">
        <f t="shared" si="53"/>
        <v>812.33462766831974</v>
      </c>
      <c r="R59" s="62">
        <f t="shared" si="0"/>
        <v>1105.6679610016531</v>
      </c>
      <c r="S59" s="62">
        <f ca="1">AVERAGE(OFFSET($R$3,0,0,'Données projet'!$E$9+1,1))-AVERAGE(OFFSET($H$3,0,0,'Données projet'!$E$9+1,1))</f>
        <v>395.89088353191511</v>
      </c>
      <c r="T59" s="62">
        <f t="shared" si="34"/>
        <v>322.63468857063492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12.074255339169536</v>
      </c>
      <c r="AA59" s="23">
        <f>EXP(-LN(2)/25)*AA58+(1-EXP(-LN(2)/25))/(LN(2)/25)*Calculateur!V59*Calculateur!X59*VLOOKUP('Données projet'!$B$9,Paramètres!$A$1:$I$89,3,0)*0.475*44/12</f>
        <v>6.2933400047487176</v>
      </c>
      <c r="AB59" s="23">
        <f>EXP(-LN(2)/2)*AB58+(1-EXP(-LN(2)/2))/(LN(2)/2)*V59*Y59*VLOOKUP('Données projet'!$B$9,Paramètres!$A$1:$I$89,3,0)*0.475*44/12</f>
        <v>4.1110321344616803E-4</v>
      </c>
      <c r="AC59" s="24">
        <f t="shared" si="3"/>
        <v>18.368006447131698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>
        <f>VLOOKUP(A59,'Données projet'!$A$61:$I$81,2,0)</f>
        <v>552</v>
      </c>
      <c r="AG59" s="13">
        <f>VLOOKUP(A59,'Données projet'!$A$61:$I$81,9,0)</f>
        <v>30.285714285714285</v>
      </c>
      <c r="AH59" s="13">
        <f t="array" ref="AH59">INDEX(AG:AG,MIN(IF(ISNUMBER(AG59:AG255),ROW(AG59:AG255),"")))</f>
        <v>30.285714285714285</v>
      </c>
      <c r="AI59" s="14">
        <f>IF('Données projet'!$A$62&gt;35,AI58+AH59-AQ58,IF(A59&lt;'Données projet'!$A$62,$AF$205^A59,IF(A59='Données projet'!$A$62,'Données projet'!$B$62,AI58+AH59-AQ58)))</f>
        <v>552</v>
      </c>
      <c r="AJ59" s="14">
        <f>AI59*VLOOKUP('Données projet'!$B$10,Paramètres!$A$1:$I$89,3,0)*VLOOKUP('Données projet'!$B$10,Paramètres!$A$1:$I$89,5,0)</f>
        <v>272.68799999999999</v>
      </c>
      <c r="AK59" s="14">
        <f t="shared" si="35"/>
        <v>65.419401413587593</v>
      </c>
      <c r="AL59" s="22">
        <f t="shared" si="4"/>
        <v>588.87039079533167</v>
      </c>
      <c r="AM59" s="62">
        <f t="shared" si="5"/>
        <v>882.20372412866504</v>
      </c>
      <c r="AN59" s="62">
        <f ca="1">AVERAGE(OFFSET($AM$3,0,0,'Données projet'!$E$10+1,1))-AVERAGE(OFFSET($H$3,0,0,'Données projet'!$E$10+1,1))</f>
        <v>476.32595424393645</v>
      </c>
      <c r="AO59" s="62">
        <f t="shared" si="36"/>
        <v>36.065940605453875</v>
      </c>
      <c r="AP59" s="16">
        <f>IF(ISNA(VLOOKUP(A59,'Données projet'!$A$61:$I$81,3,0)),0,VLOOKUP(A59,'Données projet'!$A$61:$I$81,3,0))</f>
        <v>4</v>
      </c>
      <c r="AQ59" s="16">
        <f>IF(ISNA(VLOOKUP(A59,'Données projet'!$A$61:$I$81,4,0)),0,VLOOKUP(A59,'Données projet'!$A$61:$I$81,4,0))</f>
        <v>100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5.2</v>
      </c>
      <c r="BD59" s="13">
        <f>IF('Données projet'!$A$88&gt;35,BD58+BC59-BL58,IF(A59&lt;'Données projet'!$A$88,$BA$205^A59,IF(A59='Données projet'!$A$88,'Données projet'!$B$88,BD58+BC59-BL58)))</f>
        <v>224.19999999999993</v>
      </c>
      <c r="BE59" s="14">
        <f>BD59*VLOOKUP('Données projet'!$B$11,Paramètres!$A$1:$I$89,3,0)*VLOOKUP('Données projet'!$B$11,Paramètres!$A$1:$I$89,5,0)</f>
        <v>178.37351999999996</v>
      </c>
      <c r="BF59" s="14">
        <f t="shared" si="37"/>
        <v>44.960133388294842</v>
      </c>
      <c r="BG59" s="22">
        <f t="shared" si="7"/>
        <v>388.97277965128006</v>
      </c>
      <c r="BH59" s="62">
        <f t="shared" si="8"/>
        <v>682.30611298461338</v>
      </c>
      <c r="BI59" s="62">
        <f ca="1">AVERAGE(OFFSET($BH$3,0,0,'Données projet'!$E$11+1,1))-AVERAGE(OFFSET($H$3,0,0,'Données projet'!$E$11+1,1))</f>
        <v>225.02590532358471</v>
      </c>
      <c r="BJ59" s="62">
        <f t="shared" si="38"/>
        <v>224.00025638752402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1.5598523766018801</v>
      </c>
      <c r="BQ59" s="23">
        <f>EXP(-LN(2)/25)*BQ58+(1-EXP(-LN(2)/25))/(LN(2)/25)*Calculateur!BL59*Calculateur!BN59*VLOOKUP('Données projet'!$B$11,Paramètres!$A$1:$I$89,3,0)*0.475*44/12</f>
        <v>4.4244585643907479</v>
      </c>
      <c r="BR59" s="23">
        <f>EXP(-LN(2)/2)*BR58+(1-EXP(-LN(2)/2))/(LN(2)/2)*BL59*BO59*VLOOKUP('Données projet'!$B$11,Paramètres!$A$1:$I$89,3,0)*0.475*44/12</f>
        <v>1.8833380136256033E-3</v>
      </c>
      <c r="BS59" s="24">
        <f t="shared" si="9"/>
        <v>5.9861942790062539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20.142857142857142</v>
      </c>
      <c r="N60" s="14">
        <f>IF('Données projet'!$A$36&gt;35,N59+M60-V59,IF(A60&lt;'Données projet'!$A$36,$K$205^A60,IF(A60='Données projet'!$A$36,'Données projet'!$B$36,N59+M60-V59)))</f>
        <v>698</v>
      </c>
      <c r="O60" s="14">
        <f>N60*VLOOKUP('Données projet'!$B$9,Paramètres!$A$1:$I$89,3,0)*VLOOKUP('Données projet'!$B$9,Paramètres!$A$1:$I$89,5,0)</f>
        <v>390.18200000000002</v>
      </c>
      <c r="P60" s="14">
        <f t="shared" si="33"/>
        <v>89.783346685339609</v>
      </c>
      <c r="Q60" s="22">
        <f t="shared" si="53"/>
        <v>835.93964547696658</v>
      </c>
      <c r="R60" s="62">
        <f t="shared" si="0"/>
        <v>1129.2729788102999</v>
      </c>
      <c r="S60" s="62">
        <f ca="1">AVERAGE(OFFSET($R$3,0,0,'Données projet'!$E$9+1,1))-AVERAGE(OFFSET($H$3,0,0,'Données projet'!$E$9+1,1))</f>
        <v>395.89088353191511</v>
      </c>
      <c r="T60" s="62">
        <f t="shared" si="34"/>
        <v>322.63468857063492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11.837486556536987</v>
      </c>
      <c r="AA60" s="23">
        <f>EXP(-LN(2)/25)*AA59+(1-EXP(-LN(2)/25))/(LN(2)/25)*Calculateur!V60*Calculateur!X60*VLOOKUP('Données projet'!$B$9,Paramètres!$A$1:$I$89,3,0)*0.475*44/12</f>
        <v>6.1212482913664967</v>
      </c>
      <c r="AB60" s="23">
        <f>EXP(-LN(2)/2)*AB59+(1-EXP(-LN(2)/2))/(LN(2)/2)*V60*Y60*VLOOKUP('Données projet'!$B$9,Paramètres!$A$1:$I$89,3,0)*0.475*44/12</f>
        <v>2.9069386999536608E-4</v>
      </c>
      <c r="AC60" s="24">
        <f t="shared" si="3"/>
        <v>17.959025541773482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27.666666666666668</v>
      </c>
      <c r="AI60" s="14">
        <f>IF('Données projet'!$A$62&gt;35,AI59+AH60-AQ59,IF(A60&lt;'Données projet'!$A$62,$AF$205^A60,IF(A60='Données projet'!$A$62,'Données projet'!$B$62,AI59+AH60-AQ59)))</f>
        <v>479.66666666666663</v>
      </c>
      <c r="AJ60" s="14">
        <f>AI60*VLOOKUP('Données projet'!$B$10,Paramètres!$A$1:$I$89,3,0)*VLOOKUP('Données projet'!$B$10,Paramètres!$A$1:$I$89,5,0)</f>
        <v>236.9553333333333</v>
      </c>
      <c r="AK60" s="14">
        <f t="shared" si="35"/>
        <v>57.783969655816506</v>
      </c>
      <c r="AL60" s="22">
        <f t="shared" si="4"/>
        <v>513.33761937276915</v>
      </c>
      <c r="AM60" s="62">
        <f t="shared" si="5"/>
        <v>806.67095270610253</v>
      </c>
      <c r="AN60" s="62">
        <f ca="1">AVERAGE(OFFSET($AM$3,0,0,'Données projet'!$E$10+1,1))-AVERAGE(OFFSET($H$3,0,0,'Données projet'!$E$10+1,1))</f>
        <v>476.32595424393645</v>
      </c>
      <c r="AO60" s="62">
        <f t="shared" si="36"/>
        <v>36.065940605453875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5.2</v>
      </c>
      <c r="BD60" s="13">
        <f>IF('Données projet'!$A$88&gt;35,BD59+BC60-BL59,IF(A60&lt;'Données projet'!$A$88,$BA$205^A60,IF(A60='Données projet'!$A$88,'Données projet'!$B$88,BD59+BC60-BL59)))</f>
        <v>229.39999999999992</v>
      </c>
      <c r="BE60" s="14">
        <f>BD60*VLOOKUP('Données projet'!$B$11,Paramètres!$A$1:$I$89,3,0)*VLOOKUP('Données projet'!$B$11,Paramètres!$A$1:$I$89,5,0)</f>
        <v>182.51063999999994</v>
      </c>
      <c r="BF60" s="14">
        <f t="shared" si="37"/>
        <v>45.880306213791414</v>
      </c>
      <c r="BG60" s="22">
        <f t="shared" si="7"/>
        <v>397.78089798901993</v>
      </c>
      <c r="BH60" s="62">
        <f t="shared" si="8"/>
        <v>691.11423132235325</v>
      </c>
      <c r="BI60" s="62">
        <f ca="1">AVERAGE(OFFSET($BH$3,0,0,'Données projet'!$E$11+1,1))-AVERAGE(OFFSET($H$3,0,0,'Données projet'!$E$11+1,1))</f>
        <v>225.02590532358471</v>
      </c>
      <c r="BJ60" s="62">
        <f t="shared" si="38"/>
        <v>224.00025638752402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1.5292646229127225</v>
      </c>
      <c r="BQ60" s="23">
        <f>EXP(-LN(2)/25)*BQ59+(1-EXP(-LN(2)/25))/(LN(2)/25)*Calculateur!BL60*Calculateur!BN60*VLOOKUP('Données projet'!$B$11,Paramètres!$A$1:$I$89,3,0)*0.475*44/12</f>
        <v>4.3034715122753191</v>
      </c>
      <c r="BR60" s="23">
        <f>EXP(-LN(2)/2)*BR59+(1-EXP(-LN(2)/2))/(LN(2)/2)*BL60*BO60*VLOOKUP('Données projet'!$B$11,Paramètres!$A$1:$I$89,3,0)*0.475*44/12</f>
        <v>1.3317210807010666E-3</v>
      </c>
      <c r="BS60" s="24">
        <f t="shared" si="9"/>
        <v>5.8340678562687431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20.142857142857142</v>
      </c>
      <c r="N61" s="14">
        <f>IF('Données projet'!$A$36&gt;35,N60+M61-V60,IF(A61&lt;'Données projet'!$A$36,$K$205^A61,IF(A61='Données projet'!$A$36,'Données projet'!$B$36,N60+M61-V60)))</f>
        <v>718.14285714285711</v>
      </c>
      <c r="O61" s="14">
        <f>N61*VLOOKUP('Données projet'!$B$9,Paramètres!$A$1:$I$89,3,0)*VLOOKUP('Données projet'!$B$9,Paramètres!$A$1:$I$89,5,0)</f>
        <v>401.44185714285715</v>
      </c>
      <c r="P61" s="14">
        <f t="shared" si="33"/>
        <v>92.068918386863871</v>
      </c>
      <c r="Q61" s="22">
        <f t="shared" si="53"/>
        <v>859.53126738093079</v>
      </c>
      <c r="R61" s="62">
        <f t="shared" si="0"/>
        <v>1152.864600714264</v>
      </c>
      <c r="S61" s="62">
        <f ca="1">AVERAGE(OFFSET($R$3,0,0,'Données projet'!$E$9+1,1))-AVERAGE(OFFSET($H$3,0,0,'Données projet'!$E$9+1,1))</f>
        <v>395.89088353191511</v>
      </c>
      <c r="T61" s="62">
        <f t="shared" si="34"/>
        <v>322.63468857063492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11.605360665317166</v>
      </c>
      <c r="AA61" s="23">
        <f>EXP(-LN(2)/25)*AA60+(1-EXP(-LN(2)/25))/(LN(2)/25)*Calculateur!V61*Calculateur!X61*VLOOKUP('Données projet'!$B$9,Paramètres!$A$1:$I$89,3,0)*0.475*44/12</f>
        <v>5.9538624349366227</v>
      </c>
      <c r="AB61" s="23">
        <f>EXP(-LN(2)/2)*AB60+(1-EXP(-LN(2)/2))/(LN(2)/2)*V61*Y61*VLOOKUP('Données projet'!$B$9,Paramètres!$A$1:$I$89,3,0)*0.475*44/12</f>
        <v>2.0555160672308402E-4</v>
      </c>
      <c r="AC61" s="24">
        <f t="shared" si="3"/>
        <v>17.559428651860511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27.666666666666668</v>
      </c>
      <c r="AI61" s="14">
        <f>IF('Données projet'!$A$62&gt;35,AI60+AH61-AQ60,IF(A61&lt;'Données projet'!$A$62,$AF$205^A61,IF(A61='Données projet'!$A$62,'Données projet'!$B$62,AI60+AH61-AQ60)))</f>
        <v>507.33333333333331</v>
      </c>
      <c r="AJ61" s="14">
        <f>AI61*VLOOKUP('Données projet'!$B$10,Paramètres!$A$1:$I$89,3,0)*VLOOKUP('Données projet'!$B$10,Paramètres!$A$1:$I$89,5,0)</f>
        <v>250.62266666666667</v>
      </c>
      <c r="AK61" s="14">
        <f t="shared" si="35"/>
        <v>60.719256237592234</v>
      </c>
      <c r="AL61" s="22">
        <f t="shared" si="4"/>
        <v>542.25384905825092</v>
      </c>
      <c r="AM61" s="62">
        <f t="shared" si="5"/>
        <v>835.58718239158429</v>
      </c>
      <c r="AN61" s="62">
        <f ca="1">AVERAGE(OFFSET($AM$3,0,0,'Données projet'!$E$10+1,1))-AVERAGE(OFFSET($H$3,0,0,'Données projet'!$E$10+1,1))</f>
        <v>476.32595424393645</v>
      </c>
      <c r="AO61" s="62">
        <f t="shared" si="36"/>
        <v>36.065940605453875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5.2</v>
      </c>
      <c r="BD61" s="13">
        <f>IF('Données projet'!$A$88&gt;35,BD60+BC61-BL60,IF(A61&lt;'Données projet'!$A$88,$BA$205^A61,IF(A61='Données projet'!$A$88,'Données projet'!$B$88,BD60+BC61-BL60)))</f>
        <v>234.59999999999991</v>
      </c>
      <c r="BE61" s="14">
        <f>BD61*VLOOKUP('Données projet'!$B$11,Paramètres!$A$1:$I$89,3,0)*VLOOKUP('Données projet'!$B$11,Paramètres!$A$1:$I$89,5,0)</f>
        <v>186.64775999999995</v>
      </c>
      <c r="BF61" s="14">
        <f t="shared" si="37"/>
        <v>46.79805411155214</v>
      </c>
      <c r="BG61" s="22">
        <f t="shared" si="7"/>
        <v>406.58479291095324</v>
      </c>
      <c r="BH61" s="62">
        <f t="shared" si="8"/>
        <v>699.91812624428655</v>
      </c>
      <c r="BI61" s="62">
        <f ca="1">AVERAGE(OFFSET($BH$3,0,0,'Données projet'!$E$11+1,1))-AVERAGE(OFFSET($H$3,0,0,'Données projet'!$E$11+1,1))</f>
        <v>225.02590532358471</v>
      </c>
      <c r="BJ61" s="62">
        <f t="shared" si="38"/>
        <v>224.00025638752402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1.4992766764167216</v>
      </c>
      <c r="BQ61" s="23">
        <f>EXP(-LN(2)/25)*BQ60+(1-EXP(-LN(2)/25))/(LN(2)/25)*Calculateur!BL61*Calculateur!BN61*VLOOKUP('Données projet'!$B$11,Paramètres!$A$1:$I$89,3,0)*0.475*44/12</f>
        <v>4.1857928574624195</v>
      </c>
      <c r="BR61" s="23">
        <f>EXP(-LN(2)/2)*BR60+(1-EXP(-LN(2)/2))/(LN(2)/2)*BL61*BO61*VLOOKUP('Données projet'!$B$11,Paramètres!$A$1:$I$89,3,0)*0.475*44/12</f>
        <v>9.4166900681280175E-4</v>
      </c>
      <c r="BS61" s="24">
        <f t="shared" si="9"/>
        <v>5.686011202885954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20.142857142857142</v>
      </c>
      <c r="N62" s="14">
        <f>IF('Données projet'!$A$36&gt;35,N61+M62-V61,IF(A62&lt;'Données projet'!$A$36,$K$205^A62,IF(A62='Données projet'!$A$36,'Données projet'!$B$36,N61+M62-V61)))</f>
        <v>738.28571428571422</v>
      </c>
      <c r="O62" s="14">
        <f>N62*VLOOKUP('Données projet'!$B$9,Paramètres!$A$1:$I$89,3,0)*VLOOKUP('Données projet'!$B$9,Paramètres!$A$1:$I$89,5,0)</f>
        <v>412.70171428571427</v>
      </c>
      <c r="P62" s="14">
        <f t="shared" si="33"/>
        <v>94.347039175704438</v>
      </c>
      <c r="Q62" s="22">
        <f t="shared" si="53"/>
        <v>883.10991227863758</v>
      </c>
      <c r="R62" s="62">
        <f t="shared" si="0"/>
        <v>1176.443245611971</v>
      </c>
      <c r="S62" s="62">
        <f ca="1">AVERAGE(OFFSET($R$3,0,0,'Données projet'!$E$9+1,1))-AVERAGE(OFFSET($H$3,0,0,'Données projet'!$E$9+1,1))</f>
        <v>395.89088353191511</v>
      </c>
      <c r="T62" s="62">
        <f t="shared" si="34"/>
        <v>322.63468857063492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11.377786621241352</v>
      </c>
      <c r="AA62" s="23">
        <f>EXP(-LN(2)/25)*AA61+(1-EXP(-LN(2)/25))/(LN(2)/25)*Calculateur!V62*Calculateur!X62*VLOOKUP('Données projet'!$B$9,Paramètres!$A$1:$I$89,3,0)*0.475*44/12</f>
        <v>5.7910537535532631</v>
      </c>
      <c r="AB62" s="23">
        <f>EXP(-LN(2)/2)*AB61+(1-EXP(-LN(2)/2))/(LN(2)/2)*V62*Y62*VLOOKUP('Données projet'!$B$9,Paramètres!$A$1:$I$89,3,0)*0.475*44/12</f>
        <v>1.4534693499768304E-4</v>
      </c>
      <c r="AC62" s="24">
        <f t="shared" si="3"/>
        <v>17.168985721729612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27.666666666666668</v>
      </c>
      <c r="AI62" s="14">
        <f>IF('Données projet'!$A$62&gt;35,AI61+AH62-AQ61,IF(A62&lt;'Données projet'!$A$62,$AF$205^A62,IF(A62='Données projet'!$A$62,'Données projet'!$B$62,AI61+AH62-AQ61)))</f>
        <v>535</v>
      </c>
      <c r="AJ62" s="14">
        <f>AI62*VLOOKUP('Données projet'!$B$10,Paramètres!$A$1:$I$89,3,0)*VLOOKUP('Données projet'!$B$10,Paramètres!$A$1:$I$89,5,0)</f>
        <v>264.29000000000002</v>
      </c>
      <c r="AK62" s="14">
        <f t="shared" si="35"/>
        <v>63.635959787975715</v>
      </c>
      <c r="AL62" s="22">
        <f t="shared" si="4"/>
        <v>571.13771329739097</v>
      </c>
      <c r="AM62" s="62">
        <f t="shared" si="5"/>
        <v>864.47104663072423</v>
      </c>
      <c r="AN62" s="62">
        <f ca="1">AVERAGE(OFFSET($AM$3,0,0,'Données projet'!$E$10+1,1))-AVERAGE(OFFSET($H$3,0,0,'Données projet'!$E$10+1,1))</f>
        <v>476.32595424393645</v>
      </c>
      <c r="AO62" s="62">
        <f t="shared" si="36"/>
        <v>36.065940605453875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5.2</v>
      </c>
      <c r="BD62" s="13">
        <f>IF('Données projet'!$A$88&gt;35,BD61+BC62-BL61,IF(A62&lt;'Données projet'!$A$88,$BA$205^A62,IF(A62='Données projet'!$A$88,'Données projet'!$B$88,BD61+BC62-BL61)))</f>
        <v>239.7999999999999</v>
      </c>
      <c r="BE62" s="14">
        <f>BD62*VLOOKUP('Données projet'!$B$11,Paramètres!$A$1:$I$89,3,0)*VLOOKUP('Données projet'!$B$11,Paramètres!$A$1:$I$89,5,0)</f>
        <v>190.78487999999993</v>
      </c>
      <c r="BF62" s="14">
        <f t="shared" si="37"/>
        <v>47.713437020051622</v>
      </c>
      <c r="BG62" s="22">
        <f t="shared" si="7"/>
        <v>415.38456880992311</v>
      </c>
      <c r="BH62" s="62">
        <f t="shared" si="8"/>
        <v>708.71790214325642</v>
      </c>
      <c r="BI62" s="62">
        <f ca="1">AVERAGE(OFFSET($BH$3,0,0,'Données projet'!$E$11+1,1))-AVERAGE(OFFSET($H$3,0,0,'Données projet'!$E$11+1,1))</f>
        <v>225.02590532358471</v>
      </c>
      <c r="BJ62" s="62">
        <f t="shared" si="38"/>
        <v>224.00025638752402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1.4698767752606661</v>
      </c>
      <c r="BQ62" s="23">
        <f>EXP(-LN(2)/25)*BQ61+(1-EXP(-LN(2)/25))/(LN(2)/25)*Calculateur!BL62*Calculateur!BN62*VLOOKUP('Données projet'!$B$11,Paramètres!$A$1:$I$89,3,0)*0.475*44/12</f>
        <v>4.07133213165383</v>
      </c>
      <c r="BR62" s="23">
        <f>EXP(-LN(2)/2)*BR61+(1-EXP(-LN(2)/2))/(LN(2)/2)*BL62*BO62*VLOOKUP('Données projet'!$B$11,Paramètres!$A$1:$I$89,3,0)*0.475*44/12</f>
        <v>6.6586054035053341E-4</v>
      </c>
      <c r="BS62" s="24">
        <f t="shared" si="9"/>
        <v>5.5418747674548472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20.142857142857142</v>
      </c>
      <c r="N63" s="14">
        <f>IF('Données projet'!$A$36&gt;35,N62+M63-V62,IF(A63&lt;'Données projet'!$A$36,$K$205^A63,IF(A63='Données projet'!$A$36,'Données projet'!$B$36,N62+M63-V62)))</f>
        <v>758.42857142857133</v>
      </c>
      <c r="O63" s="14">
        <f>N63*VLOOKUP('Données projet'!$B$9,Paramètres!$A$1:$I$89,3,0)*VLOOKUP('Données projet'!$B$9,Paramètres!$A$1:$I$89,5,0)</f>
        <v>423.9615714285714</v>
      </c>
      <c r="P63" s="14">
        <f t="shared" si="33"/>
        <v>96.617935696585178</v>
      </c>
      <c r="Q63" s="22">
        <f t="shared" si="53"/>
        <v>906.67597490964772</v>
      </c>
      <c r="R63" s="62">
        <f t="shared" si="0"/>
        <v>1200.009308242981</v>
      </c>
      <c r="S63" s="62">
        <f ca="1">AVERAGE(OFFSET($R$3,0,0,'Données projet'!$E$9+1,1))-AVERAGE(OFFSET($H$3,0,0,'Données projet'!$E$9+1,1))</f>
        <v>395.89088353191511</v>
      </c>
      <c r="T63" s="62">
        <f t="shared" si="34"/>
        <v>322.63468857063492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11.154675165363404</v>
      </c>
      <c r="AA63" s="23">
        <f>EXP(-LN(2)/25)*AA62+(1-EXP(-LN(2)/25))/(LN(2)/25)*Calculateur!V63*Calculateur!X63*VLOOKUP('Données projet'!$B$9,Paramètres!$A$1:$I$89,3,0)*0.475*44/12</f>
        <v>5.632697084124068</v>
      </c>
      <c r="AB63" s="23">
        <f>EXP(-LN(2)/2)*AB62+(1-EXP(-LN(2)/2))/(LN(2)/2)*V63*Y63*VLOOKUP('Données projet'!$B$9,Paramètres!$A$1:$I$89,3,0)*0.475*44/12</f>
        <v>1.0277580336154201E-4</v>
      </c>
      <c r="AC63" s="24">
        <f t="shared" si="3"/>
        <v>16.787475025290835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27.666666666666668</v>
      </c>
      <c r="AI63" s="14">
        <f>IF('Données projet'!$A$62&gt;35,AI62+AH63-AQ62,IF(A63&lt;'Données projet'!$A$62,$AF$205^A63,IF(A63='Données projet'!$A$62,'Données projet'!$B$62,AI62+AH63-AQ62)))</f>
        <v>562.66666666666663</v>
      </c>
      <c r="AJ63" s="14">
        <f>AI63*VLOOKUP('Données projet'!$B$10,Paramètres!$A$1:$I$89,3,0)*VLOOKUP('Données projet'!$B$10,Paramètres!$A$1:$I$89,5,0)</f>
        <v>277.95733333333334</v>
      </c>
      <c r="AK63" s="14">
        <f t="shared" si="35"/>
        <v>66.535150913762976</v>
      </c>
      <c r="AL63" s="22">
        <f t="shared" si="4"/>
        <v>599.99107673035928</v>
      </c>
      <c r="AM63" s="62">
        <f t="shared" si="5"/>
        <v>893.32441006369254</v>
      </c>
      <c r="AN63" s="62">
        <f ca="1">AVERAGE(OFFSET($AM$3,0,0,'Données projet'!$E$10+1,1))-AVERAGE(OFFSET($H$3,0,0,'Données projet'!$E$10+1,1))</f>
        <v>476.32595424393645</v>
      </c>
      <c r="AO63" s="62">
        <f t="shared" si="36"/>
        <v>36.065940605453875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245</v>
      </c>
      <c r="BB63" s="13">
        <f>VLOOKUP(A63,'Données projet'!$A$87:$I$107,9,0)</f>
        <v>5.2</v>
      </c>
      <c r="BC63" s="13">
        <f t="array" ref="BC63">INDEX(BB:BB,MIN(IF(ISNUMBER(BB63:BB259),ROW(BB63:BB259),"")))</f>
        <v>5.2</v>
      </c>
      <c r="BD63" s="13">
        <f>IF('Données projet'!$A$88&gt;35,BD62+BC63-BL62,IF(A63&lt;'Données projet'!$A$88,$BA$205^A63,IF(A63='Données projet'!$A$88,'Données projet'!$B$88,BD62+BC63-BL62)))</f>
        <v>244.99999999999989</v>
      </c>
      <c r="BE63" s="14">
        <f>BD63*VLOOKUP('Données projet'!$B$11,Paramètres!$A$1:$I$89,3,0)*VLOOKUP('Données projet'!$B$11,Paramètres!$A$1:$I$89,5,0)</f>
        <v>194.92199999999991</v>
      </c>
      <c r="BF63" s="14">
        <f t="shared" si="37"/>
        <v>48.626512129794925</v>
      </c>
      <c r="BG63" s="22">
        <f t="shared" si="7"/>
        <v>424.18032529272597</v>
      </c>
      <c r="BH63" s="62">
        <f t="shared" si="8"/>
        <v>717.51365862605928</v>
      </c>
      <c r="BI63" s="62">
        <f ca="1">AVERAGE(OFFSET($BH$3,0,0,'Données projet'!$E$11+1,1))-AVERAGE(OFFSET($H$3,0,0,'Données projet'!$E$11+1,1))</f>
        <v>225.02590532358471</v>
      </c>
      <c r="BJ63" s="62">
        <f t="shared" si="38"/>
        <v>224.00025638752402</v>
      </c>
      <c r="BK63" s="16">
        <f>IF(ISNA(VLOOKUP(A63,'Données projet'!$A$87:$I$107,3,0)),0,VLOOKUP(A63,'Données projet'!$A$87:$I$107,3,0))</f>
        <v>10</v>
      </c>
      <c r="BL63" s="16">
        <f>IF(ISNA(VLOOKUP(A63,'Données projet'!$A$87:$I$107,4,0)),0,VLOOKUP(A63,'Données projet'!$A$87:$I$107,4,0))</f>
        <v>12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1.4410533882341117</v>
      </c>
      <c r="BQ63" s="23">
        <f>EXP(-LN(2)/25)*BQ62+(1-EXP(-LN(2)/25))/(LN(2)/25)*Calculateur!BL63*Calculateur!BN63*VLOOKUP('Données projet'!$B$11,Paramètres!$A$1:$I$89,3,0)*0.475*44/12</f>
        <v>3.9600013404117043</v>
      </c>
      <c r="BR63" s="23">
        <f>EXP(-LN(2)/2)*BR62+(1-EXP(-LN(2)/2))/(LN(2)/2)*BL63*BO63*VLOOKUP('Données projet'!$B$11,Paramètres!$A$1:$I$89,3,0)*0.475*44/12</f>
        <v>4.7083450340640098E-4</v>
      </c>
      <c r="BS63" s="24">
        <f t="shared" si="9"/>
        <v>5.4015255631492227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20.142857142857142</v>
      </c>
      <c r="N64" s="14">
        <f>IF('Données projet'!$A$36&gt;35,N63+M64-V63,IF(A64&lt;'Données projet'!$A$36,$K$205^A64,IF(A64='Données projet'!$A$36,'Données projet'!$B$36,N63+M64-V63)))</f>
        <v>778.57142857142844</v>
      </c>
      <c r="O64" s="14">
        <f>N64*VLOOKUP('Données projet'!$B$9,Paramètres!$A$1:$I$89,3,0)*VLOOKUP('Données projet'!$B$9,Paramètres!$A$1:$I$89,5,0)</f>
        <v>435.22142857142848</v>
      </c>
      <c r="P64" s="14">
        <f t="shared" si="33"/>
        <v>98.881821869961911</v>
      </c>
      <c r="Q64" s="22">
        <f t="shared" si="53"/>
        <v>930.22982785208831</v>
      </c>
      <c r="R64" s="62">
        <f t="shared" si="0"/>
        <v>1223.5631611854217</v>
      </c>
      <c r="S64" s="62">
        <f ca="1">AVERAGE(OFFSET($R$3,0,0,'Données projet'!$E$9+1,1))-AVERAGE(OFFSET($H$3,0,0,'Données projet'!$E$9+1,1))</f>
        <v>395.89088353191511</v>
      </c>
      <c r="T64" s="62">
        <f t="shared" si="34"/>
        <v>322.63468857063492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10.93593878905067</v>
      </c>
      <c r="AA64" s="23">
        <f>EXP(-LN(2)/25)*AA63+(1-EXP(-LN(2)/25))/(LN(2)/25)*Calculateur!V64*Calculateur!X64*VLOOKUP('Données projet'!$B$9,Paramètres!$A$1:$I$89,3,0)*0.475*44/12</f>
        <v>5.4786706861480292</v>
      </c>
      <c r="AB64" s="23">
        <f>EXP(-LN(2)/2)*AB63+(1-EXP(-LN(2)/2))/(LN(2)/2)*V64*Y64*VLOOKUP('Données projet'!$B$9,Paramètres!$A$1:$I$89,3,0)*0.475*44/12</f>
        <v>7.2673467498841519E-5</v>
      </c>
      <c r="AC64" s="24">
        <f t="shared" si="3"/>
        <v>16.414682148666198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27.666666666666668</v>
      </c>
      <c r="AI64" s="14">
        <f>IF('Données projet'!$A$62&gt;35,AI63+AH64-AQ63,IF(A64&lt;'Données projet'!$A$62,$AF$205^A64,IF(A64='Données projet'!$A$62,'Données projet'!$B$62,AI63+AH64-AQ63)))</f>
        <v>590.33333333333326</v>
      </c>
      <c r="AJ64" s="14">
        <f>AI64*VLOOKUP('Données projet'!$B$10,Paramètres!$A$1:$I$89,3,0)*VLOOKUP('Données projet'!$B$10,Paramètres!$A$1:$I$89,5,0)</f>
        <v>291.62466666666666</v>
      </c>
      <c r="AK64" s="14">
        <f t="shared" si="35"/>
        <v>69.417788988964944</v>
      </c>
      <c r="AL64" s="22">
        <f t="shared" si="4"/>
        <v>628.81561026689167</v>
      </c>
      <c r="AM64" s="62">
        <f t="shared" si="5"/>
        <v>922.14894360022504</v>
      </c>
      <c r="AN64" s="62">
        <f ca="1">AVERAGE(OFFSET($AM$3,0,0,'Données projet'!$E$10+1,1))-AVERAGE(OFFSET($H$3,0,0,'Données projet'!$E$10+1,1))</f>
        <v>476.32595424393645</v>
      </c>
      <c r="AO64" s="62">
        <f t="shared" si="36"/>
        <v>36.065940605453875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4.2</v>
      </c>
      <c r="BD64" s="13">
        <f>IF('Données projet'!$A$88&gt;35,BD63+BC64-BL63,IF(A64&lt;'Données projet'!$A$88,$BA$205^A64,IF(A64='Données projet'!$A$88,'Données projet'!$B$88,BD63+BC64-BL63)))</f>
        <v>237.19999999999987</v>
      </c>
      <c r="BE64" s="14">
        <f>BD64*VLOOKUP('Données projet'!$B$11,Paramètres!$A$1:$I$89,3,0)*VLOOKUP('Données projet'!$B$11,Paramètres!$A$1:$I$89,5,0)</f>
        <v>188.71631999999991</v>
      </c>
      <c r="BF64" s="14">
        <f t="shared" si="37"/>
        <v>47.256037552855531</v>
      </c>
      <c r="BG64" s="22">
        <f t="shared" si="7"/>
        <v>410.98518940455659</v>
      </c>
      <c r="BH64" s="62">
        <f t="shared" si="8"/>
        <v>704.31852273788991</v>
      </c>
      <c r="BI64" s="62">
        <f ca="1">AVERAGE(OFFSET($BH$3,0,0,'Données projet'!$E$11+1,1))-AVERAGE(OFFSET($H$3,0,0,'Données projet'!$E$11+1,1))</f>
        <v>225.02590532358471</v>
      </c>
      <c r="BJ64" s="62">
        <f t="shared" si="38"/>
        <v>224.00025638752402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1.4127952102466179</v>
      </c>
      <c r="BQ64" s="23">
        <f>EXP(-LN(2)/25)*BQ63+(1-EXP(-LN(2)/25))/(LN(2)/25)*Calculateur!BL64*Calculateur!BN64*VLOOKUP('Données projet'!$B$11,Paramètres!$A$1:$I$89,3,0)*0.475*44/12</f>
        <v>3.8517148955107263</v>
      </c>
      <c r="BR64" s="23">
        <f>EXP(-LN(2)/2)*BR63+(1-EXP(-LN(2)/2))/(LN(2)/2)*BL64*BO64*VLOOKUP('Données projet'!$B$11,Paramètres!$A$1:$I$89,3,0)*0.475*44/12</f>
        <v>3.3293027017526676E-4</v>
      </c>
      <c r="BS64" s="24">
        <f t="shared" si="9"/>
        <v>5.2648430360275187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20.142857142857142</v>
      </c>
      <c r="N65" s="14">
        <f>IF('Données projet'!$A$36&gt;35,N64+M65-V64,IF(A65&lt;'Données projet'!$A$36,$K$205^A65,IF(A65='Données projet'!$A$36,'Données projet'!$B$36,N64+M65-V64)))</f>
        <v>798.71428571428555</v>
      </c>
      <c r="O65" s="14">
        <f>N65*VLOOKUP('Données projet'!$B$9,Paramètres!$A$1:$I$89,3,0)*VLOOKUP('Données projet'!$B$9,Paramètres!$A$1:$I$89,5,0)</f>
        <v>446.48128571428566</v>
      </c>
      <c r="P65" s="14">
        <f t="shared" si="33"/>
        <v>101.13889991684886</v>
      </c>
      <c r="Q65" s="22">
        <f t="shared" si="53"/>
        <v>953.7718233075592</v>
      </c>
      <c r="R65" s="62">
        <f t="shared" si="0"/>
        <v>1247.1051566408926</v>
      </c>
      <c r="S65" s="62">
        <f ca="1">AVERAGE(OFFSET($R$3,0,0,'Données projet'!$E$9+1,1))-AVERAGE(OFFSET($H$3,0,0,'Données projet'!$E$9+1,1))</f>
        <v>395.89088353191511</v>
      </c>
      <c r="T65" s="62">
        <f t="shared" si="34"/>
        <v>322.63468857063492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10.721491699661414</v>
      </c>
      <c r="AA65" s="23">
        <f>EXP(-LN(2)/25)*AA64+(1-EXP(-LN(2)/25))/(LN(2)/25)*Calculateur!V65*Calculateur!X65*VLOOKUP('Données projet'!$B$9,Paramètres!$A$1:$I$89,3,0)*0.475*44/12</f>
        <v>5.328856148124542</v>
      </c>
      <c r="AB65" s="23">
        <f>EXP(-LN(2)/2)*AB64+(1-EXP(-LN(2)/2))/(LN(2)/2)*V65*Y65*VLOOKUP('Données projet'!$B$9,Paramètres!$A$1:$I$89,3,0)*0.475*44/12</f>
        <v>5.1387901680771004E-5</v>
      </c>
      <c r="AC65" s="24">
        <f t="shared" si="3"/>
        <v>16.050399235687639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27.666666666666668</v>
      </c>
      <c r="AI65" s="14">
        <f>IF('Données projet'!$A$62&gt;35,AI64+AH65-AQ64,IF(A65&lt;'Données projet'!$A$62,$AF$205^A65,IF(A65='Données projet'!$A$62,'Données projet'!$B$62,AI64+AH65-AQ64)))</f>
        <v>617.99999999999989</v>
      </c>
      <c r="AJ65" s="14">
        <f>AI65*VLOOKUP('Données projet'!$B$10,Paramètres!$A$1:$I$89,3,0)*VLOOKUP('Données projet'!$B$10,Paramètres!$A$1:$I$89,5,0)</f>
        <v>305.29199999999992</v>
      </c>
      <c r="AK65" s="14">
        <f t="shared" si="35"/>
        <v>72.284738381385452</v>
      </c>
      <c r="AL65" s="22">
        <f t="shared" si="4"/>
        <v>657.6128193475796</v>
      </c>
      <c r="AM65" s="62">
        <f t="shared" si="5"/>
        <v>950.94615268091297</v>
      </c>
      <c r="AN65" s="62">
        <f ca="1">AVERAGE(OFFSET($AM$3,0,0,'Données projet'!$E$10+1,1))-AVERAGE(OFFSET($H$3,0,0,'Données projet'!$E$10+1,1))</f>
        <v>476.32595424393645</v>
      </c>
      <c r="AO65" s="62">
        <f t="shared" si="36"/>
        <v>36.065940605453875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4.2</v>
      </c>
      <c r="BD65" s="13">
        <f>IF('Données projet'!$A$88&gt;35,BD64+BC65-BL64,IF(A65&lt;'Données projet'!$A$88,$BA$205^A65,IF(A65='Données projet'!$A$88,'Données projet'!$B$88,BD64+BC65-BL64)))</f>
        <v>241.39999999999986</v>
      </c>
      <c r="BE65" s="14">
        <f>BD65*VLOOKUP('Données projet'!$B$11,Paramètres!$A$1:$I$89,3,0)*VLOOKUP('Données projet'!$B$11,Paramètres!$A$1:$I$89,5,0)</f>
        <v>192.05783999999991</v>
      </c>
      <c r="BF65" s="14">
        <f t="shared" si="37"/>
        <v>47.994626423840657</v>
      </c>
      <c r="BG65" s="22">
        <f t="shared" si="7"/>
        <v>418.0913790215223</v>
      </c>
      <c r="BH65" s="62">
        <f t="shared" si="8"/>
        <v>711.42471235485561</v>
      </c>
      <c r="BI65" s="62">
        <f ca="1">AVERAGE(OFFSET($BH$3,0,0,'Données projet'!$E$11+1,1))-AVERAGE(OFFSET($H$3,0,0,'Données projet'!$E$11+1,1))</f>
        <v>225.02590532358471</v>
      </c>
      <c r="BJ65" s="62">
        <f t="shared" si="38"/>
        <v>224.00025638752402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1.3850911578936722</v>
      </c>
      <c r="BQ65" s="23">
        <f>EXP(-LN(2)/25)*BQ64+(1-EXP(-LN(2)/25))/(LN(2)/25)*Calculateur!BL65*Calculateur!BN65*VLOOKUP('Données projet'!$B$11,Paramètres!$A$1:$I$89,3,0)*0.475*44/12</f>
        <v>3.7463895491401025</v>
      </c>
      <c r="BR65" s="23">
        <f>EXP(-LN(2)/2)*BR64+(1-EXP(-LN(2)/2))/(LN(2)/2)*BL65*BO65*VLOOKUP('Données projet'!$B$11,Paramètres!$A$1:$I$89,3,0)*0.475*44/12</f>
        <v>2.3541725170320052E-4</v>
      </c>
      <c r="BS65" s="24">
        <f t="shared" si="9"/>
        <v>5.1317161242854779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20.142857142857142</v>
      </c>
      <c r="N66" s="14">
        <f>IF('Données projet'!$A$36&gt;35,N65+M66-V65,IF(A66&lt;'Données projet'!$A$36,$K$205^A66,IF(A66='Données projet'!$A$36,'Données projet'!$B$36,N65+M66-V65)))</f>
        <v>818.85714285714266</v>
      </c>
      <c r="O66" s="14">
        <f>N66*VLOOKUP('Données projet'!$B$9,Paramètres!$A$1:$I$89,3,0)*VLOOKUP('Données projet'!$B$9,Paramètres!$A$1:$I$89,5,0)</f>
        <v>457.74114285714273</v>
      </c>
      <c r="P66" s="14">
        <f t="shared" si="33"/>
        <v>103.38936127735549</v>
      </c>
      <c r="Q66" s="22">
        <f t="shared" si="53"/>
        <v>977.30229470091763</v>
      </c>
      <c r="R66" s="62">
        <f t="shared" si="0"/>
        <v>1270.6356280342509</v>
      </c>
      <c r="S66" s="62">
        <f ca="1">AVERAGE(OFFSET($R$3,0,0,'Données projet'!$E$9+1,1))-AVERAGE(OFFSET($H$3,0,0,'Données projet'!$E$9+1,1))</f>
        <v>395.89088353191511</v>
      </c>
      <c r="T66" s="62">
        <f t="shared" si="34"/>
        <v>322.63468857063492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10.511249786895272</v>
      </c>
      <c r="AA66" s="23">
        <f>EXP(-LN(2)/25)*AA65+(1-EXP(-LN(2)/25))/(LN(2)/25)*Calculateur!V66*Calculateur!X66*VLOOKUP('Données projet'!$B$9,Paramètres!$A$1:$I$89,3,0)*0.475*44/12</f>
        <v>5.1831382965217108</v>
      </c>
      <c r="AB66" s="23">
        <f>EXP(-LN(2)/2)*AB65+(1-EXP(-LN(2)/2))/(LN(2)/2)*V66*Y66*VLOOKUP('Données projet'!$B$9,Paramètres!$A$1:$I$89,3,0)*0.475*44/12</f>
        <v>3.6336733749420759E-5</v>
      </c>
      <c r="AC66" s="24">
        <f t="shared" si="3"/>
        <v>15.694424420150732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27.666666666666668</v>
      </c>
      <c r="AI66" s="14">
        <f>IF('Données projet'!$A$62&gt;35,AI65+AH66-AQ65,IF(A66&lt;'Données projet'!$A$62,$AF$205^A66,IF(A66='Données projet'!$A$62,'Données projet'!$B$62,AI65+AH66-AQ65)))</f>
        <v>645.66666666666652</v>
      </c>
      <c r="AJ66" s="14">
        <f>AI66*VLOOKUP('Données projet'!$B$10,Paramètres!$A$1:$I$89,3,0)*VLOOKUP('Données projet'!$B$10,Paramètres!$A$1:$I$89,5,0)</f>
        <v>318.95933333333323</v>
      </c>
      <c r="AK66" s="14">
        <f t="shared" si="35"/>
        <v>75.136781691385366</v>
      </c>
      <c r="AL66" s="22">
        <f t="shared" si="4"/>
        <v>686.38406700138478</v>
      </c>
      <c r="AM66" s="62">
        <f t="shared" si="5"/>
        <v>979.71740033471815</v>
      </c>
      <c r="AN66" s="62">
        <f ca="1">AVERAGE(OFFSET($AM$3,0,0,'Données projet'!$E$10+1,1))-AVERAGE(OFFSET($H$3,0,0,'Données projet'!$E$10+1,1))</f>
        <v>476.32595424393645</v>
      </c>
      <c r="AO66" s="62">
        <f t="shared" si="36"/>
        <v>36.065940605453875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4.2</v>
      </c>
      <c r="BD66" s="13">
        <f>IF('Données projet'!$A$88&gt;35,BD65+BC66-BL65,IF(A66&lt;'Données projet'!$A$88,$BA$205^A66,IF(A66='Données projet'!$A$88,'Données projet'!$B$88,BD65+BC66-BL65)))</f>
        <v>245.59999999999985</v>
      </c>
      <c r="BE66" s="14">
        <f>BD66*VLOOKUP('Données projet'!$B$11,Paramètres!$A$1:$I$89,3,0)*VLOOKUP('Données projet'!$B$11,Paramètres!$A$1:$I$89,5,0)</f>
        <v>195.39935999999989</v>
      </c>
      <c r="BF66" s="14">
        <f t="shared" si="37"/>
        <v>48.731720948569951</v>
      </c>
      <c r="BG66" s="22">
        <f t="shared" si="7"/>
        <v>425.19496598542577</v>
      </c>
      <c r="BH66" s="62">
        <f t="shared" si="8"/>
        <v>718.52829931875908</v>
      </c>
      <c r="BI66" s="62">
        <f ca="1">AVERAGE(OFFSET($BH$3,0,0,'Données projet'!$E$11+1,1))-AVERAGE(OFFSET($H$3,0,0,'Données projet'!$E$11+1,1))</f>
        <v>225.02590532358471</v>
      </c>
      <c r="BJ66" s="62">
        <f t="shared" si="38"/>
        <v>224.00025638752402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1.3579303651095644</v>
      </c>
      <c r="BQ66" s="23">
        <f>EXP(-LN(2)/25)*BQ65+(1-EXP(-LN(2)/25))/(LN(2)/25)*Calculateur!BL66*Calculateur!BN66*VLOOKUP('Données projet'!$B$11,Paramètres!$A$1:$I$89,3,0)*0.475*44/12</f>
        <v>3.6439443299048024</v>
      </c>
      <c r="BR66" s="23">
        <f>EXP(-LN(2)/2)*BR65+(1-EXP(-LN(2)/2))/(LN(2)/2)*BL66*BO66*VLOOKUP('Données projet'!$B$11,Paramètres!$A$1:$I$89,3,0)*0.475*44/12</f>
        <v>1.6646513508763341E-4</v>
      </c>
      <c r="BS66" s="24">
        <f t="shared" si="9"/>
        <v>5.0020411601494548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>
        <f>VLOOKUP(A67,'Données projet'!$A$35:$I$55,2,0)</f>
        <v>839</v>
      </c>
      <c r="L67" s="13">
        <f>VLOOKUP(A67,'Données projet'!$A$35:$I$55,9,0)</f>
        <v>20.142857142857142</v>
      </c>
      <c r="M67" s="13">
        <f t="array" ref="M67">INDEX(L:L,MIN(IF(ISNUMBER(L67:L263),ROW(L67:L263),"")))</f>
        <v>20.142857142857142</v>
      </c>
      <c r="N67" s="14">
        <f>IF('Données projet'!$A$36&gt;35,N66+M67-V66,IF(A67&lt;'Données projet'!$A$36,$K$205^A67,IF(A67='Données projet'!$A$36,'Données projet'!$B$36,N66+M67-V66)))</f>
        <v>838.99999999999977</v>
      </c>
      <c r="O67" s="14">
        <f>N67*VLOOKUP('Données projet'!$B$9,Paramètres!$A$1:$I$89,3,0)*VLOOKUP('Données projet'!$B$9,Paramètres!$A$1:$I$89,5,0)</f>
        <v>469.00099999999992</v>
      </c>
      <c r="P67" s="14">
        <f t="shared" si="33"/>
        <v>105.63338743629909</v>
      </c>
      <c r="Q67" s="22">
        <f t="shared" ref="Q67:Q98" si="54">(O67+P67)*0.475*44/12</f>
        <v>1000.8215581182208</v>
      </c>
      <c r="R67" s="62">
        <f t="shared" ref="R67:R130" si="55">Q67+(I67+J67)*44/12</f>
        <v>1294.154891451554</v>
      </c>
      <c r="S67" s="62">
        <f ca="1">AVERAGE(OFFSET($R$3,0,0,'Données projet'!$E$9+1,1))-AVERAGE(OFFSET($H$3,0,0,'Données projet'!$E$9+1,1))</f>
        <v>395.89088353191511</v>
      </c>
      <c r="T67" s="62">
        <f t="shared" si="34"/>
        <v>322.63468857063492</v>
      </c>
      <c r="U67" s="16">
        <f>IF(ISNA(VLOOKUP(A67,'Données projet'!$A$35:$I$55,3,0)),0,VLOOKUP(A67,'Données projet'!$A$35:$I$55,3,0))</f>
        <v>6</v>
      </c>
      <c r="V67" s="16">
        <f>IF(ISNA(VLOOKUP(A67,'Données projet'!$A$35:$I$55,4,0)),0,VLOOKUP(A67,'Données projet'!$A$35:$I$55,4,0))</f>
        <v>333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10.30513058980357</v>
      </c>
      <c r="AA67" s="23">
        <f>EXP(-LN(2)/25)*AA66+(1-EXP(-LN(2)/25))/(LN(2)/25)*Calculateur!V67*Calculateur!X67*VLOOKUP('Données projet'!$B$9,Paramètres!$A$1:$I$89,3,0)*0.475*44/12</f>
        <v>5.0414051072339277</v>
      </c>
      <c r="AB67" s="23">
        <f>EXP(-LN(2)/2)*AB66+(1-EXP(-LN(2)/2))/(LN(2)/2)*V67*Y67*VLOOKUP('Données projet'!$B$9,Paramètres!$A$1:$I$89,3,0)*0.475*44/12</f>
        <v>2.5693950840385502E-5</v>
      </c>
      <c r="AC67" s="24">
        <f t="shared" si="3"/>
        <v>15.346561390988338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27.666666666666668</v>
      </c>
      <c r="AI67" s="14">
        <f>IF('Données projet'!$A$62&gt;35,AI66+AH67-AQ66,IF(A67&lt;'Données projet'!$A$62,$AF$205^A67,IF(A67='Données projet'!$A$62,'Données projet'!$B$62,AI66+AH67-AQ66)))</f>
        <v>673.33333333333314</v>
      </c>
      <c r="AJ67" s="14">
        <f>AI67*VLOOKUP('Données projet'!$B$10,Paramètres!$A$1:$I$89,3,0)*VLOOKUP('Données projet'!$B$10,Paramètres!$A$1:$I$89,5,0)</f>
        <v>332.62666666666655</v>
      </c>
      <c r="AK67" s="14">
        <f t="shared" si="35"/>
        <v>77.974630657539592</v>
      </c>
      <c r="AL67" s="22">
        <f t="shared" si="4"/>
        <v>715.13059283965902</v>
      </c>
      <c r="AM67" s="62">
        <f t="shared" si="5"/>
        <v>1008.4639261729924</v>
      </c>
      <c r="AN67" s="62">
        <f ca="1">AVERAGE(OFFSET($AM$3,0,0,'Données projet'!$E$10+1,1))-AVERAGE(OFFSET($H$3,0,0,'Données projet'!$E$10+1,1))</f>
        <v>476.32595424393645</v>
      </c>
      <c r="AO67" s="62">
        <f t="shared" si="36"/>
        <v>36.065940605453875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4.2</v>
      </c>
      <c r="BD67" s="13">
        <f>IF('Données projet'!$A$88&gt;35,BD66+BC67-BL66,IF(A67&lt;'Données projet'!$A$88,$BA$205^A67,IF(A67='Données projet'!$A$88,'Données projet'!$B$88,BD66+BC67-BL66)))</f>
        <v>249.79999999999984</v>
      </c>
      <c r="BE67" s="14">
        <f>BD67*VLOOKUP('Données projet'!$B$11,Paramètres!$A$1:$I$89,3,0)*VLOOKUP('Données projet'!$B$11,Paramètres!$A$1:$I$89,5,0)</f>
        <v>198.74087999999989</v>
      </c>
      <c r="BF67" s="14">
        <f t="shared" si="37"/>
        <v>49.467349630825595</v>
      </c>
      <c r="BG67" s="22">
        <f t="shared" si="7"/>
        <v>432.29599994035442</v>
      </c>
      <c r="BH67" s="62">
        <f t="shared" si="8"/>
        <v>725.62933327368773</v>
      </c>
      <c r="BI67" s="62">
        <f ca="1">AVERAGE(OFFSET($BH$3,0,0,'Données projet'!$E$11+1,1))-AVERAGE(OFFSET($H$3,0,0,'Données projet'!$E$11+1,1))</f>
        <v>225.02590532358471</v>
      </c>
      <c r="BJ67" s="62">
        <f t="shared" si="38"/>
        <v>224.00025638752402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1.3313021789055051</v>
      </c>
      <c r="BQ67" s="23">
        <f>EXP(-LN(2)/25)*BQ66+(1-EXP(-LN(2)/25))/(LN(2)/25)*Calculateur!BL67*Calculateur!BN67*VLOOKUP('Données projet'!$B$11,Paramètres!$A$1:$I$89,3,0)*0.475*44/12</f>
        <v>3.5443004805768514</v>
      </c>
      <c r="BR67" s="23">
        <f>EXP(-LN(2)/2)*BR66+(1-EXP(-LN(2)/2))/(LN(2)/2)*BL67*BO67*VLOOKUP('Données projet'!$B$11,Paramètres!$A$1:$I$89,3,0)*0.475*44/12</f>
        <v>1.1770862585160027E-4</v>
      </c>
      <c r="BS67" s="24">
        <f t="shared" si="9"/>
        <v>4.8757203681082082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20</v>
      </c>
      <c r="N68" s="14">
        <f>IF('Données projet'!$A$36&gt;35,N67+M68-V67,IF(A68&lt;'Données projet'!$A$36,$K$205^A68,IF(A68='Données projet'!$A$36,'Données projet'!$B$36,N67+M68-V67)))</f>
        <v>525.99999999999977</v>
      </c>
      <c r="O68" s="14">
        <f>N68*VLOOKUP('Données projet'!$B$9,Paramètres!$A$1:$I$89,3,0)*VLOOKUP('Données projet'!$B$9,Paramètres!$A$1:$I$89,5,0)</f>
        <v>294.03399999999988</v>
      </c>
      <c r="P68" s="14">
        <f t="shared" si="33"/>
        <v>69.924302323873434</v>
      </c>
      <c r="Q68" s="22">
        <f t="shared" si="54"/>
        <v>633.89404321407949</v>
      </c>
      <c r="R68" s="62">
        <f t="shared" si="55"/>
        <v>927.22737654741286</v>
      </c>
      <c r="S68" s="62">
        <f ca="1">AVERAGE(OFFSET($R$3,0,0,'Données projet'!$E$9+1,1))-AVERAGE(OFFSET($H$3,0,0,'Données projet'!$E$9+1,1))</f>
        <v>395.89088353191511</v>
      </c>
      <c r="T68" s="62">
        <f t="shared" si="34"/>
        <v>322.63468857063492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10.103053264446539</v>
      </c>
      <c r="AA68" s="23">
        <f>EXP(-LN(2)/25)*AA67+(1-EXP(-LN(2)/25))/(LN(2)/25)*Calculateur!V68*Calculateur!X68*VLOOKUP('Données projet'!$B$9,Paramètres!$A$1:$I$89,3,0)*0.475*44/12</f>
        <v>4.9035476194606433</v>
      </c>
      <c r="AB68" s="23">
        <f>EXP(-LN(2)/2)*AB67+(1-EXP(-LN(2)/2))/(LN(2)/2)*V68*Y68*VLOOKUP('Données projet'!$B$9,Paramètres!$A$1:$I$89,3,0)*0.475*44/12</f>
        <v>1.816836687471038E-5</v>
      </c>
      <c r="AC68" s="24">
        <f t="shared" ref="AC68:AC131" si="57">SUM(Z68:AB68)</f>
        <v>15.006619052274058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701</v>
      </c>
      <c r="AG68" s="13">
        <f>VLOOKUP(A68,'Données projet'!$A$61:$I$81,9,0)</f>
        <v>27.666666666666668</v>
      </c>
      <c r="AH68" s="13">
        <f t="array" ref="AH68">INDEX(AG:AG,MIN(IF(ISNUMBER(AG68:AG264),ROW(AG68:AG264),"")))</f>
        <v>27.666666666666668</v>
      </c>
      <c r="AI68" s="14">
        <f>IF('Données projet'!$A$62&gt;35,AI67+AH68-AQ67,IF(A68&lt;'Données projet'!$A$62,$AF$205^A68,IF(A68='Données projet'!$A$62,'Données projet'!$B$62,AI67+AH68-AQ67)))</f>
        <v>700.99999999999977</v>
      </c>
      <c r="AJ68" s="14">
        <f>AI68*VLOOKUP('Données projet'!$B$10,Paramètres!$A$1:$I$89,3,0)*VLOOKUP('Données projet'!$B$10,Paramètres!$A$1:$I$89,5,0)</f>
        <v>346.29399999999993</v>
      </c>
      <c r="AK68" s="14">
        <f t="shared" si="35"/>
        <v>80.798935219391822</v>
      </c>
      <c r="AL68" s="22">
        <f t="shared" ref="AL68:AL131" si="58">(AJ68+AK68)*0.475*44/12</f>
        <v>743.8535288404405</v>
      </c>
      <c r="AM68" s="62">
        <f t="shared" ref="AM68:AM131" si="59">AL68+(AD68+AE68)*44/12</f>
        <v>1037.1868621737738</v>
      </c>
      <c r="AN68" s="62">
        <f ca="1">AVERAGE(OFFSET($AM$3,0,0,'Données projet'!$E$10+1,1))-AVERAGE(OFFSET($H$3,0,0,'Données projet'!$E$10+1,1))</f>
        <v>476.32595424393645</v>
      </c>
      <c r="AO68" s="62">
        <f t="shared" si="36"/>
        <v>36.065940605453875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100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254</v>
      </c>
      <c r="BB68" s="13">
        <f>VLOOKUP(A68,'Données projet'!$A$87:$I$107,9,0)</f>
        <v>4.2</v>
      </c>
      <c r="BC68" s="13">
        <f t="array" ref="BC68">INDEX(BB:BB,MIN(IF(ISNUMBER(BB68:BB264),ROW(BB68:BB264),"")))</f>
        <v>4.2</v>
      </c>
      <c r="BD68" s="13">
        <f>IF('Données projet'!$A$88&gt;35,BD67+BC68-BL67,IF(A68&lt;'Données projet'!$A$88,$BA$205^A68,IF(A68='Données projet'!$A$88,'Données projet'!$B$88,BD67+BC68-BL67)))</f>
        <v>253.99999999999983</v>
      </c>
      <c r="BE68" s="14">
        <f>BD68*VLOOKUP('Données projet'!$B$11,Paramètres!$A$1:$I$89,3,0)*VLOOKUP('Données projet'!$B$11,Paramètres!$A$1:$I$89,5,0)</f>
        <v>202.08239999999986</v>
      </c>
      <c r="BF68" s="14">
        <f t="shared" si="37"/>
        <v>50.201539960960616</v>
      </c>
      <c r="BG68" s="22">
        <f t="shared" ref="BG68:BG131" si="61">(BE68+BF68)*0.475*44/12</f>
        <v>439.39452876533943</v>
      </c>
      <c r="BH68" s="62">
        <f t="shared" ref="BH68:BH131" si="62">BG68+(AY68+AZ68)*44/12</f>
        <v>732.72786209867274</v>
      </c>
      <c r="BI68" s="62">
        <f ca="1">AVERAGE(OFFSET($BH$3,0,0,'Données projet'!$E$11+1,1))-AVERAGE(OFFSET($H$3,0,0,'Données projet'!$E$11+1,1))</f>
        <v>225.02590532358471</v>
      </c>
      <c r="BJ68" s="62">
        <f t="shared" si="38"/>
        <v>224.00025638752402</v>
      </c>
      <c r="BK68" s="16">
        <f>IF(ISNA(VLOOKUP(A68,'Données projet'!$A$87:$I$107,3,0)),0,VLOOKUP(A68,'Données projet'!$A$87:$I$107,3,0))</f>
        <v>11</v>
      </c>
      <c r="BL68" s="16">
        <f>IF(ISNA(VLOOKUP(A68,'Données projet'!$A$87:$I$107,4,0)),0,VLOOKUP(A68,'Données projet'!$A$87:$I$107,4,0))</f>
        <v>11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1.3051961551913176</v>
      </c>
      <c r="BQ68" s="23">
        <f>EXP(-LN(2)/25)*BQ67+(1-EXP(-LN(2)/25))/(LN(2)/25)*Calculateur!BL68*Calculateur!BN68*VLOOKUP('Données projet'!$B$11,Paramètres!$A$1:$I$89,3,0)*0.475*44/12</f>
        <v>3.4473813975488157</v>
      </c>
      <c r="BR68" s="23">
        <f>EXP(-LN(2)/2)*BR67+(1-EXP(-LN(2)/2))/(LN(2)/2)*BL68*BO68*VLOOKUP('Données projet'!$B$11,Paramètres!$A$1:$I$89,3,0)*0.475*44/12</f>
        <v>8.3232567543816717E-5</v>
      </c>
      <c r="BS68" s="24">
        <f t="shared" ref="BS68:BS131" si="63">SUM(BP68:BR68)</f>
        <v>4.7526607853076772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20</v>
      </c>
      <c r="N69" s="14">
        <f>IF('Données projet'!$A$36&gt;35,N68+M69-V68,IF(A69&lt;'Données projet'!$A$36,$K$205^A69,IF(A69='Données projet'!$A$36,'Données projet'!$B$36,N68+M69-V68)))</f>
        <v>545.99999999999977</v>
      </c>
      <c r="O69" s="14">
        <f>N69*VLOOKUP('Données projet'!$B$9,Paramètres!$A$1:$I$89,3,0)*VLOOKUP('Données projet'!$B$9,Paramètres!$A$1:$I$89,5,0)</f>
        <v>305.21399999999988</v>
      </c>
      <c r="P69" s="14">
        <f t="shared" ref="P69:P132" si="87">EXP(-1.0587+0.8836*LN(O69)+0.284)</f>
        <v>72.268419591231265</v>
      </c>
      <c r="Q69" s="22">
        <f t="shared" si="54"/>
        <v>657.44854745472765</v>
      </c>
      <c r="R69" s="62">
        <f t="shared" si="55"/>
        <v>950.78188078806102</v>
      </c>
      <c r="S69" s="62">
        <f ca="1">AVERAGE(OFFSET($R$3,0,0,'Données projet'!$E$9+1,1))-AVERAGE(OFFSET($H$3,0,0,'Données projet'!$E$9+1,1))</f>
        <v>395.89088353191511</v>
      </c>
      <c r="T69" s="62">
        <f t="shared" ref="T69:T132" si="88">$T$3</f>
        <v>322.63468857063492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9.9049385521847615</v>
      </c>
      <c r="AA69" s="23">
        <f>EXP(-LN(2)/25)*AA68+(1-EXP(-LN(2)/25))/(LN(2)/25)*Calculateur!V69*Calculateur!X69*VLOOKUP('Données projet'!$B$9,Paramètres!$A$1:$I$89,3,0)*0.475*44/12</f>
        <v>4.7694598519401303</v>
      </c>
      <c r="AB69" s="23">
        <f>EXP(-LN(2)/2)*AB68+(1-EXP(-LN(2)/2))/(LN(2)/2)*V69*Y69*VLOOKUP('Données projet'!$B$9,Paramètres!$A$1:$I$89,3,0)*0.475*44/12</f>
        <v>1.2846975420192751E-5</v>
      </c>
      <c r="AC69" s="24">
        <f t="shared" si="57"/>
        <v>14.674411251100311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23.222222222222221</v>
      </c>
      <c r="AI69" s="14">
        <f>IF('Données projet'!$A$62&gt;35,AI68+AH69-AQ68,IF(A69&lt;'Données projet'!$A$62,$AF$205^A69,IF(A69='Données projet'!$A$62,'Données projet'!$B$62,AI68+AH69-AQ68)))</f>
        <v>624.22222222222194</v>
      </c>
      <c r="AJ69" s="14">
        <f>AI69*VLOOKUP('Données projet'!$B$10,Paramètres!$A$1:$I$89,3,0)*VLOOKUP('Données projet'!$B$10,Paramètres!$A$1:$I$89,5,0)</f>
        <v>308.36577777777762</v>
      </c>
      <c r="AK69" s="14">
        <f t="shared" ref="AK69:AK132" si="89">EXP(-1.0587+0.8836*LN(AJ69)+0.284)</f>
        <v>72.927434609869522</v>
      </c>
      <c r="AL69" s="22">
        <f t="shared" si="58"/>
        <v>664.08567824181875</v>
      </c>
      <c r="AM69" s="62">
        <f t="shared" si="59"/>
        <v>957.41901157515213</v>
      </c>
      <c r="AN69" s="62">
        <f ca="1">AVERAGE(OFFSET($AM$3,0,0,'Données projet'!$E$10+1,1))-AVERAGE(OFFSET($H$3,0,0,'Données projet'!$E$10+1,1))</f>
        <v>476.32595424393645</v>
      </c>
      <c r="AO69" s="62">
        <f t="shared" ref="AO69:AO132" si="90">$AO$3</f>
        <v>36.065940605453875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3.8</v>
      </c>
      <c r="BD69" s="13">
        <f>IF('Données projet'!$A$88&gt;35,BD68+BC69-BL68,IF(A69&lt;'Données projet'!$A$88,$BA$205^A69,IF(A69='Données projet'!$A$88,'Données projet'!$B$88,BD68+BC69-BL68)))</f>
        <v>246.79999999999984</v>
      </c>
      <c r="BE69" s="14">
        <f>BD69*VLOOKUP('Données projet'!$B$11,Paramètres!$A$1:$I$89,3,0)*VLOOKUP('Données projet'!$B$11,Paramètres!$A$1:$I$89,5,0)</f>
        <v>196.3540799999999</v>
      </c>
      <c r="BF69" s="14">
        <f t="shared" ref="BF69:BF132" si="91">EXP(-1.0587+0.8836*LN(BE69)+0.284)</f>
        <v>48.942048927099528</v>
      </c>
      <c r="BG69" s="22">
        <f t="shared" si="61"/>
        <v>427.22409121469815</v>
      </c>
      <c r="BH69" s="62">
        <f t="shared" si="62"/>
        <v>720.55742454803146</v>
      </c>
      <c r="BI69" s="62">
        <f ca="1">AVERAGE(OFFSET($BH$3,0,0,'Données projet'!$E$11+1,1))-AVERAGE(OFFSET($H$3,0,0,'Données projet'!$E$11+1,1))</f>
        <v>225.02590532358471</v>
      </c>
      <c r="BJ69" s="62">
        <f t="shared" ref="BJ69:BJ132" si="92">$BJ$3</f>
        <v>224.00025638752402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1.279602054679063</v>
      </c>
      <c r="BQ69" s="23">
        <f>EXP(-LN(2)/25)*BQ68+(1-EXP(-LN(2)/25))/(LN(2)/25)*Calculateur!BL69*Calculateur!BN69*VLOOKUP('Données projet'!$B$11,Paramètres!$A$1:$I$89,3,0)*0.475*44/12</f>
        <v>3.3531125719429347</v>
      </c>
      <c r="BR69" s="23">
        <f>EXP(-LN(2)/2)*BR68+(1-EXP(-LN(2)/2))/(LN(2)/2)*BL69*BO69*VLOOKUP('Données projet'!$B$11,Paramètres!$A$1:$I$89,3,0)*0.475*44/12</f>
        <v>5.885431292580015E-5</v>
      </c>
      <c r="BS69" s="24">
        <f t="shared" si="63"/>
        <v>4.6327734809349232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>
        <f>VLOOKUP(A70,'Données projet'!$A$35:$I$55,2,0)</f>
        <v>566</v>
      </c>
      <c r="L70" s="13">
        <f>VLOOKUP(A70,'Données projet'!$A$35:$I$55,9,0)</f>
        <v>20</v>
      </c>
      <c r="M70" s="13">
        <f t="array" ref="M70">INDEX(L:L,MIN(IF(ISNUMBER(L70:L266),ROW(L70:L266),"")))</f>
        <v>20</v>
      </c>
      <c r="N70" s="14">
        <f>IF('Données projet'!$A$36&gt;35,N69+M70-V69,IF(A70&lt;'Données projet'!$A$36,$K$205^A70,IF(A70='Données projet'!$A$36,'Données projet'!$B$36,N69+M70-V69)))</f>
        <v>565.99999999999977</v>
      </c>
      <c r="O70" s="14">
        <f>N70*VLOOKUP('Données projet'!$B$9,Paramètres!$A$1:$I$89,3,0)*VLOOKUP('Données projet'!$B$9,Paramètres!$A$1:$I$89,5,0)</f>
        <v>316.39399999999989</v>
      </c>
      <c r="P70" s="14">
        <f t="shared" si="87"/>
        <v>74.602561081494756</v>
      </c>
      <c r="Q70" s="22">
        <f t="shared" si="54"/>
        <v>680.98567721693644</v>
      </c>
      <c r="R70" s="62">
        <f t="shared" si="55"/>
        <v>974.3190105502697</v>
      </c>
      <c r="S70" s="62">
        <f ca="1">AVERAGE(OFFSET($R$3,0,0,'Données projet'!$E$9+1,1))-AVERAGE(OFFSET($H$3,0,0,'Données projet'!$E$9+1,1))</f>
        <v>395.89088353191511</v>
      </c>
      <c r="T70" s="62">
        <f t="shared" si="88"/>
        <v>322.63468857063492</v>
      </c>
      <c r="U70" s="16">
        <f>IF(ISNA(VLOOKUP(A70,'Données projet'!$A$35:$I$55,3,0)),0,VLOOKUP(A70,'Données projet'!$A$35:$I$55,3,0))</f>
        <v>7</v>
      </c>
      <c r="V70" s="16">
        <f>IF(ISNA(VLOOKUP(A70,'Données projet'!$A$35:$I$55,4,0)),0,VLOOKUP(A70,'Données projet'!$A$35:$I$55,4,0))</f>
        <v>184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9.7107087485923955</v>
      </c>
      <c r="AA70" s="23">
        <f>EXP(-LN(2)/25)*AA69+(1-EXP(-LN(2)/25))/(LN(2)/25)*Calculateur!V70*Calculateur!X70*VLOOKUP('Données projet'!$B$9,Paramètres!$A$1:$I$89,3,0)*0.475*44/12</f>
        <v>4.6390387214738347</v>
      </c>
      <c r="AB70" s="23">
        <f>EXP(-LN(2)/2)*AB69+(1-EXP(-LN(2)/2))/(LN(2)/2)*V70*Y70*VLOOKUP('Données projet'!$B$9,Paramètres!$A$1:$I$89,3,0)*0.475*44/12</f>
        <v>9.0841834373551899E-6</v>
      </c>
      <c r="AC70" s="24">
        <f t="shared" si="57"/>
        <v>14.349756554249668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23.222222222222221</v>
      </c>
      <c r="AI70" s="14">
        <f>IF('Données projet'!$A$62&gt;35,AI69+AH70-AQ69,IF(A70&lt;'Données projet'!$A$62,$AF$205^A70,IF(A70='Données projet'!$A$62,'Données projet'!$B$62,AI69+AH70-AQ69)))</f>
        <v>647.44444444444412</v>
      </c>
      <c r="AJ70" s="14">
        <f>AI70*VLOOKUP('Données projet'!$B$10,Paramètres!$A$1:$I$89,3,0)*VLOOKUP('Données projet'!$B$10,Paramètres!$A$1:$I$89,5,0)</f>
        <v>319.83755555555541</v>
      </c>
      <c r="AK70" s="14">
        <f t="shared" si="89"/>
        <v>75.319552938187613</v>
      </c>
      <c r="AL70" s="22">
        <f t="shared" si="58"/>
        <v>688.23196395993557</v>
      </c>
      <c r="AM70" s="62">
        <f t="shared" si="59"/>
        <v>981.56529729326894</v>
      </c>
      <c r="AN70" s="62">
        <f ca="1">AVERAGE(OFFSET($AM$3,0,0,'Données projet'!$E$10+1,1))-AVERAGE(OFFSET($H$3,0,0,'Données projet'!$E$10+1,1))</f>
        <v>476.32595424393645</v>
      </c>
      <c r="AO70" s="62">
        <f t="shared" si="90"/>
        <v>36.065940605453875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3.8</v>
      </c>
      <c r="BD70" s="13">
        <f>IF('Données projet'!$A$88&gt;35,BD69+BC70-BL69,IF(A70&lt;'Données projet'!$A$88,$BA$205^A70,IF(A70='Données projet'!$A$88,'Données projet'!$B$88,BD69+BC70-BL69)))</f>
        <v>250.59999999999985</v>
      </c>
      <c r="BE70" s="14">
        <f>BD70*VLOOKUP('Données projet'!$B$11,Paramètres!$A$1:$I$89,3,0)*VLOOKUP('Données projet'!$B$11,Paramètres!$A$1:$I$89,5,0)</f>
        <v>199.3773599999999</v>
      </c>
      <c r="BF70" s="14">
        <f t="shared" si="91"/>
        <v>49.607305476717762</v>
      </c>
      <c r="BG70" s="22">
        <f t="shared" si="61"/>
        <v>433.64829237194994</v>
      </c>
      <c r="BH70" s="62">
        <f t="shared" si="62"/>
        <v>726.98162570528325</v>
      </c>
      <c r="BI70" s="62">
        <f ca="1">AVERAGE(OFFSET($BH$3,0,0,'Données projet'!$E$11+1,1))-AVERAGE(OFFSET($H$3,0,0,'Données projet'!$E$11+1,1))</f>
        <v>225.02590532358471</v>
      </c>
      <c r="BJ70" s="62">
        <f t="shared" si="92"/>
        <v>224.00025638752402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1.254509838866994</v>
      </c>
      <c r="BQ70" s="23">
        <f>EXP(-LN(2)/25)*BQ69+(1-EXP(-LN(2)/25))/(LN(2)/25)*Calculateur!BL70*Calculateur!BN70*VLOOKUP('Données projet'!$B$11,Paramètres!$A$1:$I$89,3,0)*0.475*44/12</f>
        <v>3.2614215323306288</v>
      </c>
      <c r="BR70" s="23">
        <f>EXP(-LN(2)/2)*BR69+(1-EXP(-LN(2)/2))/(LN(2)/2)*BL70*BO70*VLOOKUP('Données projet'!$B$11,Paramètres!$A$1:$I$89,3,0)*0.475*44/12</f>
        <v>4.1616283771908365E-5</v>
      </c>
      <c r="BS70" s="24">
        <f t="shared" si="63"/>
        <v>4.515972987481395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14</v>
      </c>
      <c r="N71" s="14">
        <f>IF('Données projet'!$A$36&gt;35,N70+M71-V70,IF(A71&lt;'Données projet'!$A$36,$K$205^A71,IF(A71='Données projet'!$A$36,'Données projet'!$B$36,N70+M71-V70)))</f>
        <v>395.99999999999977</v>
      </c>
      <c r="O71" s="14">
        <f>N71*VLOOKUP('Données projet'!$B$9,Paramètres!$A$1:$I$89,3,0)*VLOOKUP('Données projet'!$B$9,Paramètres!$A$1:$I$89,5,0)</f>
        <v>221.36399999999986</v>
      </c>
      <c r="P71" s="14">
        <f t="shared" si="87"/>
        <v>54.411237653200743</v>
      </c>
      <c r="Q71" s="22">
        <f t="shared" si="54"/>
        <v>480.30853891265775</v>
      </c>
      <c r="R71" s="62">
        <f t="shared" si="55"/>
        <v>773.64187224599107</v>
      </c>
      <c r="S71" s="62">
        <f ca="1">AVERAGE(OFFSET($R$3,0,0,'Données projet'!$E$9+1,1))-AVERAGE(OFFSET($H$3,0,0,'Données projet'!$E$9+1,1))</f>
        <v>395.89088353191511</v>
      </c>
      <c r="T71" s="62">
        <f t="shared" si="88"/>
        <v>322.63468857063492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9.5202876729799932</v>
      </c>
      <c r="AA71" s="23">
        <f>EXP(-LN(2)/25)*AA70+(1-EXP(-LN(2)/25))/(LN(2)/25)*Calculateur!V71*Calculateur!X71*VLOOKUP('Données projet'!$B$9,Paramètres!$A$1:$I$89,3,0)*0.475*44/12</f>
        <v>4.5121839636786891</v>
      </c>
      <c r="AB71" s="23">
        <f>EXP(-LN(2)/2)*AB70+(1-EXP(-LN(2)/2))/(LN(2)/2)*V71*Y71*VLOOKUP('Données projet'!$B$9,Paramètres!$A$1:$I$89,3,0)*0.475*44/12</f>
        <v>6.4234877100963755E-6</v>
      </c>
      <c r="AC71" s="24">
        <f t="shared" si="57"/>
        <v>14.032478060146392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23.222222222222221</v>
      </c>
      <c r="AI71" s="14">
        <f>IF('Données projet'!$A$62&gt;35,AI70+AH71-AQ70,IF(A71&lt;'Données projet'!$A$62,$AF$205^A71,IF(A71='Données projet'!$A$62,'Données projet'!$B$62,AI70+AH71-AQ70)))</f>
        <v>670.66666666666629</v>
      </c>
      <c r="AJ71" s="14">
        <f>AI71*VLOOKUP('Données projet'!$B$10,Paramètres!$A$1:$I$89,3,0)*VLOOKUP('Données projet'!$B$10,Paramètres!$A$1:$I$89,5,0)</f>
        <v>331.30933333333314</v>
      </c>
      <c r="AK71" s="14">
        <f t="shared" si="89"/>
        <v>77.701702784907937</v>
      </c>
      <c r="AL71" s="22">
        <f t="shared" si="58"/>
        <v>712.36088790593647</v>
      </c>
      <c r="AM71" s="62">
        <f t="shared" si="59"/>
        <v>1005.6942212392698</v>
      </c>
      <c r="AN71" s="62">
        <f ca="1">AVERAGE(OFFSET($AM$3,0,0,'Données projet'!$E$10+1,1))-AVERAGE(OFFSET($H$3,0,0,'Données projet'!$E$10+1,1))</f>
        <v>476.32595424393645</v>
      </c>
      <c r="AO71" s="62">
        <f t="shared" si="90"/>
        <v>36.065940605453875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3.8</v>
      </c>
      <c r="BD71" s="13">
        <f>IF('Données projet'!$A$88&gt;35,BD70+BC71-BL70,IF(A71&lt;'Données projet'!$A$88,$BA$205^A71,IF(A71='Données projet'!$A$88,'Données projet'!$B$88,BD70+BC71-BL70)))</f>
        <v>254.39999999999986</v>
      </c>
      <c r="BE71" s="14">
        <f>BD71*VLOOKUP('Données projet'!$B$11,Paramètres!$A$1:$I$89,3,0)*VLOOKUP('Données projet'!$B$11,Paramètres!$A$1:$I$89,5,0)</f>
        <v>202.40063999999992</v>
      </c>
      <c r="BF71" s="14">
        <f t="shared" si="91"/>
        <v>50.271388807440687</v>
      </c>
      <c r="BG71" s="22">
        <f t="shared" si="61"/>
        <v>440.070450172959</v>
      </c>
      <c r="BH71" s="62">
        <f t="shared" si="62"/>
        <v>733.40378350629226</v>
      </c>
      <c r="BI71" s="62">
        <f ca="1">AVERAGE(OFFSET($BH$3,0,0,'Données projet'!$E$11+1,1))-AVERAGE(OFFSET($H$3,0,0,'Données projet'!$E$11+1,1))</f>
        <v>225.02590532358471</v>
      </c>
      <c r="BJ71" s="62">
        <f t="shared" si="92"/>
        <v>224.00025638752402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1.229909666102259</v>
      </c>
      <c r="BQ71" s="23">
        <f>EXP(-LN(2)/25)*BQ70+(1-EXP(-LN(2)/25))/(LN(2)/25)*Calculateur!BL71*Calculateur!BN71*VLOOKUP('Données projet'!$B$11,Paramètres!$A$1:$I$89,3,0)*0.475*44/12</f>
        <v>3.1722377890183435</v>
      </c>
      <c r="BR71" s="23">
        <f>EXP(-LN(2)/2)*BR70+(1-EXP(-LN(2)/2))/(LN(2)/2)*BL71*BO71*VLOOKUP('Données projet'!$B$11,Paramètres!$A$1:$I$89,3,0)*0.475*44/12</f>
        <v>2.9427156462900078E-5</v>
      </c>
      <c r="BS71" s="24">
        <f t="shared" si="63"/>
        <v>4.4021768822770655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14</v>
      </c>
      <c r="N72" s="14">
        <f>IF('Données projet'!$A$36&gt;35,N71+M72-V71,IF(A72&lt;'Données projet'!$A$36,$K$205^A72,IF(A72='Données projet'!$A$36,'Données projet'!$B$36,N71+M72-V71)))</f>
        <v>409.99999999999977</v>
      </c>
      <c r="O72" s="14">
        <f>N72*VLOOKUP('Données projet'!$B$9,Paramètres!$A$1:$I$89,3,0)*VLOOKUP('Données projet'!$B$9,Paramètres!$A$1:$I$89,5,0)</f>
        <v>229.18999999999988</v>
      </c>
      <c r="P72" s="14">
        <f t="shared" si="87"/>
        <v>56.107504648403449</v>
      </c>
      <c r="Q72" s="22">
        <f t="shared" si="54"/>
        <v>496.8931539293024</v>
      </c>
      <c r="R72" s="62">
        <f t="shared" si="55"/>
        <v>790.22648726263571</v>
      </c>
      <c r="S72" s="62">
        <f ca="1">AVERAGE(OFFSET($R$3,0,0,'Données projet'!$E$9+1,1))-AVERAGE(OFFSET($H$3,0,0,'Données projet'!$E$9+1,1))</f>
        <v>395.89088353191511</v>
      </c>
      <c r="T72" s="62">
        <f t="shared" si="88"/>
        <v>322.63468857063492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9.3336006385149624</v>
      </c>
      <c r="AA72" s="23">
        <f>EXP(-LN(2)/25)*AA71+(1-EXP(-LN(2)/25))/(LN(2)/25)*Calculateur!V72*Calculateur!X72*VLOOKUP('Données projet'!$B$9,Paramètres!$A$1:$I$89,3,0)*0.475*44/12</f>
        <v>4.3887980559064532</v>
      </c>
      <c r="AB72" s="23">
        <f>EXP(-LN(2)/2)*AB71+(1-EXP(-LN(2)/2))/(LN(2)/2)*V72*Y72*VLOOKUP('Données projet'!$B$9,Paramètres!$A$1:$I$89,3,0)*0.475*44/12</f>
        <v>4.5420917186775949E-6</v>
      </c>
      <c r="AC72" s="24">
        <f t="shared" si="57"/>
        <v>13.722403236513133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23.222222222222221</v>
      </c>
      <c r="AI72" s="14">
        <f>IF('Données projet'!$A$62&gt;35,AI71+AH72-AQ71,IF(A72&lt;'Données projet'!$A$62,$AF$205^A72,IF(A72='Données projet'!$A$62,'Données projet'!$B$62,AI71+AH72-AQ71)))</f>
        <v>693.88888888888846</v>
      </c>
      <c r="AJ72" s="14">
        <f>AI72*VLOOKUP('Données projet'!$B$10,Paramètres!$A$1:$I$89,3,0)*VLOOKUP('Données projet'!$B$10,Paramètres!$A$1:$I$89,5,0)</f>
        <v>342.78111111111093</v>
      </c>
      <c r="AK72" s="14">
        <f t="shared" si="89"/>
        <v>80.074268872373125</v>
      </c>
      <c r="AL72" s="22">
        <f t="shared" si="58"/>
        <v>736.47312013790133</v>
      </c>
      <c r="AM72" s="62">
        <f t="shared" si="59"/>
        <v>1029.8064534712346</v>
      </c>
      <c r="AN72" s="62">
        <f ca="1">AVERAGE(OFFSET($AM$3,0,0,'Données projet'!$E$10+1,1))-AVERAGE(OFFSET($H$3,0,0,'Données projet'!$E$10+1,1))</f>
        <v>476.32595424393645</v>
      </c>
      <c r="AO72" s="62">
        <f t="shared" si="90"/>
        <v>36.065940605453875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3.8</v>
      </c>
      <c r="BD72" s="13">
        <f>IF('Données projet'!$A$88&gt;35,BD71+BC72-BL71,IF(A72&lt;'Données projet'!$A$88,$BA$205^A72,IF(A72='Données projet'!$A$88,'Données projet'!$B$88,BD71+BC72-BL71)))</f>
        <v>258.19999999999987</v>
      </c>
      <c r="BE72" s="14">
        <f>BD72*VLOOKUP('Données projet'!$B$11,Paramètres!$A$1:$I$89,3,0)*VLOOKUP('Données projet'!$B$11,Paramètres!$A$1:$I$89,5,0)</f>
        <v>205.4239199999999</v>
      </c>
      <c r="BF72" s="14">
        <f t="shared" si="91"/>
        <v>50.934318468081216</v>
      </c>
      <c r="BG72" s="22">
        <f t="shared" si="61"/>
        <v>446.49059866524129</v>
      </c>
      <c r="BH72" s="62">
        <f t="shared" si="62"/>
        <v>739.82393199857461</v>
      </c>
      <c r="BI72" s="62">
        <f ca="1">AVERAGE(OFFSET($BH$3,0,0,'Données projet'!$E$11+1,1))-AVERAGE(OFFSET($H$3,0,0,'Données projet'!$E$11+1,1))</f>
        <v>225.02590532358471</v>
      </c>
      <c r="BJ72" s="62">
        <f t="shared" si="92"/>
        <v>224.00025638752402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1.2057918877208169</v>
      </c>
      <c r="BQ72" s="23">
        <f>EXP(-LN(2)/25)*BQ71+(1-EXP(-LN(2)/25))/(LN(2)/25)*Calculateur!BL72*Calculateur!BN72*VLOOKUP('Données projet'!$B$11,Paramètres!$A$1:$I$89,3,0)*0.475*44/12</f>
        <v>3.0854927798569016</v>
      </c>
      <c r="BR72" s="23">
        <f>EXP(-LN(2)/2)*BR71+(1-EXP(-LN(2)/2))/(LN(2)/2)*BL72*BO72*VLOOKUP('Données projet'!$B$11,Paramètres!$A$1:$I$89,3,0)*0.475*44/12</f>
        <v>2.0808141885954186E-5</v>
      </c>
      <c r="BS72" s="24">
        <f t="shared" si="63"/>
        <v>4.2913054757196045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424</v>
      </c>
      <c r="L73" s="13">
        <f>VLOOKUP(A73,'Données projet'!$A$35:$I$55,9,0)</f>
        <v>14</v>
      </c>
      <c r="M73" s="13">
        <f t="array" ref="M73">INDEX(L:L,MIN(IF(ISNUMBER(L73:L269),ROW(L73:L269),"")))</f>
        <v>14</v>
      </c>
      <c r="N73" s="14">
        <f>IF('Données projet'!$A$36&gt;35,N72+M73-V72,IF(A73&lt;'Données projet'!$A$36,$K$205^A73,IF(A73='Données projet'!$A$36,'Données projet'!$B$36,N72+M73-V72)))</f>
        <v>423.99999999999977</v>
      </c>
      <c r="O73" s="14">
        <f>N73*VLOOKUP('Données projet'!$B$9,Paramètres!$A$1:$I$89,3,0)*VLOOKUP('Données projet'!$B$9,Paramètres!$A$1:$I$89,5,0)</f>
        <v>237.01599999999988</v>
      </c>
      <c r="P73" s="14">
        <f t="shared" si="87"/>
        <v>57.797041602125347</v>
      </c>
      <c r="Q73" s="22">
        <f t="shared" si="54"/>
        <v>513.46604745703473</v>
      </c>
      <c r="R73" s="62">
        <f t="shared" si="55"/>
        <v>806.7993807903681</v>
      </c>
      <c r="S73" s="62">
        <f ca="1">AVERAGE(OFFSET($R$3,0,0,'Données projet'!$E$9+1,1))-AVERAGE(OFFSET($H$3,0,0,'Données projet'!$E$9+1,1))</f>
        <v>395.89088353191511</v>
      </c>
      <c r="T73" s="62">
        <f t="shared" si="88"/>
        <v>322.63468857063492</v>
      </c>
      <c r="U73" s="16">
        <f>IF(ISNA(VLOOKUP(A73,'Données projet'!$A$35:$I$55,3,0)),0,VLOOKUP(A73,'Données projet'!$A$35:$I$55,3,0))</f>
        <v>8</v>
      </c>
      <c r="V73" s="16">
        <f>IF(ISNA(VLOOKUP(A73,'Données projet'!$A$35:$I$55,4,0)),0,VLOOKUP(A73,'Données projet'!$A$35:$I$55,4,0))</f>
        <v>424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9.1505744229279422</v>
      </c>
      <c r="AA73" s="23">
        <f>EXP(-LN(2)/25)*AA72+(1-EXP(-LN(2)/25))/(LN(2)/25)*Calculateur!V73*Calculateur!X73*VLOOKUP('Données projet'!$B$9,Paramètres!$A$1:$I$89,3,0)*0.475*44/12</f>
        <v>4.268786142270832</v>
      </c>
      <c r="AB73" s="23">
        <f>EXP(-LN(2)/2)*AB72+(1-EXP(-LN(2)/2))/(LN(2)/2)*V73*Y73*VLOOKUP('Données projet'!$B$9,Paramètres!$A$1:$I$89,3,0)*0.475*44/12</f>
        <v>3.2117438550481878E-6</v>
      </c>
      <c r="AC73" s="24">
        <f t="shared" si="57"/>
        <v>13.41936377694263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23.222222222222221</v>
      </c>
      <c r="AI73" s="14">
        <f>IF('Données projet'!$A$62&gt;35,AI72+AH73-AQ72,IF(A73&lt;'Données projet'!$A$62,$AF$205^A73,IF(A73='Données projet'!$A$62,'Données projet'!$B$62,AI72+AH73-AQ72)))</f>
        <v>717.11111111111063</v>
      </c>
      <c r="AJ73" s="14">
        <f>AI73*VLOOKUP('Données projet'!$B$10,Paramètres!$A$1:$I$89,3,0)*VLOOKUP('Données projet'!$B$10,Paramètres!$A$1:$I$89,5,0)</f>
        <v>354.25288888888866</v>
      </c>
      <c r="AK73" s="14">
        <f t="shared" si="89"/>
        <v>82.437608710954947</v>
      </c>
      <c r="AL73" s="22">
        <f t="shared" si="58"/>
        <v>760.56928331972767</v>
      </c>
      <c r="AM73" s="62">
        <f t="shared" si="59"/>
        <v>1053.9026166530609</v>
      </c>
      <c r="AN73" s="62">
        <f ca="1">AVERAGE(OFFSET($AM$3,0,0,'Données projet'!$E$10+1,1))-AVERAGE(OFFSET($H$3,0,0,'Données projet'!$E$10+1,1))</f>
        <v>476.32595424393645</v>
      </c>
      <c r="AO73" s="62">
        <f t="shared" si="90"/>
        <v>36.065940605453875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262</v>
      </c>
      <c r="BB73" s="13">
        <f>VLOOKUP(A73,'Données projet'!$A$87:$I$107,9,0)</f>
        <v>3.8</v>
      </c>
      <c r="BC73" s="13">
        <f t="array" ref="BC73">INDEX(BB:BB,MIN(IF(ISNUMBER(BB73:BB269),ROW(BB73:BB269),"")))</f>
        <v>3.8</v>
      </c>
      <c r="BD73" s="13">
        <f>IF('Données projet'!$A$88&gt;35,BD72+BC73-BL72,IF(A73&lt;'Données projet'!$A$88,$BA$205^A73,IF(A73='Données projet'!$A$88,'Données projet'!$B$88,BD72+BC73-BL72)))</f>
        <v>261.99999999999989</v>
      </c>
      <c r="BE73" s="14">
        <f>BD73*VLOOKUP('Données projet'!$B$11,Paramètres!$A$1:$I$89,3,0)*VLOOKUP('Données projet'!$B$11,Paramètres!$A$1:$I$89,5,0)</f>
        <v>208.44719999999992</v>
      </c>
      <c r="BF73" s="14">
        <f t="shared" si="91"/>
        <v>51.596113399008644</v>
      </c>
      <c r="BG73" s="22">
        <f t="shared" si="61"/>
        <v>452.90877083660661</v>
      </c>
      <c r="BH73" s="62">
        <f t="shared" si="62"/>
        <v>746.24210416993992</v>
      </c>
      <c r="BI73" s="62">
        <f ca="1">AVERAGE(OFFSET($BH$3,0,0,'Données projet'!$E$11+1,1))-AVERAGE(OFFSET($H$3,0,0,'Données projet'!$E$11+1,1))</f>
        <v>225.02590532358471</v>
      </c>
      <c r="BJ73" s="62">
        <f t="shared" si="92"/>
        <v>224.00025638752402</v>
      </c>
      <c r="BK73" s="16">
        <f>IF(ISNA(VLOOKUP(A73,'Données projet'!$A$87:$I$107,3,0)),0,VLOOKUP(A73,'Données projet'!$A$87:$I$107,3,0))</f>
        <v>12</v>
      </c>
      <c r="BL73" s="16">
        <f>IF(ISNA(VLOOKUP(A73,'Données projet'!$A$87:$I$107,4,0)),0,VLOOKUP(A73,'Données projet'!$A$87:$I$107,4,0))</f>
        <v>10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1.1821470442630426</v>
      </c>
      <c r="BQ73" s="23">
        <f>EXP(-LN(2)/25)*BQ72+(1-EXP(-LN(2)/25))/(LN(2)/25)*Calculateur!BL73*Calculateur!BN73*VLOOKUP('Données projet'!$B$11,Paramètres!$A$1:$I$89,3,0)*0.475*44/12</f>
        <v>3.0011198175327012</v>
      </c>
      <c r="BR73" s="23">
        <f>EXP(-LN(2)/2)*BR72+(1-EXP(-LN(2)/2))/(LN(2)/2)*BL73*BO73*VLOOKUP('Données projet'!$B$11,Paramètres!$A$1:$I$89,3,0)*0.475*44/12</f>
        <v>1.4713578231450043E-5</v>
      </c>
      <c r="BS73" s="24">
        <f t="shared" si="63"/>
        <v>4.1832815753739752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-2.2737367544323206E-13</v>
      </c>
      <c r="O74" s="14">
        <f>N74*VLOOKUP('Données projet'!$B$9,Paramètres!$A$1:$I$89,3,0)*VLOOKUP('Données projet'!$B$9,Paramètres!$A$1:$I$89,5,0)</f>
        <v>-1.2710188457276673E-13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395.89088353191511</v>
      </c>
      <c r="T74" s="62">
        <f t="shared" si="88"/>
        <v>322.63468857063492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8.9711372397936149</v>
      </c>
      <c r="AA74" s="23">
        <f>EXP(-LN(2)/25)*AA73+(1-EXP(-LN(2)/25))/(LN(2)/25)*Calculateur!V74*Calculateur!X74*VLOOKUP('Données projet'!$B$9,Paramètres!$A$1:$I$89,3,0)*0.475*44/12</f>
        <v>4.1520559607247289</v>
      </c>
      <c r="AB74" s="23">
        <f>EXP(-LN(2)/2)*AB73+(1-EXP(-LN(2)/2))/(LN(2)/2)*V74*Y74*VLOOKUP('Données projet'!$B$9,Paramètres!$A$1:$I$89,3,0)*0.475*44/12</f>
        <v>2.2710458593387975E-6</v>
      </c>
      <c r="AC74" s="24">
        <f t="shared" si="57"/>
        <v>13.123195471564204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23.222222222222221</v>
      </c>
      <c r="AI74" s="14">
        <f>IF('Données projet'!$A$62&gt;35,AI73+AH74-AQ73,IF(A74&lt;'Données projet'!$A$62,$AF$205^A74,IF(A74='Données projet'!$A$62,'Données projet'!$B$62,AI73+AH74-AQ73)))</f>
        <v>740.3333333333328</v>
      </c>
      <c r="AJ74" s="14">
        <f>AI74*VLOOKUP('Données projet'!$B$10,Paramètres!$A$1:$I$89,3,0)*VLOOKUP('Données projet'!$B$10,Paramètres!$A$1:$I$89,5,0)</f>
        <v>365.72466666666645</v>
      </c>
      <c r="AK74" s="14">
        <f t="shared" si="89"/>
        <v>84.792055342031162</v>
      </c>
      <c r="AL74" s="22">
        <f t="shared" si="58"/>
        <v>784.64995749848174</v>
      </c>
      <c r="AM74" s="62">
        <f t="shared" si="59"/>
        <v>1077.9832908318151</v>
      </c>
      <c r="AN74" s="62">
        <f ca="1">AVERAGE(OFFSET($AM$3,0,0,'Données projet'!$E$10+1,1))-AVERAGE(OFFSET($H$3,0,0,'Données projet'!$E$10+1,1))</f>
        <v>476.32595424393645</v>
      </c>
      <c r="AO74" s="62">
        <f t="shared" si="90"/>
        <v>36.065940605453875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3.4</v>
      </c>
      <c r="BD74" s="13">
        <f>IF('Données projet'!$A$88&gt;35,BD73+BC74-BL73,IF(A74&lt;'Données projet'!$A$88,$BA$205^A74,IF(A74='Données projet'!$A$88,'Données projet'!$B$88,BD73+BC74-BL73)))</f>
        <v>255.39999999999986</v>
      </c>
      <c r="BE74" s="14">
        <f>BD74*VLOOKUP('Données projet'!$B$11,Paramètres!$A$1:$I$89,3,0)*VLOOKUP('Données projet'!$B$11,Paramètres!$A$1:$I$89,5,0)</f>
        <v>203.1962399999999</v>
      </c>
      <c r="BF74" s="14">
        <f t="shared" si="91"/>
        <v>50.445955049216174</v>
      </c>
      <c r="BG74" s="22">
        <f t="shared" si="61"/>
        <v>441.76015637738465</v>
      </c>
      <c r="BH74" s="62">
        <f t="shared" si="62"/>
        <v>735.0934897107179</v>
      </c>
      <c r="BI74" s="62">
        <f ca="1">AVERAGE(OFFSET($BH$3,0,0,'Données projet'!$E$11+1,1))-AVERAGE(OFFSET($H$3,0,0,'Données projet'!$E$11+1,1))</f>
        <v>225.02590532358471</v>
      </c>
      <c r="BJ74" s="62">
        <f t="shared" si="92"/>
        <v>224.00025638752402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1.1589658617635448</v>
      </c>
      <c r="BQ74" s="23">
        <f>EXP(-LN(2)/25)*BQ73+(1-EXP(-LN(2)/25))/(LN(2)/25)*Calculateur!BL74*Calculateur!BN74*VLOOKUP('Données projet'!$B$11,Paramètres!$A$1:$I$89,3,0)*0.475*44/12</f>
        <v>2.9190540383002372</v>
      </c>
      <c r="BR74" s="23">
        <f>EXP(-LN(2)/2)*BR73+(1-EXP(-LN(2)/2))/(LN(2)/2)*BL74*BO74*VLOOKUP('Données projet'!$B$11,Paramètres!$A$1:$I$89,3,0)*0.475*44/12</f>
        <v>1.0404070942977095E-5</v>
      </c>
      <c r="BS74" s="24">
        <f t="shared" si="63"/>
        <v>4.0780303041347246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-2.2737367544323206E-13</v>
      </c>
      <c r="O75" s="14">
        <f>N75*VLOOKUP('Données projet'!$B$9,Paramètres!$A$1:$I$89,3,0)*VLOOKUP('Données projet'!$B$9,Paramètres!$A$1:$I$89,5,0)</f>
        <v>-1.2710188457276673E-13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395.89088353191511</v>
      </c>
      <c r="T75" s="62">
        <f t="shared" si="88"/>
        <v>322.63468857063492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8.7952187103746784</v>
      </c>
      <c r="AA75" s="23">
        <f>EXP(-LN(2)/25)*AA74+(1-EXP(-LN(2)/25))/(LN(2)/25)*Calculateur!V75*Calculateur!X75*VLOOKUP('Données projet'!$B$9,Paramètres!$A$1:$I$89,3,0)*0.475*44/12</f>
        <v>4.0385177721315779</v>
      </c>
      <c r="AB75" s="23">
        <f>EXP(-LN(2)/2)*AB74+(1-EXP(-LN(2)/2))/(LN(2)/2)*V75*Y75*VLOOKUP('Données projet'!$B$9,Paramètres!$A$1:$I$89,3,0)*0.475*44/12</f>
        <v>1.6058719275240939E-6</v>
      </c>
      <c r="AC75" s="24">
        <f t="shared" si="57"/>
        <v>12.833738088378185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23.222222222222221</v>
      </c>
      <c r="AI75" s="14">
        <f>IF('Données projet'!$A$62&gt;35,AI74+AH75-AQ74,IF(A75&lt;'Données projet'!$A$62,$AF$205^A75,IF(A75='Données projet'!$A$62,'Données projet'!$B$62,AI74+AH75-AQ74)))</f>
        <v>763.55555555555497</v>
      </c>
      <c r="AJ75" s="14">
        <f>AI75*VLOOKUP('Données projet'!$B$10,Paramètres!$A$1:$I$89,3,0)*VLOOKUP('Données projet'!$B$10,Paramètres!$A$1:$I$89,5,0)</f>
        <v>377.19644444444418</v>
      </c>
      <c r="AK75" s="14">
        <f t="shared" si="89"/>
        <v>87.137919727136094</v>
      </c>
      <c r="AL75" s="22">
        <f t="shared" si="58"/>
        <v>808.7156842655022</v>
      </c>
      <c r="AM75" s="62">
        <f t="shared" si="59"/>
        <v>1102.0490175988355</v>
      </c>
      <c r="AN75" s="62">
        <f ca="1">AVERAGE(OFFSET($AM$3,0,0,'Données projet'!$E$10+1,1))-AVERAGE(OFFSET($H$3,0,0,'Données projet'!$E$10+1,1))</f>
        <v>476.32595424393645</v>
      </c>
      <c r="AO75" s="62">
        <f t="shared" si="90"/>
        <v>36.065940605453875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3.4</v>
      </c>
      <c r="BD75" s="13">
        <f>IF('Données projet'!$A$88&gt;35,BD74+BC75-BL74,IF(A75&lt;'Données projet'!$A$88,$BA$205^A75,IF(A75='Données projet'!$A$88,'Données projet'!$B$88,BD74+BC75-BL74)))</f>
        <v>258.79999999999984</v>
      </c>
      <c r="BE75" s="14">
        <f>BD75*VLOOKUP('Données projet'!$B$11,Paramètres!$A$1:$I$89,3,0)*VLOOKUP('Données projet'!$B$11,Paramètres!$A$1:$I$89,5,0)</f>
        <v>205.90127999999987</v>
      </c>
      <c r="BF75" s="14">
        <f t="shared" si="91"/>
        <v>51.038887365811171</v>
      </c>
      <c r="BG75" s="22">
        <f t="shared" si="61"/>
        <v>447.5041248287875</v>
      </c>
      <c r="BH75" s="62">
        <f t="shared" si="62"/>
        <v>740.83745816212081</v>
      </c>
      <c r="BI75" s="62">
        <f ca="1">AVERAGE(OFFSET($BH$3,0,0,'Données projet'!$E$11+1,1))-AVERAGE(OFFSET($H$3,0,0,'Données projet'!$E$11+1,1))</f>
        <v>225.02590532358471</v>
      </c>
      <c r="BJ75" s="62">
        <f t="shared" si="92"/>
        <v>224.00025638752402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1.1362392481137369</v>
      </c>
      <c r="BQ75" s="23">
        <f>EXP(-LN(2)/25)*BQ74+(1-EXP(-LN(2)/25))/(LN(2)/25)*Calculateur!BL75*Calculateur!BN75*VLOOKUP('Données projet'!$B$11,Paramètres!$A$1:$I$89,3,0)*0.475*44/12</f>
        <v>2.8392323521165368</v>
      </c>
      <c r="BR75" s="23">
        <f>EXP(-LN(2)/2)*BR74+(1-EXP(-LN(2)/2))/(LN(2)/2)*BL75*BO75*VLOOKUP('Données projet'!$B$11,Paramètres!$A$1:$I$89,3,0)*0.475*44/12</f>
        <v>7.3567891157250221E-6</v>
      </c>
      <c r="BS75" s="24">
        <f t="shared" si="63"/>
        <v>3.9754789570193894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-2.2737367544323206E-13</v>
      </c>
      <c r="O76" s="14">
        <f>N76*VLOOKUP('Données projet'!$B$9,Paramètres!$A$1:$I$89,3,0)*VLOOKUP('Données projet'!$B$9,Paramètres!$A$1:$I$89,5,0)</f>
        <v>-1.2710188457276673E-13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395.89088353191511</v>
      </c>
      <c r="T76" s="62">
        <f t="shared" si="88"/>
        <v>322.63468857063492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8.6227498360179382</v>
      </c>
      <c r="AA76" s="23">
        <f>EXP(-LN(2)/25)*AA75+(1-EXP(-LN(2)/25))/(LN(2)/25)*Calculateur!V76*Calculateur!X76*VLOOKUP('Données projet'!$B$9,Paramètres!$A$1:$I$89,3,0)*0.475*44/12</f>
        <v>3.9280842912762206</v>
      </c>
      <c r="AB76" s="23">
        <f>EXP(-LN(2)/2)*AB75+(1-EXP(-LN(2)/2))/(LN(2)/2)*V76*Y76*VLOOKUP('Données projet'!$B$9,Paramètres!$A$1:$I$89,3,0)*0.475*44/12</f>
        <v>1.1355229296693987E-6</v>
      </c>
      <c r="AC76" s="24">
        <f t="shared" si="57"/>
        <v>12.550835262817088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23.222222222222221</v>
      </c>
      <c r="AI76" s="14">
        <f>IF('Données projet'!$A$62&gt;35,AI75+AH76-AQ75,IF(A76&lt;'Données projet'!$A$62,$AF$205^A76,IF(A76='Données projet'!$A$62,'Données projet'!$B$62,AI75+AH76-AQ75)))</f>
        <v>786.77777777777715</v>
      </c>
      <c r="AJ76" s="14">
        <f>AI76*VLOOKUP('Données projet'!$B$10,Paramètres!$A$1:$I$89,3,0)*VLOOKUP('Données projet'!$B$10,Paramètres!$A$1:$I$89,5,0)</f>
        <v>388.66822222222197</v>
      </c>
      <c r="AK76" s="14">
        <f t="shared" si="89"/>
        <v>89.475492838297555</v>
      </c>
      <c r="AL76" s="22">
        <f t="shared" si="58"/>
        <v>832.76697039707142</v>
      </c>
      <c r="AM76" s="62">
        <f t="shared" si="59"/>
        <v>1126.1003037304047</v>
      </c>
      <c r="AN76" s="62">
        <f ca="1">AVERAGE(OFFSET($AM$3,0,0,'Données projet'!$E$10+1,1))-AVERAGE(OFFSET($H$3,0,0,'Données projet'!$E$10+1,1))</f>
        <v>476.32595424393645</v>
      </c>
      <c r="AO76" s="62">
        <f t="shared" si="90"/>
        <v>36.065940605453875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3.4</v>
      </c>
      <c r="BD76" s="13">
        <f>IF('Données projet'!$A$88&gt;35,BD75+BC76-BL75,IF(A76&lt;'Données projet'!$A$88,$BA$205^A76,IF(A76='Données projet'!$A$88,'Données projet'!$B$88,BD75+BC76-BL75)))</f>
        <v>262.19999999999982</v>
      </c>
      <c r="BE76" s="14">
        <f>BD76*VLOOKUP('Données projet'!$B$11,Paramètres!$A$1:$I$89,3,0)*VLOOKUP('Données projet'!$B$11,Paramètres!$A$1:$I$89,5,0)</f>
        <v>208.6063199999999</v>
      </c>
      <c r="BF76" s="14">
        <f t="shared" si="91"/>
        <v>51.630913628711831</v>
      </c>
      <c r="BG76" s="22">
        <f t="shared" si="61"/>
        <v>453.24651523667291</v>
      </c>
      <c r="BH76" s="62">
        <f t="shared" si="62"/>
        <v>746.57984857000622</v>
      </c>
      <c r="BI76" s="62">
        <f ca="1">AVERAGE(OFFSET($BH$3,0,0,'Données projet'!$E$11+1,1))-AVERAGE(OFFSET($H$3,0,0,'Données projet'!$E$11+1,1))</f>
        <v>225.02590532358471</v>
      </c>
      <c r="BJ76" s="62">
        <f t="shared" si="92"/>
        <v>224.00025638752402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1.1139582894957361</v>
      </c>
      <c r="BQ76" s="23">
        <f>EXP(-LN(2)/25)*BQ75+(1-EXP(-LN(2)/25))/(LN(2)/25)*Calculateur!BL76*Calculateur!BN76*VLOOKUP('Données projet'!$B$11,Paramètres!$A$1:$I$89,3,0)*0.475*44/12</f>
        <v>2.7615933941391697</v>
      </c>
      <c r="BR76" s="23">
        <f>EXP(-LN(2)/2)*BR75+(1-EXP(-LN(2)/2))/(LN(2)/2)*BL76*BO76*VLOOKUP('Données projet'!$B$11,Paramètres!$A$1:$I$89,3,0)*0.475*44/12</f>
        <v>5.2020354714885482E-6</v>
      </c>
      <c r="BS76" s="24">
        <f t="shared" si="63"/>
        <v>3.875556885670377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-2.2737367544323206E-13</v>
      </c>
      <c r="O77" s="14">
        <f>N77*VLOOKUP('Données projet'!$B$9,Paramètres!$A$1:$I$89,3,0)*VLOOKUP('Données projet'!$B$9,Paramètres!$A$1:$I$89,5,0)</f>
        <v>-1.2710188457276673E-13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395.89088353191511</v>
      </c>
      <c r="T77" s="62">
        <f t="shared" si="88"/>
        <v>322.63468857063492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8.4536629710917079</v>
      </c>
      <c r="AA77" s="23">
        <f>EXP(-LN(2)/25)*AA76+(1-EXP(-LN(2)/25))/(LN(2)/25)*Calculateur!V77*Calculateur!X77*VLOOKUP('Données projet'!$B$9,Paramètres!$A$1:$I$89,3,0)*0.475*44/12</f>
        <v>3.8206706197622973</v>
      </c>
      <c r="AB77" s="23">
        <f>EXP(-LN(2)/2)*AB76+(1-EXP(-LN(2)/2))/(LN(2)/2)*V77*Y77*VLOOKUP('Données projet'!$B$9,Paramètres!$A$1:$I$89,3,0)*0.475*44/12</f>
        <v>8.0293596376204694E-7</v>
      </c>
      <c r="AC77" s="24">
        <f t="shared" si="57"/>
        <v>12.274334393789969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>
        <f>VLOOKUP(A77,'Données projet'!$A$61:$I$81,2,0)</f>
        <v>810</v>
      </c>
      <c r="AG77" s="13">
        <f>VLOOKUP(A77,'Données projet'!$A$61:$I$81,9,0)</f>
        <v>23.222222222222221</v>
      </c>
      <c r="AH77" s="13">
        <f t="array" ref="AH77">INDEX(AG:AG,MIN(IF(ISNUMBER(AG77:AG273),ROW(AG77:AG273),"")))</f>
        <v>23.222222222222221</v>
      </c>
      <c r="AI77" s="14">
        <f>IF('Données projet'!$A$62&gt;35,AI76+AH77-AQ76,IF(A77&lt;'Données projet'!$A$62,$AF$205^A77,IF(A77='Données projet'!$A$62,'Données projet'!$B$62,AI76+AH77-AQ76)))</f>
        <v>809.99999999999932</v>
      </c>
      <c r="AJ77" s="14">
        <f>AI77*VLOOKUP('Données projet'!$B$10,Paramètres!$A$1:$I$89,3,0)*VLOOKUP('Données projet'!$B$10,Paramètres!$A$1:$I$89,5,0)</f>
        <v>400.13999999999965</v>
      </c>
      <c r="AK77" s="14">
        <f t="shared" si="89"/>
        <v>91.805047494648463</v>
      </c>
      <c r="AL77" s="22">
        <f t="shared" si="58"/>
        <v>856.80429105317887</v>
      </c>
      <c r="AM77" s="62">
        <f t="shared" si="59"/>
        <v>1150.1376243865122</v>
      </c>
      <c r="AN77" s="62">
        <f ca="1">AVERAGE(OFFSET($AM$3,0,0,'Données projet'!$E$10+1,1))-AVERAGE(OFFSET($H$3,0,0,'Données projet'!$E$10+1,1))</f>
        <v>476.32595424393645</v>
      </c>
      <c r="AO77" s="62">
        <f t="shared" si="90"/>
        <v>36.065940605453875</v>
      </c>
      <c r="AP77" s="16">
        <f>IF(ISNA(VLOOKUP(A77,'Données projet'!$A$61:$I$81,3,0)),0,VLOOKUP(A77,'Données projet'!$A$61:$I$81,3,0))</f>
        <v>6</v>
      </c>
      <c r="AQ77" s="16">
        <f>IF(ISNA(VLOOKUP(A77,'Données projet'!$A$61:$I$81,4,0)),0,VLOOKUP(A77,'Données projet'!$A$61:$I$81,4,0))</f>
        <v>100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3.4</v>
      </c>
      <c r="BD77" s="13">
        <f>IF('Données projet'!$A$88&gt;35,BD76+BC77-BL76,IF(A77&lt;'Données projet'!$A$88,$BA$205^A77,IF(A77='Données projet'!$A$88,'Données projet'!$B$88,BD76+BC77-BL76)))</f>
        <v>265.5999999999998</v>
      </c>
      <c r="BE77" s="14">
        <f>BD77*VLOOKUP('Données projet'!$B$11,Paramètres!$A$1:$I$89,3,0)*VLOOKUP('Données projet'!$B$11,Paramètres!$A$1:$I$89,5,0)</f>
        <v>211.31135999999987</v>
      </c>
      <c r="BF77" s="14">
        <f t="shared" si="91"/>
        <v>52.222046945324379</v>
      </c>
      <c r="BG77" s="22">
        <f t="shared" si="61"/>
        <v>458.98735042977302</v>
      </c>
      <c r="BH77" s="62">
        <f t="shared" si="62"/>
        <v>752.32068376310633</v>
      </c>
      <c r="BI77" s="62">
        <f ca="1">AVERAGE(OFFSET($BH$3,0,0,'Données projet'!$E$11+1,1))-AVERAGE(OFFSET($H$3,0,0,'Données projet'!$E$11+1,1))</f>
        <v>225.02590532358471</v>
      </c>
      <c r="BJ77" s="62">
        <f t="shared" si="92"/>
        <v>224.00025638752402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1.0921142468861913</v>
      </c>
      <c r="BQ77" s="23">
        <f>EXP(-LN(2)/25)*BQ76+(1-EXP(-LN(2)/25))/(LN(2)/25)*Calculateur!BL77*Calculateur!BN77*VLOOKUP('Données projet'!$B$11,Paramètres!$A$1:$I$89,3,0)*0.475*44/12</f>
        <v>2.6860774775505494</v>
      </c>
      <c r="BR77" s="23">
        <f>EXP(-LN(2)/2)*BR76+(1-EXP(-LN(2)/2))/(LN(2)/2)*BL77*BO77*VLOOKUP('Données projet'!$B$11,Paramètres!$A$1:$I$89,3,0)*0.475*44/12</f>
        <v>3.6783945578625119E-6</v>
      </c>
      <c r="BS77" s="24">
        <f t="shared" si="63"/>
        <v>3.7781954028312983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-2.2737367544323206E-13</v>
      </c>
      <c r="O78" s="14">
        <f>N78*VLOOKUP('Données projet'!$B$9,Paramètres!$A$1:$I$89,3,0)*VLOOKUP('Données projet'!$B$9,Paramètres!$A$1:$I$89,5,0)</f>
        <v>-1.2710188457276673E-13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395.89088353191511</v>
      </c>
      <c r="T78" s="62">
        <f t="shared" si="88"/>
        <v>322.63468857063492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8.2878917964538772</v>
      </c>
      <c r="AA78" s="23">
        <f>EXP(-LN(2)/25)*AA77+(1-EXP(-LN(2)/25))/(LN(2)/25)*Calculateur!V78*Calculateur!X78*VLOOKUP('Données projet'!$B$9,Paramètres!$A$1:$I$89,3,0)*0.475*44/12</f>
        <v>3.7161941807445618</v>
      </c>
      <c r="AB78" s="23">
        <f>EXP(-LN(2)/2)*AB77+(1-EXP(-LN(2)/2))/(LN(2)/2)*V78*Y78*VLOOKUP('Données projet'!$B$9,Paramètres!$A$1:$I$89,3,0)*0.475*44/12</f>
        <v>5.6776146483469937E-7</v>
      </c>
      <c r="AC78" s="24">
        <f t="shared" si="57"/>
        <v>12.004086544959904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19</v>
      </c>
      <c r="AI78" s="14">
        <f>IF('Données projet'!$A$62&gt;35,AI77+AH78-AQ77,IF(A78&lt;'Données projet'!$A$62,$AF$205^A78,IF(A78='Données projet'!$A$62,'Données projet'!$B$62,AI77+AH78-AQ77)))</f>
        <v>728.99999999999932</v>
      </c>
      <c r="AJ78" s="14">
        <f>AI78*VLOOKUP('Données projet'!$B$10,Paramètres!$A$1:$I$89,3,0)*VLOOKUP('Données projet'!$B$10,Paramètres!$A$1:$I$89,5,0)</f>
        <v>360.12599999999969</v>
      </c>
      <c r="AK78" s="14">
        <f t="shared" si="89"/>
        <v>83.644086208312501</v>
      </c>
      <c r="AL78" s="22">
        <f t="shared" si="58"/>
        <v>772.89956681281035</v>
      </c>
      <c r="AM78" s="62">
        <f t="shared" si="59"/>
        <v>1066.2329001461437</v>
      </c>
      <c r="AN78" s="62">
        <f ca="1">AVERAGE(OFFSET($AM$3,0,0,'Données projet'!$E$10+1,1))-AVERAGE(OFFSET($H$3,0,0,'Données projet'!$E$10+1,1))</f>
        <v>476.32595424393645</v>
      </c>
      <c r="AO78" s="62">
        <f t="shared" si="90"/>
        <v>36.065940605453875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269</v>
      </c>
      <c r="BB78" s="13">
        <f>VLOOKUP(A78,'Données projet'!$A$87:$I$107,9,0)</f>
        <v>3.4</v>
      </c>
      <c r="BC78" s="13">
        <f t="array" ref="BC78">INDEX(BB:BB,MIN(IF(ISNUMBER(BB78:BB274),ROW(BB78:BB274),"")))</f>
        <v>3.4</v>
      </c>
      <c r="BD78" s="13">
        <f>IF('Données projet'!$A$88&gt;35,BD77+BC78-BL77,IF(A78&lt;'Données projet'!$A$88,$BA$205^A78,IF(A78='Données projet'!$A$88,'Données projet'!$B$88,BD77+BC78-BL77)))</f>
        <v>268.99999999999977</v>
      </c>
      <c r="BE78" s="14">
        <f>BD78*VLOOKUP('Données projet'!$B$11,Paramètres!$A$1:$I$89,3,0)*VLOOKUP('Données projet'!$B$11,Paramètres!$A$1:$I$89,5,0)</f>
        <v>214.01639999999983</v>
      </c>
      <c r="BF78" s="14">
        <f t="shared" si="91"/>
        <v>52.812300068178622</v>
      </c>
      <c r="BG78" s="22">
        <f t="shared" si="61"/>
        <v>464.72665261874414</v>
      </c>
      <c r="BH78" s="62">
        <f t="shared" si="62"/>
        <v>758.05998595207745</v>
      </c>
      <c r="BI78" s="62">
        <f ca="1">AVERAGE(OFFSET($BH$3,0,0,'Données projet'!$E$11+1,1))-AVERAGE(OFFSET($H$3,0,0,'Données projet'!$E$11+1,1))</f>
        <v>225.02590532358471</v>
      </c>
      <c r="BJ78" s="62">
        <f t="shared" si="92"/>
        <v>224.00025638752402</v>
      </c>
      <c r="BK78" s="16">
        <f>IF(ISNA(VLOOKUP(A78,'Données projet'!$A$87:$I$107,3,0)),0,VLOOKUP(A78,'Données projet'!$A$87:$I$107,3,0))</f>
        <v>13</v>
      </c>
      <c r="BL78" s="16">
        <f>IF(ISNA(VLOOKUP(A78,'Données projet'!$A$87:$I$107,4,0)),0,VLOOKUP(A78,'Données projet'!$A$87:$I$107,4,0))</f>
        <v>9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1.0706985526286694</v>
      </c>
      <c r="BQ78" s="23">
        <f>EXP(-LN(2)/25)*BQ77+(1-EXP(-LN(2)/25))/(LN(2)/25)*Calculateur!BL78*Calculateur!BN78*VLOOKUP('Données projet'!$B$11,Paramètres!$A$1:$I$89,3,0)*0.475*44/12</f>
        <v>2.6126265476722543</v>
      </c>
      <c r="BR78" s="23">
        <f>EXP(-LN(2)/2)*BR77+(1-EXP(-LN(2)/2))/(LN(2)/2)*BL78*BO78*VLOOKUP('Données projet'!$B$11,Paramètres!$A$1:$I$89,3,0)*0.475*44/12</f>
        <v>2.6010177357442745E-6</v>
      </c>
      <c r="BS78" s="24">
        <f t="shared" si="63"/>
        <v>3.6833277013186598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-2.2737367544323206E-13</v>
      </c>
      <c r="O79" s="14">
        <f>N79*VLOOKUP('Données projet'!$B$9,Paramètres!$A$1:$I$89,3,0)*VLOOKUP('Données projet'!$B$9,Paramètres!$A$1:$I$89,5,0)</f>
        <v>-1.2710188457276673E-13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395.89088353191511</v>
      </c>
      <c r="T79" s="62">
        <f t="shared" si="88"/>
        <v>322.63468857063492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8.1253712934402618</v>
      </c>
      <c r="AA79" s="23">
        <f>EXP(-LN(2)/25)*AA78+(1-EXP(-LN(2)/25))/(LN(2)/25)*Calculateur!V79*Calculateur!X79*VLOOKUP('Données projet'!$B$9,Paramètres!$A$1:$I$89,3,0)*0.475*44/12</f>
        <v>3.614574655445943</v>
      </c>
      <c r="AB79" s="23">
        <f>EXP(-LN(2)/2)*AB78+(1-EXP(-LN(2)/2))/(LN(2)/2)*V79*Y79*VLOOKUP('Données projet'!$B$9,Paramètres!$A$1:$I$89,3,0)*0.475*44/12</f>
        <v>4.0146798188102347E-7</v>
      </c>
      <c r="AC79" s="24">
        <f t="shared" si="57"/>
        <v>11.739946350354188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19</v>
      </c>
      <c r="AI79" s="14">
        <f>IF('Données projet'!$A$62&gt;35,AI78+AH79-AQ78,IF(A79&lt;'Données projet'!$A$62,$AF$205^A79,IF(A79='Données projet'!$A$62,'Données projet'!$B$62,AI78+AH79-AQ78)))</f>
        <v>747.99999999999932</v>
      </c>
      <c r="AJ79" s="14">
        <f>AI79*VLOOKUP('Données projet'!$B$10,Paramètres!$A$1:$I$89,3,0)*VLOOKUP('Données projet'!$B$10,Paramètres!$A$1:$I$89,5,0)</f>
        <v>369.51199999999966</v>
      </c>
      <c r="AK79" s="14">
        <f t="shared" si="89"/>
        <v>85.567461636708344</v>
      </c>
      <c r="AL79" s="22">
        <f t="shared" si="58"/>
        <v>792.59672901726651</v>
      </c>
      <c r="AM79" s="62">
        <f t="shared" si="59"/>
        <v>1085.9300623505999</v>
      </c>
      <c r="AN79" s="62">
        <f ca="1">AVERAGE(OFFSET($AM$3,0,0,'Données projet'!$E$10+1,1))-AVERAGE(OFFSET($H$3,0,0,'Données projet'!$E$10+1,1))</f>
        <v>476.32595424393645</v>
      </c>
      <c r="AO79" s="62">
        <f t="shared" si="90"/>
        <v>36.065940605453875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</v>
      </c>
      <c r="BD79" s="13">
        <f>IF('Données projet'!$A$88&gt;35,BD78+BC79-BL78,IF(A79&lt;'Données projet'!$A$88,$BA$205^A79,IF(A79='Données projet'!$A$88,'Données projet'!$B$88,BD78+BC79-BL78)))</f>
        <v>262.99999999999977</v>
      </c>
      <c r="BE79" s="14">
        <f>BD79*VLOOKUP('Données projet'!$B$11,Paramètres!$A$1:$I$89,3,0)*VLOOKUP('Données projet'!$B$11,Paramètres!$A$1:$I$89,5,0)</f>
        <v>209.24279999999982</v>
      </c>
      <c r="BF79" s="14">
        <f t="shared" si="91"/>
        <v>51.770083677016764</v>
      </c>
      <c r="BG79" s="22">
        <f t="shared" si="61"/>
        <v>454.59743907080389</v>
      </c>
      <c r="BH79" s="62">
        <f t="shared" si="62"/>
        <v>747.9307724041372</v>
      </c>
      <c r="BI79" s="62">
        <f ca="1">AVERAGE(OFFSET($BH$3,0,0,'Données projet'!$E$11+1,1))-AVERAGE(OFFSET($H$3,0,0,'Données projet'!$E$11+1,1))</f>
        <v>225.02590532358471</v>
      </c>
      <c r="BJ79" s="62">
        <f t="shared" si="92"/>
        <v>224.00025638752402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1.0497028070732539</v>
      </c>
      <c r="BQ79" s="23">
        <f>EXP(-LN(2)/25)*BQ78+(1-EXP(-LN(2)/25))/(LN(2)/25)*Calculateur!BL79*Calculateur!BN79*VLOOKUP('Données projet'!$B$11,Paramètres!$A$1:$I$89,3,0)*0.475*44/12</f>
        <v>2.5411841373340978</v>
      </c>
      <c r="BR79" s="23">
        <f>EXP(-LN(2)/2)*BR78+(1-EXP(-LN(2)/2))/(LN(2)/2)*BL79*BO79*VLOOKUP('Données projet'!$B$11,Paramètres!$A$1:$I$89,3,0)*0.475*44/12</f>
        <v>1.8391972789312562E-6</v>
      </c>
      <c r="BS79" s="24">
        <f t="shared" si="63"/>
        <v>3.5908887836046306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-2.2737367544323206E-13</v>
      </c>
      <c r="O80" s="14">
        <f>N80*VLOOKUP('Données projet'!$B$9,Paramètres!$A$1:$I$89,3,0)*VLOOKUP('Données projet'!$B$9,Paramètres!$A$1:$I$89,5,0)</f>
        <v>-1.2710188457276673E-13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395.89088353191511</v>
      </c>
      <c r="T80" s="62">
        <f t="shared" si="88"/>
        <v>322.63468857063492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7.9660377183630242</v>
      </c>
      <c r="AA80" s="23">
        <f>EXP(-LN(2)/25)*AA79+(1-EXP(-LN(2)/25))/(LN(2)/25)*Calculateur!V80*Calculateur!X80*VLOOKUP('Données projet'!$B$9,Paramètres!$A$1:$I$89,3,0)*0.475*44/12</f>
        <v>3.5157339214105536</v>
      </c>
      <c r="AB80" s="23">
        <f>EXP(-LN(2)/2)*AB79+(1-EXP(-LN(2)/2))/(LN(2)/2)*V80*Y80*VLOOKUP('Données projet'!$B$9,Paramètres!$A$1:$I$89,3,0)*0.475*44/12</f>
        <v>2.8388073241734968E-7</v>
      </c>
      <c r="AC80" s="24">
        <f t="shared" si="57"/>
        <v>11.481771923654311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19</v>
      </c>
      <c r="AI80" s="14">
        <f>IF('Données projet'!$A$62&gt;35,AI79+AH80-AQ79,IF(A80&lt;'Données projet'!$A$62,$AF$205^A80,IF(A80='Données projet'!$A$62,'Données projet'!$B$62,AI79+AH80-AQ79)))</f>
        <v>766.99999999999932</v>
      </c>
      <c r="AJ80" s="14">
        <f>AI80*VLOOKUP('Données projet'!$B$10,Paramètres!$A$1:$I$89,3,0)*VLOOKUP('Données projet'!$B$10,Paramètres!$A$1:$I$89,5,0)</f>
        <v>378.89799999999968</v>
      </c>
      <c r="AK80" s="14">
        <f t="shared" si="89"/>
        <v>87.485158004190268</v>
      </c>
      <c r="AL80" s="22">
        <f t="shared" si="58"/>
        <v>812.28400019063076</v>
      </c>
      <c r="AM80" s="62">
        <f t="shared" si="59"/>
        <v>1105.6173335239641</v>
      </c>
      <c r="AN80" s="62">
        <f ca="1">AVERAGE(OFFSET($AM$3,0,0,'Données projet'!$E$10+1,1))-AVERAGE(OFFSET($H$3,0,0,'Données projet'!$E$10+1,1))</f>
        <v>476.32595424393645</v>
      </c>
      <c r="AO80" s="62">
        <f t="shared" si="90"/>
        <v>36.065940605453875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</v>
      </c>
      <c r="BD80" s="13">
        <f>IF('Données projet'!$A$88&gt;35,BD79+BC80-BL79,IF(A80&lt;'Données projet'!$A$88,$BA$205^A80,IF(A80='Données projet'!$A$88,'Données projet'!$B$88,BD79+BC80-BL79)))</f>
        <v>265.99999999999977</v>
      </c>
      <c r="BE80" s="14">
        <f>BD80*VLOOKUP('Données projet'!$B$11,Paramètres!$A$1:$I$89,3,0)*VLOOKUP('Données projet'!$B$11,Paramètres!$A$1:$I$89,5,0)</f>
        <v>211.62959999999981</v>
      </c>
      <c r="BF80" s="14">
        <f t="shared" si="91"/>
        <v>52.291533930940183</v>
      </c>
      <c r="BG80" s="22">
        <f t="shared" si="61"/>
        <v>459.66264159638718</v>
      </c>
      <c r="BH80" s="62">
        <f t="shared" si="62"/>
        <v>752.99597492972043</v>
      </c>
      <c r="BI80" s="62">
        <f ca="1">AVERAGE(OFFSET($BH$3,0,0,'Données projet'!$E$11+1,1))-AVERAGE(OFFSET($H$3,0,0,'Données projet'!$E$11+1,1))</f>
        <v>225.02590532358471</v>
      </c>
      <c r="BJ80" s="62">
        <f t="shared" si="92"/>
        <v>224.00025638752402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1.0291187752820397</v>
      </c>
      <c r="BQ80" s="23">
        <f>EXP(-LN(2)/25)*BQ79+(1-EXP(-LN(2)/25))/(LN(2)/25)*Calculateur!BL80*Calculateur!BN80*VLOOKUP('Données projet'!$B$11,Paramètres!$A$1:$I$89,3,0)*0.475*44/12</f>
        <v>2.471695323463631</v>
      </c>
      <c r="BR80" s="23">
        <f>EXP(-LN(2)/2)*BR79+(1-EXP(-LN(2)/2))/(LN(2)/2)*BL80*BO80*VLOOKUP('Données projet'!$B$11,Paramètres!$A$1:$I$89,3,0)*0.475*44/12</f>
        <v>1.3005088678721375E-6</v>
      </c>
      <c r="BS80" s="24">
        <f t="shared" si="63"/>
        <v>3.5008153992545381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-2.2737367544323206E-13</v>
      </c>
      <c r="O81" s="14">
        <f>N81*VLOOKUP('Données projet'!$B$9,Paramètres!$A$1:$I$89,3,0)*VLOOKUP('Données projet'!$B$9,Paramètres!$A$1:$I$89,5,0)</f>
        <v>-1.2710188457276673E-13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395.89088353191511</v>
      </c>
      <c r="T81" s="62">
        <f t="shared" si="88"/>
        <v>322.63468857063492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7.8098285775091663</v>
      </c>
      <c r="AA81" s="23">
        <f>EXP(-LN(2)/25)*AA80+(1-EXP(-LN(2)/25))/(LN(2)/25)*Calculateur!V81*Calculateur!X81*VLOOKUP('Données projet'!$B$9,Paramètres!$A$1:$I$89,3,0)*0.475*44/12</f>
        <v>3.4195959924451707</v>
      </c>
      <c r="AB81" s="23">
        <f>EXP(-LN(2)/2)*AB80+(1-EXP(-LN(2)/2))/(LN(2)/2)*V81*Y81*VLOOKUP('Données projet'!$B$9,Paramètres!$A$1:$I$89,3,0)*0.475*44/12</f>
        <v>2.0073399094051173E-7</v>
      </c>
      <c r="AC81" s="24">
        <f t="shared" si="57"/>
        <v>11.229424770688327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19</v>
      </c>
      <c r="AI81" s="14">
        <f>IF('Données projet'!$A$62&gt;35,AI80+AH81-AQ80,IF(A81&lt;'Données projet'!$A$62,$AF$205^A81,IF(A81='Données projet'!$A$62,'Données projet'!$B$62,AI80+AH81-AQ80)))</f>
        <v>785.99999999999932</v>
      </c>
      <c r="AJ81" s="14">
        <f>AI81*VLOOKUP('Données projet'!$B$10,Paramètres!$A$1:$I$89,3,0)*VLOOKUP('Données projet'!$B$10,Paramètres!$A$1:$I$89,5,0)</f>
        <v>388.28399999999965</v>
      </c>
      <c r="AK81" s="14">
        <f t="shared" si="89"/>
        <v>89.397332173017816</v>
      </c>
      <c r="AL81" s="22">
        <f t="shared" si="58"/>
        <v>831.96165353467222</v>
      </c>
      <c r="AM81" s="62">
        <f t="shared" si="59"/>
        <v>1125.2949868680055</v>
      </c>
      <c r="AN81" s="62">
        <f ca="1">AVERAGE(OFFSET($AM$3,0,0,'Données projet'!$E$10+1,1))-AVERAGE(OFFSET($H$3,0,0,'Données projet'!$E$10+1,1))</f>
        <v>476.32595424393645</v>
      </c>
      <c r="AO81" s="62">
        <f t="shared" si="90"/>
        <v>36.065940605453875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</v>
      </c>
      <c r="BD81" s="13">
        <f>IF('Données projet'!$A$88&gt;35,BD80+BC81-BL80,IF(A81&lt;'Données projet'!$A$88,$BA$205^A81,IF(A81='Données projet'!$A$88,'Données projet'!$B$88,BD80+BC81-BL80)))</f>
        <v>268.99999999999977</v>
      </c>
      <c r="BE81" s="14">
        <f>BD81*VLOOKUP('Données projet'!$B$11,Paramètres!$A$1:$I$89,3,0)*VLOOKUP('Données projet'!$B$11,Paramètres!$A$1:$I$89,5,0)</f>
        <v>214.01639999999983</v>
      </c>
      <c r="BF81" s="14">
        <f t="shared" si="91"/>
        <v>52.812300068178622</v>
      </c>
      <c r="BG81" s="22">
        <f t="shared" si="61"/>
        <v>464.72665261874414</v>
      </c>
      <c r="BH81" s="62">
        <f t="shared" si="62"/>
        <v>758.05998595207745</v>
      </c>
      <c r="BI81" s="62">
        <f ca="1">AVERAGE(OFFSET($BH$3,0,0,'Données projet'!$E$11+1,1))-AVERAGE(OFFSET($H$3,0,0,'Données projet'!$E$11+1,1))</f>
        <v>225.02590532358471</v>
      </c>
      <c r="BJ81" s="62">
        <f t="shared" si="92"/>
        <v>224.00025638752402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1.0089383837992314</v>
      </c>
      <c r="BQ81" s="23">
        <f>EXP(-LN(2)/25)*BQ80+(1-EXP(-LN(2)/25))/(LN(2)/25)*Calculateur!BL81*Calculateur!BN81*VLOOKUP('Données projet'!$B$11,Paramètres!$A$1:$I$89,3,0)*0.475*44/12</f>
        <v>2.4041066848627102</v>
      </c>
      <c r="BR81" s="23">
        <f>EXP(-LN(2)/2)*BR80+(1-EXP(-LN(2)/2))/(LN(2)/2)*BL81*BO81*VLOOKUP('Données projet'!$B$11,Paramètres!$A$1:$I$89,3,0)*0.475*44/12</f>
        <v>9.1959863946562819E-7</v>
      </c>
      <c r="BS81" s="24">
        <f t="shared" si="63"/>
        <v>3.4130459882605808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-2.2737367544323206E-13</v>
      </c>
      <c r="O82" s="14">
        <f>N82*VLOOKUP('Données projet'!$B$9,Paramètres!$A$1:$I$89,3,0)*VLOOKUP('Données projet'!$B$9,Paramètres!$A$1:$I$89,5,0)</f>
        <v>-1.2710188457276673E-13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395.89088353191511</v>
      </c>
      <c r="T82" s="62">
        <f t="shared" si="88"/>
        <v>322.63468857063492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7.6566826026292851</v>
      </c>
      <c r="AA82" s="23">
        <f>EXP(-LN(2)/25)*AA81+(1-EXP(-LN(2)/25))/(LN(2)/25)*Calculateur!V82*Calculateur!X82*VLOOKUP('Données projet'!$B$9,Paramètres!$A$1:$I$89,3,0)*0.475*44/12</f>
        <v>3.3260869602030199</v>
      </c>
      <c r="AB82" s="23">
        <f>EXP(-LN(2)/2)*AB81+(1-EXP(-LN(2)/2))/(LN(2)/2)*V82*Y82*VLOOKUP('Données projet'!$B$9,Paramètres!$A$1:$I$89,3,0)*0.475*44/12</f>
        <v>1.4194036620867484E-7</v>
      </c>
      <c r="AC82" s="24">
        <f t="shared" si="57"/>
        <v>10.982769704772672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19</v>
      </c>
      <c r="AI82" s="14">
        <f>IF('Données projet'!$A$62&gt;35,AI81+AH82-AQ81,IF(A82&lt;'Données projet'!$A$62,$AF$205^A82,IF(A82='Données projet'!$A$62,'Données projet'!$B$62,AI81+AH82-AQ81)))</f>
        <v>804.99999999999932</v>
      </c>
      <c r="AJ82" s="14">
        <f>AI82*VLOOKUP('Données projet'!$B$10,Paramètres!$A$1:$I$89,3,0)*VLOOKUP('Données projet'!$B$10,Paramètres!$A$1:$I$89,5,0)</f>
        <v>397.66999999999967</v>
      </c>
      <c r="AK82" s="14">
        <f t="shared" si="89"/>
        <v>91.304132989337504</v>
      </c>
      <c r="AL82" s="22">
        <f t="shared" si="58"/>
        <v>851.62994828976218</v>
      </c>
      <c r="AM82" s="62">
        <f t="shared" si="59"/>
        <v>1144.9632816230956</v>
      </c>
      <c r="AN82" s="62">
        <f ca="1">AVERAGE(OFFSET($AM$3,0,0,'Données projet'!$E$10+1,1))-AVERAGE(OFFSET($H$3,0,0,'Données projet'!$E$10+1,1))</f>
        <v>476.32595424393645</v>
      </c>
      <c r="AO82" s="62">
        <f t="shared" si="90"/>
        <v>36.065940605453875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</v>
      </c>
      <c r="BD82" s="13">
        <f>IF('Données projet'!$A$88&gt;35,BD81+BC82-BL81,IF(A82&lt;'Données projet'!$A$88,$BA$205^A82,IF(A82='Données projet'!$A$88,'Données projet'!$B$88,BD81+BC82-BL81)))</f>
        <v>271.99999999999977</v>
      </c>
      <c r="BE82" s="14">
        <f>BD82*VLOOKUP('Données projet'!$B$11,Paramètres!$A$1:$I$89,3,0)*VLOOKUP('Données projet'!$B$11,Paramètres!$A$1:$I$89,5,0)</f>
        <v>216.40319999999983</v>
      </c>
      <c r="BF82" s="14">
        <f t="shared" si="91"/>
        <v>53.332390601194746</v>
      </c>
      <c r="BG82" s="22">
        <f t="shared" si="61"/>
        <v>469.78948696374727</v>
      </c>
      <c r="BH82" s="62">
        <f t="shared" si="62"/>
        <v>763.12282029708058</v>
      </c>
      <c r="BI82" s="62">
        <f ca="1">AVERAGE(OFFSET($BH$3,0,0,'Données projet'!$E$11+1,1))-AVERAGE(OFFSET($H$3,0,0,'Données projet'!$E$11+1,1))</f>
        <v>225.02590532358471</v>
      </c>
      <c r="BJ82" s="62">
        <f t="shared" si="92"/>
        <v>224.00025638752402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0.9891537174845777</v>
      </c>
      <c r="BQ82" s="23">
        <f>EXP(-LN(2)/25)*BQ81+(1-EXP(-LN(2)/25))/(LN(2)/25)*Calculateur!BL82*Calculateur!BN82*VLOOKUP('Données projet'!$B$11,Paramètres!$A$1:$I$89,3,0)*0.475*44/12</f>
        <v>2.3383662611386633</v>
      </c>
      <c r="BR82" s="23">
        <f>EXP(-LN(2)/2)*BR81+(1-EXP(-LN(2)/2))/(LN(2)/2)*BL82*BO82*VLOOKUP('Données projet'!$B$11,Paramètres!$A$1:$I$89,3,0)*0.475*44/12</f>
        <v>6.5025443393606884E-7</v>
      </c>
      <c r="BS82" s="24">
        <f t="shared" si="63"/>
        <v>3.3275206288776746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-2.2737367544323206E-13</v>
      </c>
      <c r="O83" s="14">
        <f>N83*VLOOKUP('Données projet'!$B$9,Paramètres!$A$1:$I$89,3,0)*VLOOKUP('Données projet'!$B$9,Paramètres!$A$1:$I$89,5,0)</f>
        <v>-1.2710188457276673E-13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395.89088353191511</v>
      </c>
      <c r="T83" s="62">
        <f t="shared" si="88"/>
        <v>322.63468857063492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7.5065397269069765</v>
      </c>
      <c r="AA83" s="23">
        <f>EXP(-LN(2)/25)*AA82+(1-EXP(-LN(2)/25))/(LN(2)/25)*Calculateur!V83*Calculateur!X83*VLOOKUP('Données projet'!$B$9,Paramètres!$A$1:$I$89,3,0)*0.475*44/12</f>
        <v>3.2351349373649567</v>
      </c>
      <c r="AB83" s="23">
        <f>EXP(-LN(2)/2)*AB82+(1-EXP(-LN(2)/2))/(LN(2)/2)*V83*Y83*VLOOKUP('Données projet'!$B$9,Paramètres!$A$1:$I$89,3,0)*0.475*44/12</f>
        <v>1.0036699547025587E-7</v>
      </c>
      <c r="AC83" s="24">
        <f t="shared" si="57"/>
        <v>10.741674764638928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19</v>
      </c>
      <c r="AI83" s="14">
        <f>IF('Données projet'!$A$62&gt;35,AI82+AH83-AQ82,IF(A83&lt;'Données projet'!$A$62,$AF$205^A83,IF(A83='Données projet'!$A$62,'Données projet'!$B$62,AI82+AH83-AQ82)))</f>
        <v>823.99999999999932</v>
      </c>
      <c r="AJ83" s="14">
        <f>AI83*VLOOKUP('Données projet'!$B$10,Paramètres!$A$1:$I$89,3,0)*VLOOKUP('Données projet'!$B$10,Paramètres!$A$1:$I$89,5,0)</f>
        <v>407.05599999999964</v>
      </c>
      <c r="AK83" s="14">
        <f t="shared" si="89"/>
        <v>93.205701872216849</v>
      </c>
      <c r="AL83" s="22">
        <f t="shared" si="58"/>
        <v>871.28913076077697</v>
      </c>
      <c r="AM83" s="62">
        <f t="shared" si="59"/>
        <v>1164.6224640941102</v>
      </c>
      <c r="AN83" s="62">
        <f ca="1">AVERAGE(OFFSET($AM$3,0,0,'Données projet'!$E$10+1,1))-AVERAGE(OFFSET($H$3,0,0,'Données projet'!$E$10+1,1))</f>
        <v>476.32595424393645</v>
      </c>
      <c r="AO83" s="62">
        <f t="shared" si="90"/>
        <v>36.065940605453875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275</v>
      </c>
      <c r="BB83" s="13">
        <f>VLOOKUP(A83,'Données projet'!$A$87:$I$107,9,0)</f>
        <v>3</v>
      </c>
      <c r="BC83" s="13">
        <f t="array" ref="BC83">INDEX(BB:BB,MIN(IF(ISNUMBER(BB83:BB279),ROW(BB83:BB279),"")))</f>
        <v>3</v>
      </c>
      <c r="BD83" s="13">
        <f>IF('Données projet'!$A$88&gt;35,BD82+BC83-BL82,IF(A83&lt;'Données projet'!$A$88,$BA$205^A83,IF(A83='Données projet'!$A$88,'Données projet'!$B$88,BD82+BC83-BL82)))</f>
        <v>274.99999999999977</v>
      </c>
      <c r="BE83" s="14">
        <f>BD83*VLOOKUP('Données projet'!$B$11,Paramètres!$A$1:$I$89,3,0)*VLOOKUP('Données projet'!$B$11,Paramètres!$A$1:$I$89,5,0)</f>
        <v>218.78999999999982</v>
      </c>
      <c r="BF83" s="14">
        <f t="shared" si="91"/>
        <v>53.851813843863468</v>
      </c>
      <c r="BG83" s="22">
        <f t="shared" si="61"/>
        <v>474.85115911139525</v>
      </c>
      <c r="BH83" s="62">
        <f t="shared" si="62"/>
        <v>768.18449244472856</v>
      </c>
      <c r="BI83" s="62">
        <f ca="1">AVERAGE(OFFSET($BH$3,0,0,'Données projet'!$E$11+1,1))-AVERAGE(OFFSET($H$3,0,0,'Données projet'!$E$11+1,1))</f>
        <v>225.02590532358471</v>
      </c>
      <c r="BJ83" s="62">
        <f t="shared" si="92"/>
        <v>224.00025638752402</v>
      </c>
      <c r="BK83" s="16">
        <f>IF(ISNA(VLOOKUP(A83,'Données projet'!$A$87:$I$107,3,0)),0,VLOOKUP(A83,'Données projet'!$A$87:$I$107,3,0))</f>
        <v>14</v>
      </c>
      <c r="BL83" s="23">
        <f>IF(ISNA(VLOOKUP(A83,'Données projet'!$A$87:$I$107,4,0)),0,VLOOKUP(A83,'Données projet'!$A$87:$I$107,4,0))</f>
        <v>275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0.96975701640889944</v>
      </c>
      <c r="BQ83" s="23">
        <f>EXP(-LN(2)/25)*BQ82+(1-EXP(-LN(2)/25))/(LN(2)/25)*Calculateur!BL83*Calculateur!BN83*VLOOKUP('Données projet'!$B$11,Paramètres!$A$1:$I$89,3,0)*0.475*44/12</f>
        <v>2.2744235127584891</v>
      </c>
      <c r="BR83" s="23">
        <f>EXP(-LN(2)/2)*BR82+(1-EXP(-LN(2)/2))/(LN(2)/2)*BL83*BO83*VLOOKUP('Données projet'!$B$11,Paramètres!$A$1:$I$89,3,0)*0.475*44/12</f>
        <v>4.597993197328142E-7</v>
      </c>
      <c r="BS83" s="24">
        <f t="shared" si="63"/>
        <v>3.2441809889667086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-2.2737367544323206E-13</v>
      </c>
      <c r="O84" s="14">
        <f>N84*VLOOKUP('Données projet'!$B$9,Paramètres!$A$1:$I$89,3,0)*VLOOKUP('Données projet'!$B$9,Paramètres!$A$1:$I$89,5,0)</f>
        <v>-1.2710188457276673E-13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395.89088353191511</v>
      </c>
      <c r="T84" s="62">
        <f t="shared" si="88"/>
        <v>322.63468857063492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7.359341061399471</v>
      </c>
      <c r="AA84" s="23">
        <f>EXP(-LN(2)/25)*AA83+(1-EXP(-LN(2)/25))/(LN(2)/25)*Calculateur!V84*Calculateur!X84*VLOOKUP('Données projet'!$B$9,Paramètres!$A$1:$I$89,3,0)*0.475*44/12</f>
        <v>3.1466700023743597</v>
      </c>
      <c r="AB84" s="23">
        <f>EXP(-LN(2)/2)*AB83+(1-EXP(-LN(2)/2))/(LN(2)/2)*V84*Y84*VLOOKUP('Données projet'!$B$9,Paramètres!$A$1:$I$89,3,0)*0.475*44/12</f>
        <v>7.0970183104337421E-8</v>
      </c>
      <c r="AC84" s="24">
        <f t="shared" si="57"/>
        <v>10.506011134744012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19</v>
      </c>
      <c r="AI84" s="14">
        <f>IF('Données projet'!$A$62&gt;35,AI83+AH84-AQ83,IF(A84&lt;'Données projet'!$A$62,$AF$205^A84,IF(A84='Données projet'!$A$62,'Données projet'!$B$62,AI83+AH84-AQ83)))</f>
        <v>842.99999999999932</v>
      </c>
      <c r="AJ84" s="14">
        <f>AI84*VLOOKUP('Données projet'!$B$10,Paramètres!$A$1:$I$89,3,0)*VLOOKUP('Données projet'!$B$10,Paramètres!$A$1:$I$89,5,0)</f>
        <v>416.44199999999967</v>
      </c>
      <c r="AK84" s="14">
        <f t="shared" si="89"/>
        <v>95.102173346819498</v>
      </c>
      <c r="AL84" s="22">
        <f t="shared" si="58"/>
        <v>890.93943524570989</v>
      </c>
      <c r="AM84" s="62">
        <f t="shared" si="59"/>
        <v>1184.2727685790433</v>
      </c>
      <c r="AN84" s="62">
        <f ca="1">AVERAGE(OFFSET($AM$3,0,0,'Données projet'!$E$10+1,1))-AVERAGE(OFFSET($H$3,0,0,'Données projet'!$E$10+1,1))</f>
        <v>476.32595424393645</v>
      </c>
      <c r="AO84" s="62">
        <f t="shared" si="90"/>
        <v>36.065940605453875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-2.2737367544323206E-13</v>
      </c>
      <c r="BE84" s="14">
        <f>BD84*VLOOKUP('Données projet'!$B$11,Paramètres!$A$1:$I$89,3,0)*VLOOKUP('Données projet'!$B$11,Paramètres!$A$1:$I$89,5,0)</f>
        <v>-1.8089849618263545E-13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225.02590532358471</v>
      </c>
      <c r="BJ84" s="62">
        <f t="shared" si="92"/>
        <v>224.00025638752402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0.95074067281049579</v>
      </c>
      <c r="BQ84" s="23">
        <f>EXP(-LN(2)/25)*BQ83+(1-EXP(-LN(2)/25))/(LN(2)/25)*Calculateur!BL84*Calculateur!BN84*VLOOKUP('Données projet'!$B$11,Paramètres!$A$1:$I$89,3,0)*0.475*44/12</f>
        <v>2.212229282195374</v>
      </c>
      <c r="BR84" s="23">
        <f>EXP(-LN(2)/2)*BR83+(1-EXP(-LN(2)/2))/(LN(2)/2)*BL84*BO84*VLOOKUP('Données projet'!$B$11,Paramètres!$A$1:$I$89,3,0)*0.475*44/12</f>
        <v>3.2512721696803448E-7</v>
      </c>
      <c r="BS84" s="24">
        <f t="shared" si="63"/>
        <v>3.162970280133087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-2.2737367544323206E-13</v>
      </c>
      <c r="O85" s="14">
        <f>N85*VLOOKUP('Données projet'!$B$9,Paramètres!$A$1:$I$89,3,0)*VLOOKUP('Données projet'!$B$9,Paramètres!$A$1:$I$89,5,0)</f>
        <v>-1.2710188457276673E-13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395.89088353191511</v>
      </c>
      <c r="T85" s="62">
        <f t="shared" si="88"/>
        <v>322.63468857063492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7.2150288719402473</v>
      </c>
      <c r="AA85" s="23">
        <f>EXP(-LN(2)/25)*AA84+(1-EXP(-LN(2)/25))/(LN(2)/25)*Calculateur!V85*Calculateur!X85*VLOOKUP('Données projet'!$B$9,Paramètres!$A$1:$I$89,3,0)*0.475*44/12</f>
        <v>3.0606241456832493</v>
      </c>
      <c r="AB85" s="23">
        <f>EXP(-LN(2)/2)*AB84+(1-EXP(-LN(2)/2))/(LN(2)/2)*V85*Y85*VLOOKUP('Données projet'!$B$9,Paramètres!$A$1:$I$89,3,0)*0.475*44/12</f>
        <v>5.0183497735127934E-8</v>
      </c>
      <c r="AC85" s="24">
        <f t="shared" si="57"/>
        <v>10.275653067806996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19</v>
      </c>
      <c r="AI85" s="14">
        <f>IF('Données projet'!$A$62&gt;35,AI84+AH85-AQ84,IF(A85&lt;'Données projet'!$A$62,$AF$205^A85,IF(A85='Données projet'!$A$62,'Données projet'!$B$62,AI84+AH85-AQ84)))</f>
        <v>861.99999999999932</v>
      </c>
      <c r="AJ85" s="14">
        <f>AI85*VLOOKUP('Données projet'!$B$10,Paramètres!$A$1:$I$89,3,0)*VLOOKUP('Données projet'!$B$10,Paramètres!$A$1:$I$89,5,0)</f>
        <v>425.82799999999963</v>
      </c>
      <c r="AK85" s="14">
        <f t="shared" si="89"/>
        <v>96.993675528156786</v>
      </c>
      <c r="AL85" s="22">
        <f t="shared" si="58"/>
        <v>910.58108487820573</v>
      </c>
      <c r="AM85" s="62">
        <f t="shared" si="59"/>
        <v>1203.914418211539</v>
      </c>
      <c r="AN85" s="62">
        <f ca="1">AVERAGE(OFFSET($AM$3,0,0,'Données projet'!$E$10+1,1))-AVERAGE(OFFSET($H$3,0,0,'Données projet'!$E$10+1,1))</f>
        <v>476.32595424393645</v>
      </c>
      <c r="AO85" s="62">
        <f t="shared" si="90"/>
        <v>36.065940605453875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-2.2737367544323206E-13</v>
      </c>
      <c r="BE85" s="14">
        <f>BD85*VLOOKUP('Données projet'!$B$11,Paramètres!$A$1:$I$89,3,0)*VLOOKUP('Données projet'!$B$11,Paramètres!$A$1:$I$89,5,0)</f>
        <v>-1.8089849618263545E-13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225.02590532358471</v>
      </c>
      <c r="BJ85" s="62">
        <f t="shared" si="92"/>
        <v>224.00025638752402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0.93209722811123252</v>
      </c>
      <c r="BQ85" s="23">
        <f>EXP(-LN(2)/25)*BQ84+(1-EXP(-LN(2)/25))/(LN(2)/25)*Calculateur!BL85*Calculateur!BN85*VLOOKUP('Données projet'!$B$11,Paramètres!$A$1:$I$89,3,0)*0.475*44/12</f>
        <v>2.1517357561376595</v>
      </c>
      <c r="BR85" s="23">
        <f>EXP(-LN(2)/2)*BR84+(1-EXP(-LN(2)/2))/(LN(2)/2)*BL85*BO85*VLOOKUP('Données projet'!$B$11,Paramètres!$A$1:$I$89,3,0)*0.475*44/12</f>
        <v>2.2989965986640713E-7</v>
      </c>
      <c r="BS85" s="24">
        <f t="shared" si="63"/>
        <v>3.083833214148552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-2.2737367544323206E-13</v>
      </c>
      <c r="O86" s="14">
        <f>N86*VLOOKUP('Données projet'!$B$9,Paramètres!$A$1:$I$89,3,0)*VLOOKUP('Données projet'!$B$9,Paramètres!$A$1:$I$89,5,0)</f>
        <v>-1.2710188457276673E-13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395.89088353191511</v>
      </c>
      <c r="T86" s="62">
        <f t="shared" si="88"/>
        <v>322.63468857063492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7.0735465564945743</v>
      </c>
      <c r="AA86" s="23">
        <f>EXP(-LN(2)/25)*AA85+(1-EXP(-LN(2)/25))/(LN(2)/25)*Calculateur!V86*Calculateur!X86*VLOOKUP('Données projet'!$B$9,Paramètres!$A$1:$I$89,3,0)*0.475*44/12</f>
        <v>2.9769312174683122</v>
      </c>
      <c r="AB86" s="23">
        <f>EXP(-LN(2)/2)*AB85+(1-EXP(-LN(2)/2))/(LN(2)/2)*V86*Y86*VLOOKUP('Données projet'!$B$9,Paramètres!$A$1:$I$89,3,0)*0.475*44/12</f>
        <v>3.548509155216871E-8</v>
      </c>
      <c r="AC86" s="24">
        <f t="shared" si="57"/>
        <v>10.050477809447978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>
        <f>VLOOKUP(A86,'Données projet'!$A$61:$I$81,2,0)</f>
        <v>881</v>
      </c>
      <c r="AG86" s="13">
        <f>VLOOKUP(A86,'Données projet'!$A$61:$I$81,9,0)</f>
        <v>19</v>
      </c>
      <c r="AH86" s="13">
        <f t="array" ref="AH86">INDEX(AG:AG,MIN(IF(ISNUMBER(AG86:AG282),ROW(AG86:AG282),"")))</f>
        <v>19</v>
      </c>
      <c r="AI86" s="14">
        <f>IF('Données projet'!$A$62&gt;35,AI85+AH86-AQ85,IF(A86&lt;'Données projet'!$A$62,$AF$205^A86,IF(A86='Données projet'!$A$62,'Données projet'!$B$62,AI85+AH86-AQ85)))</f>
        <v>880.99999999999932</v>
      </c>
      <c r="AJ86" s="14">
        <f>AI86*VLOOKUP('Données projet'!$B$10,Paramètres!$A$1:$I$89,3,0)*VLOOKUP('Données projet'!$B$10,Paramètres!$A$1:$I$89,5,0)</f>
        <v>435.21399999999966</v>
      </c>
      <c r="AK86" s="14">
        <f t="shared" si="89"/>
        <v>98.88033056098638</v>
      </c>
      <c r="AL86" s="22">
        <f t="shared" si="58"/>
        <v>930.21429239371719</v>
      </c>
      <c r="AM86" s="62">
        <f t="shared" si="59"/>
        <v>1223.5476257270504</v>
      </c>
      <c r="AN86" s="62">
        <f ca="1">AVERAGE(OFFSET($AM$3,0,0,'Données projet'!$E$10+1,1))-AVERAGE(OFFSET($H$3,0,0,'Données projet'!$E$10+1,1))</f>
        <v>476.32595424393645</v>
      </c>
      <c r="AO86" s="62">
        <f t="shared" si="90"/>
        <v>36.065940605453875</v>
      </c>
      <c r="AP86" s="16">
        <f>IF(ISNA(VLOOKUP(A86,'Données projet'!$A$61:$I$81,3,0)),0,VLOOKUP(A86,'Données projet'!$A$61:$I$81,3,0))</f>
        <v>7</v>
      </c>
      <c r="AQ86" s="16">
        <f>IF(ISNA(VLOOKUP(A86,'Données projet'!$A$61:$I$81,4,0)),0,VLOOKUP(A86,'Données projet'!$A$61:$I$81,4,0))</f>
        <v>100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-2.2737367544323206E-13</v>
      </c>
      <c r="BE86" s="14">
        <f>BD86*VLOOKUP('Données projet'!$B$11,Paramètres!$A$1:$I$89,3,0)*VLOOKUP('Données projet'!$B$11,Paramètres!$A$1:$I$89,5,0)</f>
        <v>-1.8089849618263545E-13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225.02590532358471</v>
      </c>
      <c r="BJ86" s="62">
        <f t="shared" si="92"/>
        <v>224.00025638752402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0.91381936999114344</v>
      </c>
      <c r="BQ86" s="23">
        <f>EXP(-LN(2)/25)*BQ85+(1-EXP(-LN(2)/25))/(LN(2)/25)*Calculateur!BL86*Calculateur!BN86*VLOOKUP('Données projet'!$B$11,Paramètres!$A$1:$I$89,3,0)*0.475*44/12</f>
        <v>2.0928964287312097</v>
      </c>
      <c r="BR86" s="23">
        <f>EXP(-LN(2)/2)*BR85+(1-EXP(-LN(2)/2))/(LN(2)/2)*BL86*BO86*VLOOKUP('Données projet'!$B$11,Paramètres!$A$1:$I$89,3,0)*0.475*44/12</f>
        <v>1.6256360848401726E-7</v>
      </c>
      <c r="BS86" s="24">
        <f t="shared" si="63"/>
        <v>3.0067159612859613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-2.2737367544323206E-13</v>
      </c>
      <c r="O87" s="14">
        <f>N87*VLOOKUP('Données projet'!$B$9,Paramètres!$A$1:$I$89,3,0)*VLOOKUP('Données projet'!$B$9,Paramètres!$A$1:$I$89,5,0)</f>
        <v>-1.2710188457276673E-13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395.89088353191511</v>
      </c>
      <c r="T87" s="62">
        <f t="shared" si="88"/>
        <v>322.63468857063492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6.9348386229590995</v>
      </c>
      <c r="AA87" s="23">
        <f>EXP(-LN(2)/25)*AA86+(1-EXP(-LN(2)/25))/(LN(2)/25)*Calculateur!V87*Calculateur!X87*VLOOKUP('Données projet'!$B$9,Paramètres!$A$1:$I$89,3,0)*0.475*44/12</f>
        <v>2.8955268767766325</v>
      </c>
      <c r="AB87" s="23">
        <f>EXP(-LN(2)/2)*AB86+(1-EXP(-LN(2)/2))/(LN(2)/2)*V87*Y87*VLOOKUP('Données projet'!$B$9,Paramètres!$A$1:$I$89,3,0)*0.475*44/12</f>
        <v>2.5091748867563967E-8</v>
      </c>
      <c r="AC87" s="24">
        <f t="shared" si="57"/>
        <v>9.8303655248274815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15.555555555555555</v>
      </c>
      <c r="AI87" s="14">
        <f>IF('Données projet'!$A$62&gt;35,AI86+AH87-AQ86,IF(A87&lt;'Données projet'!$A$62,$AF$205^A87,IF(A87='Données projet'!$A$62,'Données projet'!$B$62,AI86+AH87-AQ86)))</f>
        <v>796.55555555555486</v>
      </c>
      <c r="AJ87" s="14">
        <f>AI87*VLOOKUP('Données projet'!$B$10,Paramètres!$A$1:$I$89,3,0)*VLOOKUP('Données projet'!$B$10,Paramètres!$A$1:$I$89,5,0)</f>
        <v>393.49844444444409</v>
      </c>
      <c r="AK87" s="14">
        <f t="shared" si="89"/>
        <v>90.457320118689708</v>
      </c>
      <c r="AL87" s="22">
        <f t="shared" si="58"/>
        <v>842.8896232807914</v>
      </c>
      <c r="AM87" s="62">
        <f t="shared" si="59"/>
        <v>1136.2229566141248</v>
      </c>
      <c r="AN87" s="62">
        <f ca="1">AVERAGE(OFFSET($AM$3,0,0,'Données projet'!$E$10+1,1))-AVERAGE(OFFSET($H$3,0,0,'Données projet'!$E$10+1,1))</f>
        <v>476.32595424393645</v>
      </c>
      <c r="AO87" s="62">
        <f t="shared" si="90"/>
        <v>36.065940605453875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-2.2737367544323206E-13</v>
      </c>
      <c r="BE87" s="14">
        <f>BD87*VLOOKUP('Données projet'!$B$11,Paramètres!$A$1:$I$89,3,0)*VLOOKUP('Données projet'!$B$11,Paramètres!$A$1:$I$89,5,0)</f>
        <v>-1.8089849618263545E-13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225.02590532358471</v>
      </c>
      <c r="BJ87" s="62">
        <f t="shared" si="92"/>
        <v>224.00025638752402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0.89589992952039665</v>
      </c>
      <c r="BQ87" s="23">
        <f>EXP(-LN(2)/25)*BQ86+(1-EXP(-LN(2)/25))/(LN(2)/25)*Calculateur!BL87*Calculateur!BN87*VLOOKUP('Données projet'!$B$11,Paramètres!$A$1:$I$89,3,0)*0.475*44/12</f>
        <v>2.035666065826915</v>
      </c>
      <c r="BR87" s="23">
        <f>EXP(-LN(2)/2)*BR86+(1-EXP(-LN(2)/2))/(LN(2)/2)*BL87*BO87*VLOOKUP('Données projet'!$B$11,Paramètres!$A$1:$I$89,3,0)*0.475*44/12</f>
        <v>1.1494982993320359E-7</v>
      </c>
      <c r="BS87" s="24">
        <f t="shared" si="63"/>
        <v>2.9315661102971418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-2.2737367544323206E-13</v>
      </c>
      <c r="O88" s="14">
        <f>N88*VLOOKUP('Données projet'!$B$9,Paramètres!$A$1:$I$89,3,0)*VLOOKUP('Données projet'!$B$9,Paramètres!$A$1:$I$89,5,0)</f>
        <v>-1.2710188457276673E-13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395.89088353191511</v>
      </c>
      <c r="T88" s="62">
        <f t="shared" si="88"/>
        <v>322.63468857063492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6.7988506673967706</v>
      </c>
      <c r="AA88" s="23">
        <f>EXP(-LN(2)/25)*AA87+(1-EXP(-LN(2)/25))/(LN(2)/25)*Calculateur!V88*Calculateur!X88*VLOOKUP('Données projet'!$B$9,Paramètres!$A$1:$I$89,3,0)*0.475*44/12</f>
        <v>2.8163485420620349</v>
      </c>
      <c r="AB88" s="23">
        <f>EXP(-LN(2)/2)*AB87+(1-EXP(-LN(2)/2))/(LN(2)/2)*V88*Y88*VLOOKUP('Données projet'!$B$9,Paramètres!$A$1:$I$89,3,0)*0.475*44/12</f>
        <v>1.7742545776084355E-8</v>
      </c>
      <c r="AC88" s="24">
        <f t="shared" si="57"/>
        <v>9.6151992272013498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15.555555555555555</v>
      </c>
      <c r="AI88" s="14">
        <f>IF('Données projet'!$A$62&gt;35,AI87+AH88-AQ87,IF(A88&lt;'Données projet'!$A$62,$AF$205^A88,IF(A88='Données projet'!$A$62,'Données projet'!$B$62,AI87+AH88-AQ87)))</f>
        <v>812.1111111111104</v>
      </c>
      <c r="AJ88" s="14">
        <f>AI88*VLOOKUP('Données projet'!$B$10,Paramètres!$A$1:$I$89,3,0)*VLOOKUP('Données projet'!$B$10,Paramètres!$A$1:$I$89,5,0)</f>
        <v>401.18288888888856</v>
      </c>
      <c r="AK88" s="14">
        <f t="shared" si="89"/>
        <v>92.016436561361743</v>
      </c>
      <c r="AL88" s="22">
        <f t="shared" si="58"/>
        <v>858.98882515918592</v>
      </c>
      <c r="AM88" s="62">
        <f t="shared" si="59"/>
        <v>1152.3221584925193</v>
      </c>
      <c r="AN88" s="62">
        <f ca="1">AVERAGE(OFFSET($AM$3,0,0,'Données projet'!$E$10+1,1))-AVERAGE(OFFSET($H$3,0,0,'Données projet'!$E$10+1,1))</f>
        <v>476.32595424393645</v>
      </c>
      <c r="AO88" s="62">
        <f t="shared" si="90"/>
        <v>36.065940605453875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-2.2737367544323206E-13</v>
      </c>
      <c r="BE88" s="14">
        <f>BD88*VLOOKUP('Données projet'!$B$11,Paramètres!$A$1:$I$89,3,0)*VLOOKUP('Données projet'!$B$11,Paramètres!$A$1:$I$89,5,0)</f>
        <v>-1.8089849618263545E-13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225.02590532358471</v>
      </c>
      <c r="BJ88" s="62">
        <f t="shared" si="92"/>
        <v>224.00025638752402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0.8783318783475017</v>
      </c>
      <c r="BQ88" s="23">
        <f>EXP(-LN(2)/25)*BQ87+(1-EXP(-LN(2)/25))/(LN(2)/25)*Calculateur!BL88*Calculateur!BN88*VLOOKUP('Données projet'!$B$11,Paramètres!$A$1:$I$89,3,0)*0.475*44/12</f>
        <v>1.9800006702058521</v>
      </c>
      <c r="BR88" s="23">
        <f>EXP(-LN(2)/2)*BR87+(1-EXP(-LN(2)/2))/(LN(2)/2)*BL88*BO88*VLOOKUP('Données projet'!$B$11,Paramètres!$A$1:$I$89,3,0)*0.475*44/12</f>
        <v>8.1281804242008645E-8</v>
      </c>
      <c r="BS88" s="24">
        <f t="shared" si="63"/>
        <v>2.8583326298351581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-2.2737367544323206E-13</v>
      </c>
      <c r="O89" s="14">
        <f>N89*VLOOKUP('Données projet'!$B$9,Paramètres!$A$1:$I$89,3,0)*VLOOKUP('Données projet'!$B$9,Paramètres!$A$1:$I$89,5,0)</f>
        <v>-1.2710188457276673E-13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395.89088353191511</v>
      </c>
      <c r="T89" s="62">
        <f t="shared" si="88"/>
        <v>322.63468857063492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6.665529352698556</v>
      </c>
      <c r="AA89" s="23">
        <f>EXP(-LN(2)/25)*AA88+(1-EXP(-LN(2)/25))/(LN(2)/25)*Calculateur!V89*Calculateur!X89*VLOOKUP('Données projet'!$B$9,Paramètres!$A$1:$I$89,3,0)*0.475*44/12</f>
        <v>2.7393353430740155</v>
      </c>
      <c r="AB89" s="23">
        <f>EXP(-LN(2)/2)*AB88+(1-EXP(-LN(2)/2))/(LN(2)/2)*V89*Y89*VLOOKUP('Données projet'!$B$9,Paramètres!$A$1:$I$89,3,0)*0.475*44/12</f>
        <v>1.2545874433781983E-8</v>
      </c>
      <c r="AC89" s="24">
        <f t="shared" si="57"/>
        <v>9.4048647083184456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15.555555555555555</v>
      </c>
      <c r="AI89" s="14">
        <f>IF('Données projet'!$A$62&gt;35,AI88+AH89-AQ88,IF(A89&lt;'Données projet'!$A$62,$AF$205^A89,IF(A89='Données projet'!$A$62,'Données projet'!$B$62,AI88+AH89-AQ88)))</f>
        <v>827.66666666666595</v>
      </c>
      <c r="AJ89" s="14">
        <f>AI89*VLOOKUP('Données projet'!$B$10,Paramètres!$A$1:$I$89,3,0)*VLOOKUP('Données projet'!$B$10,Paramètres!$A$1:$I$89,5,0)</f>
        <v>408.86733333333297</v>
      </c>
      <c r="AK89" s="14">
        <f t="shared" si="89"/>
        <v>93.572080477099632</v>
      </c>
      <c r="AL89" s="22">
        <f t="shared" si="58"/>
        <v>875.08197905317002</v>
      </c>
      <c r="AM89" s="62">
        <f t="shared" si="59"/>
        <v>1168.4153123865033</v>
      </c>
      <c r="AN89" s="62">
        <f ca="1">AVERAGE(OFFSET($AM$3,0,0,'Données projet'!$E$10+1,1))-AVERAGE(OFFSET($H$3,0,0,'Données projet'!$E$10+1,1))</f>
        <v>476.32595424393645</v>
      </c>
      <c r="AO89" s="62">
        <f t="shared" si="90"/>
        <v>36.065940605453875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-2.2737367544323206E-13</v>
      </c>
      <c r="BE89" s="14">
        <f>BD89*VLOOKUP('Données projet'!$B$11,Paramètres!$A$1:$I$89,3,0)*VLOOKUP('Données projet'!$B$11,Paramètres!$A$1:$I$89,5,0)</f>
        <v>-1.8089849618263545E-13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225.02590532358471</v>
      </c>
      <c r="BJ89" s="62">
        <f t="shared" si="92"/>
        <v>224.00025638752402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0.86110832594265407</v>
      </c>
      <c r="BQ89" s="23">
        <f>EXP(-LN(2)/25)*BQ88+(1-EXP(-LN(2)/25))/(LN(2)/25)*Calculateur!BL89*Calculateur!BN89*VLOOKUP('Données projet'!$B$11,Paramètres!$A$1:$I$89,3,0)*0.475*44/12</f>
        <v>1.9258574477553632</v>
      </c>
      <c r="BR89" s="23">
        <f>EXP(-LN(2)/2)*BR88+(1-EXP(-LN(2)/2))/(LN(2)/2)*BL89*BO89*VLOOKUP('Données projet'!$B$11,Paramètres!$A$1:$I$89,3,0)*0.475*44/12</f>
        <v>5.7474914966601801E-8</v>
      </c>
      <c r="BS89" s="24">
        <f t="shared" si="63"/>
        <v>2.7869658311729322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-2.2737367544323206E-13</v>
      </c>
      <c r="O90" s="14">
        <f>N90*VLOOKUP('Données projet'!$B$9,Paramètres!$A$1:$I$89,3,0)*VLOOKUP('Données projet'!$B$9,Paramètres!$A$1:$I$89,5,0)</f>
        <v>-1.2710188457276673E-13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395.89088353191511</v>
      </c>
      <c r="T90" s="62">
        <f t="shared" si="88"/>
        <v>322.63468857063492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6.5348223876636009</v>
      </c>
      <c r="AA90" s="23">
        <f>EXP(-LN(2)/25)*AA89+(1-EXP(-LN(2)/25))/(LN(2)/25)*Calculateur!V90*Calculateur!X90*VLOOKUP('Données projet'!$B$9,Paramètres!$A$1:$I$89,3,0)*0.475*44/12</f>
        <v>2.6644280740622719</v>
      </c>
      <c r="AB90" s="23">
        <f>EXP(-LN(2)/2)*AB89+(1-EXP(-LN(2)/2))/(LN(2)/2)*V90*Y90*VLOOKUP('Données projet'!$B$9,Paramètres!$A$1:$I$89,3,0)*0.475*44/12</f>
        <v>8.8712728880421776E-9</v>
      </c>
      <c r="AC90" s="24">
        <f t="shared" si="57"/>
        <v>9.1992504705971463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15.555555555555555</v>
      </c>
      <c r="AI90" s="14">
        <f>IF('Données projet'!$A$62&gt;35,AI89+AH90-AQ89,IF(A90&lt;'Données projet'!$A$62,$AF$205^A90,IF(A90='Données projet'!$A$62,'Données projet'!$B$62,AI89+AH90-AQ89)))</f>
        <v>843.22222222222149</v>
      </c>
      <c r="AJ90" s="14">
        <f>AI90*VLOOKUP('Données projet'!$B$10,Paramètres!$A$1:$I$89,3,0)*VLOOKUP('Données projet'!$B$10,Paramètres!$A$1:$I$89,5,0)</f>
        <v>416.55177777777749</v>
      </c>
      <c r="AK90" s="14">
        <f t="shared" si="89"/>
        <v>95.124324655971876</v>
      </c>
      <c r="AL90" s="22">
        <f t="shared" si="58"/>
        <v>891.16921173878018</v>
      </c>
      <c r="AM90" s="62">
        <f t="shared" si="59"/>
        <v>1184.5025450721134</v>
      </c>
      <c r="AN90" s="62">
        <f ca="1">AVERAGE(OFFSET($AM$3,0,0,'Données projet'!$E$10+1,1))-AVERAGE(OFFSET($H$3,0,0,'Données projet'!$E$10+1,1))</f>
        <v>476.32595424393645</v>
      </c>
      <c r="AO90" s="62">
        <f t="shared" si="90"/>
        <v>36.065940605453875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-2.2737367544323206E-13</v>
      </c>
      <c r="BE90" s="14">
        <f>BD90*VLOOKUP('Données projet'!$B$11,Paramètres!$A$1:$I$89,3,0)*VLOOKUP('Données projet'!$B$11,Paramètres!$A$1:$I$89,5,0)</f>
        <v>-1.8089849618263545E-13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225.02590532358471</v>
      </c>
      <c r="BJ90" s="62">
        <f t="shared" si="92"/>
        <v>224.00025638752402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0.84422251689513583</v>
      </c>
      <c r="BQ90" s="23">
        <f>EXP(-LN(2)/25)*BQ89+(1-EXP(-LN(2)/25))/(LN(2)/25)*Calculateur!BL90*Calculateur!BN90*VLOOKUP('Données projet'!$B$11,Paramètres!$A$1:$I$89,3,0)*0.475*44/12</f>
        <v>1.8731947745700512</v>
      </c>
      <c r="BR90" s="23">
        <f>EXP(-LN(2)/2)*BR89+(1-EXP(-LN(2)/2))/(LN(2)/2)*BL90*BO90*VLOOKUP('Données projet'!$B$11,Paramètres!$A$1:$I$89,3,0)*0.475*44/12</f>
        <v>4.0640902121004329E-8</v>
      </c>
      <c r="BS90" s="24">
        <f t="shared" si="63"/>
        <v>2.7174173321060895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-2.2737367544323206E-13</v>
      </c>
      <c r="O91" s="14">
        <f>N91*VLOOKUP('Données projet'!$B$9,Paramètres!$A$1:$I$89,3,0)*VLOOKUP('Données projet'!$B$9,Paramètres!$A$1:$I$89,5,0)</f>
        <v>-1.2710188457276673E-13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395.89088353191511</v>
      </c>
      <c r="T91" s="62">
        <f t="shared" si="88"/>
        <v>322.63468857063492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6.4066785064896044</v>
      </c>
      <c r="AA91" s="23">
        <f>EXP(-LN(2)/25)*AA90+(1-EXP(-LN(2)/25))/(LN(2)/25)*Calculateur!V91*Calculateur!X91*VLOOKUP('Données projet'!$B$9,Paramètres!$A$1:$I$89,3,0)*0.475*44/12</f>
        <v>2.5915691482608563</v>
      </c>
      <c r="AB91" s="23">
        <f>EXP(-LN(2)/2)*AB90+(1-EXP(-LN(2)/2))/(LN(2)/2)*V91*Y91*VLOOKUP('Données projet'!$B$9,Paramètres!$A$1:$I$89,3,0)*0.475*44/12</f>
        <v>6.2729372168909917E-9</v>
      </c>
      <c r="AC91" s="24">
        <f t="shared" si="57"/>
        <v>8.9982476610233988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15.555555555555555</v>
      </c>
      <c r="AI91" s="14">
        <f>IF('Données projet'!$A$62&gt;35,AI90+AH91-AQ90,IF(A91&lt;'Données projet'!$A$62,$AF$205^A91,IF(A91='Données projet'!$A$62,'Données projet'!$B$62,AI90+AH91-AQ90)))</f>
        <v>858.77777777777703</v>
      </c>
      <c r="AJ91" s="14">
        <f>AI91*VLOOKUP('Données projet'!$B$10,Paramètres!$A$1:$I$89,3,0)*VLOOKUP('Données projet'!$B$10,Paramètres!$A$1:$I$89,5,0)</f>
        <v>424.2362222222219</v>
      </c>
      <c r="AK91" s="14">
        <f t="shared" si="89"/>
        <v>96.673239048683541</v>
      </c>
      <c r="AL91" s="22">
        <f t="shared" si="58"/>
        <v>907.25064504682712</v>
      </c>
      <c r="AM91" s="62">
        <f t="shared" si="59"/>
        <v>1200.5839783801605</v>
      </c>
      <c r="AN91" s="62">
        <f ca="1">AVERAGE(OFFSET($AM$3,0,0,'Données projet'!$E$10+1,1))-AVERAGE(OFFSET($H$3,0,0,'Données projet'!$E$10+1,1))</f>
        <v>476.32595424393645</v>
      </c>
      <c r="AO91" s="62">
        <f t="shared" si="90"/>
        <v>36.065940605453875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-2.2737367544323206E-13</v>
      </c>
      <c r="BE91" s="14">
        <f>BD91*VLOOKUP('Données projet'!$B$11,Paramètres!$A$1:$I$89,3,0)*VLOOKUP('Données projet'!$B$11,Paramètres!$A$1:$I$89,5,0)</f>
        <v>-1.8089849618263545E-13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225.02590532358471</v>
      </c>
      <c r="BJ91" s="62">
        <f t="shared" si="92"/>
        <v>224.00025638752402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0.82766782826371288</v>
      </c>
      <c r="BQ91" s="23">
        <f>EXP(-LN(2)/25)*BQ90+(1-EXP(-LN(2)/25))/(LN(2)/25)*Calculateur!BL91*Calculateur!BN91*VLOOKUP('Données projet'!$B$11,Paramètres!$A$1:$I$89,3,0)*0.475*44/12</f>
        <v>1.8219721649524012</v>
      </c>
      <c r="BR91" s="23">
        <f>EXP(-LN(2)/2)*BR90+(1-EXP(-LN(2)/2))/(LN(2)/2)*BL91*BO91*VLOOKUP('Données projet'!$B$11,Paramètres!$A$1:$I$89,3,0)*0.475*44/12</f>
        <v>2.8737457483300904E-8</v>
      </c>
      <c r="BS91" s="24">
        <f t="shared" si="63"/>
        <v>2.6496400219535716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-2.2737367544323206E-13</v>
      </c>
      <c r="O92" s="14">
        <f>N92*VLOOKUP('Données projet'!$B$9,Paramètres!$A$1:$I$89,3,0)*VLOOKUP('Données projet'!$B$9,Paramètres!$A$1:$I$89,5,0)</f>
        <v>-1.2710188457276673E-13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395.89088353191511</v>
      </c>
      <c r="T92" s="62">
        <f t="shared" si="88"/>
        <v>322.63468857063492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6.2810474486653805</v>
      </c>
      <c r="AA92" s="23">
        <f>EXP(-LN(2)/25)*AA91+(1-EXP(-LN(2)/25))/(LN(2)/25)*Calculateur!V92*Calculateur!X92*VLOOKUP('Données projet'!$B$9,Paramètres!$A$1:$I$89,3,0)*0.475*44/12</f>
        <v>2.5207025536169647</v>
      </c>
      <c r="AB92" s="23">
        <f>EXP(-LN(2)/2)*AB91+(1-EXP(-LN(2)/2))/(LN(2)/2)*V92*Y92*VLOOKUP('Données projet'!$B$9,Paramètres!$A$1:$I$89,3,0)*0.475*44/12</f>
        <v>4.4356364440210888E-9</v>
      </c>
      <c r="AC92" s="24">
        <f t="shared" si="57"/>
        <v>8.801750006717981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15.555555555555555</v>
      </c>
      <c r="AI92" s="14">
        <f>IF('Données projet'!$A$62&gt;35,AI91+AH92-AQ91,IF(A92&lt;'Données projet'!$A$62,$AF$205^A92,IF(A92='Données projet'!$A$62,'Données projet'!$B$62,AI91+AH92-AQ91)))</f>
        <v>874.33333333333258</v>
      </c>
      <c r="AJ92" s="14">
        <f>AI92*VLOOKUP('Données projet'!$B$10,Paramètres!$A$1:$I$89,3,0)*VLOOKUP('Données projet'!$B$10,Paramètres!$A$1:$I$89,5,0)</f>
        <v>431.92066666666631</v>
      </c>
      <c r="AK92" s="14">
        <f t="shared" si="89"/>
        <v>98.218890926722594</v>
      </c>
      <c r="AL92" s="22">
        <f t="shared" si="58"/>
        <v>923.32639614181892</v>
      </c>
      <c r="AM92" s="62">
        <f t="shared" si="59"/>
        <v>1216.6597294751523</v>
      </c>
      <c r="AN92" s="62">
        <f ca="1">AVERAGE(OFFSET($AM$3,0,0,'Données projet'!$E$10+1,1))-AVERAGE(OFFSET($H$3,0,0,'Données projet'!$E$10+1,1))</f>
        <v>476.32595424393645</v>
      </c>
      <c r="AO92" s="62">
        <f t="shared" si="90"/>
        <v>36.065940605453875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-2.2737367544323206E-13</v>
      </c>
      <c r="BE92" s="14">
        <f>BD92*VLOOKUP('Données projet'!$B$11,Paramètres!$A$1:$I$89,3,0)*VLOOKUP('Données projet'!$B$11,Paramètres!$A$1:$I$89,5,0)</f>
        <v>-1.8089849618263545E-13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225.02590532358471</v>
      </c>
      <c r="BJ92" s="62">
        <f t="shared" si="92"/>
        <v>224.00025638752402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0.81143776697898917</v>
      </c>
      <c r="BQ92" s="23">
        <f>EXP(-LN(2)/25)*BQ91+(1-EXP(-LN(2)/25))/(LN(2)/25)*Calculateur!BL92*Calculateur!BN92*VLOOKUP('Données projet'!$B$11,Paramètres!$A$1:$I$89,3,0)*0.475*44/12</f>
        <v>1.7721502402884257</v>
      </c>
      <c r="BR92" s="23">
        <f>EXP(-LN(2)/2)*BR91+(1-EXP(-LN(2)/2))/(LN(2)/2)*BL92*BO92*VLOOKUP('Données projet'!$B$11,Paramètres!$A$1:$I$89,3,0)*0.475*44/12</f>
        <v>2.0320451060502168E-8</v>
      </c>
      <c r="BS92" s="24">
        <f t="shared" si="63"/>
        <v>2.583588027587866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-2.2737367544323206E-13</v>
      </c>
      <c r="O93" s="14">
        <f>N93*VLOOKUP('Données projet'!$B$9,Paramètres!$A$1:$I$89,3,0)*VLOOKUP('Données projet'!$B$9,Paramètres!$A$1:$I$89,5,0)</f>
        <v>-1.2710188457276673E-13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395.89088353191511</v>
      </c>
      <c r="T93" s="62">
        <f t="shared" si="88"/>
        <v>322.63468857063492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6.1578799392577102</v>
      </c>
      <c r="AA93" s="23">
        <f>EXP(-LN(2)/25)*AA92+(1-EXP(-LN(2)/25))/(LN(2)/25)*Calculateur!V93*Calculateur!X93*VLOOKUP('Données projet'!$B$9,Paramètres!$A$1:$I$89,3,0)*0.475*44/12</f>
        <v>2.4517738097303226</v>
      </c>
      <c r="AB93" s="23">
        <f>EXP(-LN(2)/2)*AB92+(1-EXP(-LN(2)/2))/(LN(2)/2)*V93*Y93*VLOOKUP('Données projet'!$B$9,Paramètres!$A$1:$I$89,3,0)*0.475*44/12</f>
        <v>3.1364686084454959E-9</v>
      </c>
      <c r="AC93" s="24">
        <f t="shared" si="57"/>
        <v>8.6096537521245011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15.555555555555555</v>
      </c>
      <c r="AI93" s="14">
        <f>IF('Données projet'!$A$62&gt;35,AI92+AH93-AQ92,IF(A93&lt;'Données projet'!$A$62,$AF$205^A93,IF(A93='Données projet'!$A$62,'Données projet'!$B$62,AI92+AH93-AQ92)))</f>
        <v>889.88888888888812</v>
      </c>
      <c r="AJ93" s="14">
        <f>AI93*VLOOKUP('Données projet'!$B$10,Paramètres!$A$1:$I$89,3,0)*VLOOKUP('Données projet'!$B$10,Paramètres!$A$1:$I$89,5,0)</f>
        <v>439.60511111111072</v>
      </c>
      <c r="AK93" s="14">
        <f t="shared" si="89"/>
        <v>99.761345030786373</v>
      </c>
      <c r="AL93" s="22">
        <f t="shared" si="58"/>
        <v>939.39657778047069</v>
      </c>
      <c r="AM93" s="62">
        <f t="shared" si="59"/>
        <v>1232.7299111138041</v>
      </c>
      <c r="AN93" s="62">
        <f ca="1">AVERAGE(OFFSET($AM$3,0,0,'Données projet'!$E$10+1,1))-AVERAGE(OFFSET($H$3,0,0,'Données projet'!$E$10+1,1))</f>
        <v>476.32595424393645</v>
      </c>
      <c r="AO93" s="62">
        <f t="shared" si="90"/>
        <v>36.065940605453875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-2.2737367544323206E-13</v>
      </c>
      <c r="BE93" s="14">
        <f>BD93*VLOOKUP('Données projet'!$B$11,Paramètres!$A$1:$I$89,3,0)*VLOOKUP('Données projet'!$B$11,Paramètres!$A$1:$I$89,5,0)</f>
        <v>-1.8089849618263545E-13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225.02590532358471</v>
      </c>
      <c r="BJ93" s="62">
        <f t="shared" si="92"/>
        <v>224.00025638752402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0.795525967296699</v>
      </c>
      <c r="BQ93" s="23">
        <f>EXP(-LN(2)/25)*BQ92+(1-EXP(-LN(2)/25))/(LN(2)/25)*Calculateur!BL93*Calculateur!BN93*VLOOKUP('Données projet'!$B$11,Paramètres!$A$1:$I$89,3,0)*0.475*44/12</f>
        <v>1.7236906987744078</v>
      </c>
      <c r="BR93" s="23">
        <f>EXP(-LN(2)/2)*BR92+(1-EXP(-LN(2)/2))/(LN(2)/2)*BL93*BO93*VLOOKUP('Données projet'!$B$11,Paramètres!$A$1:$I$89,3,0)*0.475*44/12</f>
        <v>1.4368728741650455E-8</v>
      </c>
      <c r="BS93" s="24">
        <f t="shared" si="63"/>
        <v>2.5192166804398357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-2.2737367544323206E-13</v>
      </c>
      <c r="O94" s="14">
        <f>N94*VLOOKUP('Données projet'!$B$9,Paramètres!$A$1:$I$89,3,0)*VLOOKUP('Données projet'!$B$9,Paramètres!$A$1:$I$89,5,0)</f>
        <v>-1.2710188457276673E-13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395.89088353191511</v>
      </c>
      <c r="T94" s="62">
        <f t="shared" si="88"/>
        <v>322.63468857063492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6.0371276695847618</v>
      </c>
      <c r="AA94" s="23">
        <f>EXP(-LN(2)/25)*AA93+(1-EXP(-LN(2)/25))/(LN(2)/25)*Calculateur!V94*Calculateur!X94*VLOOKUP('Données projet'!$B$9,Paramètres!$A$1:$I$89,3,0)*0.475*44/12</f>
        <v>2.3847299259700656</v>
      </c>
      <c r="AB94" s="23">
        <f>EXP(-LN(2)/2)*AB93+(1-EXP(-LN(2)/2))/(LN(2)/2)*V94*Y94*VLOOKUP('Données projet'!$B$9,Paramètres!$A$1:$I$89,3,0)*0.475*44/12</f>
        <v>2.2178182220105444E-9</v>
      </c>
      <c r="AC94" s="24">
        <f t="shared" si="57"/>
        <v>8.4218575977726466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15.555555555555555</v>
      </c>
      <c r="AI94" s="14">
        <f>IF('Données projet'!$A$62&gt;35,AI93+AH94-AQ93,IF(A94&lt;'Données projet'!$A$62,$AF$205^A94,IF(A94='Données projet'!$A$62,'Données projet'!$B$62,AI93+AH94-AQ93)))</f>
        <v>905.44444444444366</v>
      </c>
      <c r="AJ94" s="14">
        <f>AI94*VLOOKUP('Données projet'!$B$10,Paramètres!$A$1:$I$89,3,0)*VLOOKUP('Données projet'!$B$10,Paramètres!$A$1:$I$89,5,0)</f>
        <v>447.28955555555518</v>
      </c>
      <c r="AK94" s="14">
        <f t="shared" si="89"/>
        <v>101.30066370853572</v>
      </c>
      <c r="AL94" s="22">
        <f t="shared" si="58"/>
        <v>955.46129855162496</v>
      </c>
      <c r="AM94" s="62">
        <f t="shared" si="59"/>
        <v>1248.7946318849583</v>
      </c>
      <c r="AN94" s="62">
        <f ca="1">AVERAGE(OFFSET($AM$3,0,0,'Données projet'!$E$10+1,1))-AVERAGE(OFFSET($H$3,0,0,'Données projet'!$E$10+1,1))</f>
        <v>476.32595424393645</v>
      </c>
      <c r="AO94" s="62">
        <f t="shared" si="90"/>
        <v>36.065940605453875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-2.2737367544323206E-13</v>
      </c>
      <c r="BE94" s="14">
        <f>BD94*VLOOKUP('Données projet'!$B$11,Paramètres!$A$1:$I$89,3,0)*VLOOKUP('Données projet'!$B$11,Paramètres!$A$1:$I$89,5,0)</f>
        <v>-1.8089849618263545E-13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225.02590532358471</v>
      </c>
      <c r="BJ94" s="62">
        <f t="shared" si="92"/>
        <v>224.00025638752402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0.77992618830093896</v>
      </c>
      <c r="BQ94" s="23">
        <f>EXP(-LN(2)/25)*BQ93+(1-EXP(-LN(2)/25))/(LN(2)/25)*Calculateur!BL94*Calculateur!BN94*VLOOKUP('Données projet'!$B$11,Paramètres!$A$1:$I$89,3,0)*0.475*44/12</f>
        <v>1.6765562859714673</v>
      </c>
      <c r="BR94" s="23">
        <f>EXP(-LN(2)/2)*BR93+(1-EXP(-LN(2)/2))/(LN(2)/2)*BL94*BO94*VLOOKUP('Données projet'!$B$11,Paramètres!$A$1:$I$89,3,0)*0.475*44/12</f>
        <v>1.0160225530251086E-8</v>
      </c>
      <c r="BS94" s="24">
        <f t="shared" si="63"/>
        <v>2.4564824844326321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-2.2737367544323206E-13</v>
      </c>
      <c r="O95" s="14">
        <f>N95*VLOOKUP('Données projet'!$B$9,Paramètres!$A$1:$I$89,3,0)*VLOOKUP('Données projet'!$B$9,Paramètres!$A$1:$I$89,5,0)</f>
        <v>-1.2710188457276673E-13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395.89088353191511</v>
      </c>
      <c r="T95" s="62">
        <f t="shared" si="88"/>
        <v>322.63468857063492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5.9187432782684875</v>
      </c>
      <c r="AA95" s="23">
        <f>EXP(-LN(2)/25)*AA94+(1-EXP(-LN(2)/25))/(LN(2)/25)*Calculateur!V95*Calculateur!X95*VLOOKUP('Données projet'!$B$9,Paramètres!$A$1:$I$89,3,0)*0.475*44/12</f>
        <v>2.3195193607369178</v>
      </c>
      <c r="AB95" s="23">
        <f>EXP(-LN(2)/2)*AB94+(1-EXP(-LN(2)/2))/(LN(2)/2)*V95*Y95*VLOOKUP('Données projet'!$B$9,Paramètres!$A$1:$I$89,3,0)*0.475*44/12</f>
        <v>1.5682343042227479E-9</v>
      </c>
      <c r="AC95" s="24">
        <f t="shared" si="57"/>
        <v>8.2382626405736392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>
        <f>VLOOKUP(A95,'Données projet'!$A$61:$I$81,2,0)</f>
        <v>921</v>
      </c>
      <c r="AG95" s="13">
        <f>VLOOKUP(A95,'Données projet'!$A$61:$I$81,9,0)</f>
        <v>15.555555555555555</v>
      </c>
      <c r="AH95" s="13">
        <f t="array" ref="AH95">INDEX(AG:AG,MIN(IF(ISNUMBER(AG95:AG291),ROW(AG95:AG291),"")))</f>
        <v>15.555555555555555</v>
      </c>
      <c r="AI95" s="14">
        <f>IF('Données projet'!$A$62&gt;35,AI94+AH95-AQ94,IF(A95&lt;'Données projet'!$A$62,$AF$205^A95,IF(A95='Données projet'!$A$62,'Données projet'!$B$62,AI94+AH95-AQ94)))</f>
        <v>920.9999999999992</v>
      </c>
      <c r="AJ95" s="14">
        <f>AI95*VLOOKUP('Données projet'!$B$10,Paramètres!$A$1:$I$89,3,0)*VLOOKUP('Données projet'!$B$10,Paramètres!$A$1:$I$89,5,0)</f>
        <v>454.97399999999959</v>
      </c>
      <c r="AK95" s="14">
        <f t="shared" si="89"/>
        <v>102.83690704261491</v>
      </c>
      <c r="AL95" s="22">
        <f t="shared" si="58"/>
        <v>971.52066309922031</v>
      </c>
      <c r="AM95" s="62">
        <f t="shared" si="59"/>
        <v>1264.8539964325537</v>
      </c>
      <c r="AN95" s="62">
        <f ca="1">AVERAGE(OFFSET($AM$3,0,0,'Données projet'!$E$10+1,1))-AVERAGE(OFFSET($H$3,0,0,'Données projet'!$E$10+1,1))</f>
        <v>476.32595424393645</v>
      </c>
      <c r="AO95" s="62">
        <f t="shared" si="90"/>
        <v>36.065940605453875</v>
      </c>
      <c r="AP95" s="16">
        <f>IF(ISNA(VLOOKUP(A95,'Données projet'!$A$61:$I$81,3,0)),0,VLOOKUP(A95,'Données projet'!$A$61:$I$81,3,0))</f>
        <v>8</v>
      </c>
      <c r="AQ95" s="16">
        <f>IF(ISNA(VLOOKUP(A95,'Données projet'!$A$61:$I$81,4,0)),0,VLOOKUP(A95,'Données projet'!$A$61:$I$81,4,0))</f>
        <v>100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-2.2737367544323206E-13</v>
      </c>
      <c r="BE95" s="14">
        <f>BD95*VLOOKUP('Données projet'!$B$11,Paramètres!$A$1:$I$89,3,0)*VLOOKUP('Données projet'!$B$11,Paramètres!$A$1:$I$89,5,0)</f>
        <v>-1.8089849618263545E-13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225.02590532358471</v>
      </c>
      <c r="BJ95" s="62">
        <f t="shared" si="92"/>
        <v>224.00025638752402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0.76463231145636013</v>
      </c>
      <c r="BQ95" s="23">
        <f>EXP(-LN(2)/25)*BQ94+(1-EXP(-LN(2)/25))/(LN(2)/25)*Calculateur!BL95*Calculateur!BN95*VLOOKUP('Données projet'!$B$11,Paramètres!$A$1:$I$89,3,0)*0.475*44/12</f>
        <v>1.6307107661653144</v>
      </c>
      <c r="BR95" s="23">
        <f>EXP(-LN(2)/2)*BR94+(1-EXP(-LN(2)/2))/(LN(2)/2)*BL95*BO95*VLOOKUP('Données projet'!$B$11,Paramètres!$A$1:$I$89,3,0)*0.475*44/12</f>
        <v>7.1843643708252285E-9</v>
      </c>
      <c r="BS95" s="24">
        <f t="shared" si="63"/>
        <v>2.3953430848060386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-2.2737367544323206E-13</v>
      </c>
      <c r="O96" s="14">
        <f>N96*VLOOKUP('Données projet'!$B$9,Paramètres!$A$1:$I$89,3,0)*VLOOKUP('Données projet'!$B$9,Paramètres!$A$1:$I$89,5,0)</f>
        <v>-1.2710188457276673E-13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395.89088353191511</v>
      </c>
      <c r="T96" s="62">
        <f t="shared" si="88"/>
        <v>322.63468857063492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5.8026803326585767</v>
      </c>
      <c r="AA96" s="23">
        <f>EXP(-LN(2)/25)*AA95+(1-EXP(-LN(2)/25))/(LN(2)/25)*Calculateur!V96*Calculateur!X96*VLOOKUP('Données projet'!$B$9,Paramètres!$A$1:$I$89,3,0)*0.475*44/12</f>
        <v>2.256091981839345</v>
      </c>
      <c r="AB96" s="23">
        <f>EXP(-LN(2)/2)*AB95+(1-EXP(-LN(2)/2))/(LN(2)/2)*V96*Y96*VLOOKUP('Données projet'!$B$9,Paramètres!$A$1:$I$89,3,0)*0.475*44/12</f>
        <v>1.1089091110052722E-9</v>
      </c>
      <c r="AC96" s="24">
        <f t="shared" si="57"/>
        <v>8.0587723156068307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13.111111111111111</v>
      </c>
      <c r="AI96" s="14">
        <f>IF('Données projet'!$A$62&gt;35,AI95+AH96-AQ95,IF(A96&lt;'Données projet'!$A$62,$AF$205^A96,IF(A96='Données projet'!$A$62,'Données projet'!$B$62,AI95+AH96-AQ95)))</f>
        <v>834.11111111111029</v>
      </c>
      <c r="AJ96" s="14">
        <f>AI96*VLOOKUP('Données projet'!$B$10,Paramètres!$A$1:$I$89,3,0)*VLOOKUP('Données projet'!$B$10,Paramètres!$A$1:$I$89,5,0)</f>
        <v>412.05088888888849</v>
      </c>
      <c r="AK96" s="14">
        <f t="shared" si="89"/>
        <v>94.215561480242826</v>
      </c>
      <c r="AL96" s="22">
        <f t="shared" si="58"/>
        <v>881.74740105957051</v>
      </c>
      <c r="AM96" s="62">
        <f t="shared" si="59"/>
        <v>1175.0807343929039</v>
      </c>
      <c r="AN96" s="62">
        <f ca="1">AVERAGE(OFFSET($AM$3,0,0,'Données projet'!$E$10+1,1))-AVERAGE(OFFSET($H$3,0,0,'Données projet'!$E$10+1,1))</f>
        <v>476.32595424393645</v>
      </c>
      <c r="AO96" s="62">
        <f t="shared" si="90"/>
        <v>36.065940605453875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-2.2737367544323206E-13</v>
      </c>
      <c r="BE96" s="14">
        <f>BD96*VLOOKUP('Données projet'!$B$11,Paramètres!$A$1:$I$89,3,0)*VLOOKUP('Données projet'!$B$11,Paramètres!$A$1:$I$89,5,0)</f>
        <v>-1.8089849618263545E-13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225.02590532358471</v>
      </c>
      <c r="BJ96" s="62">
        <f t="shared" si="92"/>
        <v>224.00025638752402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0.74963833820835968</v>
      </c>
      <c r="BQ96" s="23">
        <f>EXP(-LN(2)/25)*BQ95+(1-EXP(-LN(2)/25))/(LN(2)/25)*Calculateur!BL96*Calculateur!BN96*VLOOKUP('Données projet'!$B$11,Paramètres!$A$1:$I$89,3,0)*0.475*44/12</f>
        <v>1.5861188945091718</v>
      </c>
      <c r="BR96" s="23">
        <f>EXP(-LN(2)/2)*BR95+(1-EXP(-LN(2)/2))/(LN(2)/2)*BL96*BO96*VLOOKUP('Données projet'!$B$11,Paramètres!$A$1:$I$89,3,0)*0.475*44/12</f>
        <v>5.0801127651255436E-9</v>
      </c>
      <c r="BS96" s="24">
        <f t="shared" si="63"/>
        <v>2.3357572377976443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-2.2737367544323206E-13</v>
      </c>
      <c r="O97" s="14">
        <f>N97*VLOOKUP('Données projet'!$B$9,Paramètres!$A$1:$I$89,3,0)*VLOOKUP('Données projet'!$B$9,Paramètres!$A$1:$I$89,5,0)</f>
        <v>-1.2710188457276673E-13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395.89088353191511</v>
      </c>
      <c r="T97" s="62">
        <f t="shared" si="88"/>
        <v>322.63468857063492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5.6888933106206698</v>
      </c>
      <c r="AA97" s="23">
        <f>EXP(-LN(2)/25)*AA96+(1-EXP(-LN(2)/25))/(LN(2)/25)*Calculateur!V97*Calculateur!X97*VLOOKUP('Données projet'!$B$9,Paramètres!$A$1:$I$89,3,0)*0.475*44/12</f>
        <v>2.1943990279532271</v>
      </c>
      <c r="AB97" s="23">
        <f>EXP(-LN(2)/2)*AB96+(1-EXP(-LN(2)/2))/(LN(2)/2)*V97*Y97*VLOOKUP('Données projet'!$B$9,Paramètres!$A$1:$I$89,3,0)*0.475*44/12</f>
        <v>7.8411715211137396E-10</v>
      </c>
      <c r="AC97" s="24">
        <f t="shared" si="57"/>
        <v>7.8832923393580137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13.111111111111111</v>
      </c>
      <c r="AI97" s="14">
        <f>IF('Données projet'!$A$62&gt;35,AI96+AH97-AQ96,IF(A97&lt;'Données projet'!$A$62,$AF$205^A97,IF(A97='Données projet'!$A$62,'Données projet'!$B$62,AI96+AH97-AQ96)))</f>
        <v>847.22222222222138</v>
      </c>
      <c r="AJ97" s="14">
        <f>AI97*VLOOKUP('Données projet'!$B$10,Paramètres!$A$1:$I$89,3,0)*VLOOKUP('Données projet'!$B$10,Paramètres!$A$1:$I$89,5,0)</f>
        <v>418.52777777777737</v>
      </c>
      <c r="AK97" s="14">
        <f t="shared" si="89"/>
        <v>95.522932218997269</v>
      </c>
      <c r="AL97" s="22">
        <f t="shared" si="58"/>
        <v>895.30498657771579</v>
      </c>
      <c r="AM97" s="62">
        <f t="shared" si="59"/>
        <v>1188.6383199110492</v>
      </c>
      <c r="AN97" s="62">
        <f ca="1">AVERAGE(OFFSET($AM$3,0,0,'Données projet'!$E$10+1,1))-AVERAGE(OFFSET($H$3,0,0,'Données projet'!$E$10+1,1))</f>
        <v>476.32595424393645</v>
      </c>
      <c r="AO97" s="62">
        <f t="shared" si="90"/>
        <v>36.065940605453875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-2.2737367544323206E-13</v>
      </c>
      <c r="BE97" s="14">
        <f>BD97*VLOOKUP('Données projet'!$B$11,Paramètres!$A$1:$I$89,3,0)*VLOOKUP('Données projet'!$B$11,Paramètres!$A$1:$I$89,5,0)</f>
        <v>-1.8089849618263545E-13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225.02590532358471</v>
      </c>
      <c r="BJ97" s="62">
        <f t="shared" si="92"/>
        <v>224.00025638752402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0.73493838763033192</v>
      </c>
      <c r="BQ97" s="23">
        <f>EXP(-LN(2)/25)*BQ96+(1-EXP(-LN(2)/25))/(LN(2)/25)*Calculateur!BL97*Calculateur!BN97*VLOOKUP('Données projet'!$B$11,Paramètres!$A$1:$I$89,3,0)*0.475*44/12</f>
        <v>1.5427463899284508</v>
      </c>
      <c r="BR97" s="23">
        <f>EXP(-LN(2)/2)*BR96+(1-EXP(-LN(2)/2))/(LN(2)/2)*BL97*BO97*VLOOKUP('Données projet'!$B$11,Paramètres!$A$1:$I$89,3,0)*0.475*44/12</f>
        <v>3.5921821854126151E-9</v>
      </c>
      <c r="BS97" s="24">
        <f t="shared" si="63"/>
        <v>2.2776847811509646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-2.2737367544323206E-13</v>
      </c>
      <c r="O98" s="14">
        <f>N98*VLOOKUP('Données projet'!$B$9,Paramètres!$A$1:$I$89,3,0)*VLOOKUP('Données projet'!$B$9,Paramètres!$A$1:$I$89,5,0)</f>
        <v>-1.2710188457276673E-13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395.89088353191511</v>
      </c>
      <c r="T98" s="62">
        <f t="shared" si="88"/>
        <v>322.63468857063492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5.5773375826816958</v>
      </c>
      <c r="AA98" s="23">
        <f>EXP(-LN(2)/25)*AA97+(1-EXP(-LN(2)/25))/(LN(2)/25)*Calculateur!V98*Calculateur!X98*VLOOKUP('Données projet'!$B$9,Paramètres!$A$1:$I$89,3,0)*0.475*44/12</f>
        <v>2.1343930711354164</v>
      </c>
      <c r="AB98" s="23">
        <f>EXP(-LN(2)/2)*AB97+(1-EXP(-LN(2)/2))/(LN(2)/2)*V98*Y98*VLOOKUP('Données projet'!$B$9,Paramètres!$A$1:$I$89,3,0)*0.475*44/12</f>
        <v>5.544545555026361E-10</v>
      </c>
      <c r="AC98" s="24">
        <f t="shared" si="57"/>
        <v>7.711730654371566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13.111111111111111</v>
      </c>
      <c r="AI98" s="14">
        <f>IF('Données projet'!$A$62&gt;35,AI97+AH98-AQ97,IF(A98&lt;'Données projet'!$A$62,$AF$205^A98,IF(A98='Données projet'!$A$62,'Données projet'!$B$62,AI97+AH98-AQ97)))</f>
        <v>860.33333333333246</v>
      </c>
      <c r="AJ98" s="14">
        <f>AI98*VLOOKUP('Données projet'!$B$10,Paramètres!$A$1:$I$89,3,0)*VLOOKUP('Données projet'!$B$10,Paramètres!$A$1:$I$89,5,0)</f>
        <v>425.00466666666625</v>
      </c>
      <c r="AK98" s="14">
        <f t="shared" si="89"/>
        <v>96.827949962060885</v>
      </c>
      <c r="AL98" s="22">
        <f t="shared" si="58"/>
        <v>908.85847396169981</v>
      </c>
      <c r="AM98" s="62">
        <f t="shared" si="59"/>
        <v>1202.1918072950332</v>
      </c>
      <c r="AN98" s="62">
        <f ca="1">AVERAGE(OFFSET($AM$3,0,0,'Données projet'!$E$10+1,1))-AVERAGE(OFFSET($H$3,0,0,'Données projet'!$E$10+1,1))</f>
        <v>476.32595424393645</v>
      </c>
      <c r="AO98" s="62">
        <f t="shared" si="90"/>
        <v>36.065940605453875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-2.2737367544323206E-13</v>
      </c>
      <c r="BE98" s="14">
        <f>BD98*VLOOKUP('Données projet'!$B$11,Paramètres!$A$1:$I$89,3,0)*VLOOKUP('Données projet'!$B$11,Paramètres!$A$1:$I$89,5,0)</f>
        <v>-1.8089849618263545E-13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225.02590532358471</v>
      </c>
      <c r="BJ98" s="62">
        <f t="shared" si="92"/>
        <v>224.00025638752402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0.72052669411705472</v>
      </c>
      <c r="BQ98" s="23">
        <f>EXP(-LN(2)/25)*BQ97+(1-EXP(-LN(2)/25))/(LN(2)/25)*Calculateur!BL98*Calculateur!BN98*VLOOKUP('Données projet'!$B$11,Paramètres!$A$1:$I$89,3,0)*0.475*44/12</f>
        <v>1.5005599087663506</v>
      </c>
      <c r="BR98" s="23">
        <f>EXP(-LN(2)/2)*BR97+(1-EXP(-LN(2)/2))/(LN(2)/2)*BL98*BO98*VLOOKUP('Données projet'!$B$11,Paramètres!$A$1:$I$89,3,0)*0.475*44/12</f>
        <v>2.5400563825627722E-9</v>
      </c>
      <c r="BS98" s="24">
        <f t="shared" si="63"/>
        <v>2.2210866054234613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-2.2737367544323206E-13</v>
      </c>
      <c r="O99" s="14">
        <f>N99*VLOOKUP('Données projet'!$B$9,Paramètres!$A$1:$I$89,3,0)*VLOOKUP('Données projet'!$B$9,Paramètres!$A$1:$I$89,5,0)</f>
        <v>-1.2710188457276673E-13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395.89088353191511</v>
      </c>
      <c r="T99" s="62">
        <f t="shared" si="88"/>
        <v>322.63468857063492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5.4679693945253289</v>
      </c>
      <c r="AA99" s="23">
        <f>EXP(-LN(2)/25)*AA98+(1-EXP(-LN(2)/25))/(LN(2)/25)*Calculateur!V99*Calculateur!X99*VLOOKUP('Données projet'!$B$9,Paramètres!$A$1:$I$89,3,0)*0.475*44/12</f>
        <v>2.0760279803623649</v>
      </c>
      <c r="AB99" s="23">
        <f>EXP(-LN(2)/2)*AB98+(1-EXP(-LN(2)/2))/(LN(2)/2)*V99*Y99*VLOOKUP('Données projet'!$B$9,Paramètres!$A$1:$I$89,3,0)*0.475*44/12</f>
        <v>3.9205857605568698E-10</v>
      </c>
      <c r="AC99" s="24">
        <f t="shared" si="57"/>
        <v>7.5439973752797522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13.111111111111111</v>
      </c>
      <c r="AI99" s="14">
        <f>IF('Données projet'!$A$62&gt;35,AI98+AH99-AQ98,IF(A99&lt;'Données projet'!$A$62,$AF$205^A99,IF(A99='Données projet'!$A$62,'Données projet'!$B$62,AI98+AH99-AQ98)))</f>
        <v>873.44444444444355</v>
      </c>
      <c r="AJ99" s="14">
        <f>AI99*VLOOKUP('Données projet'!$B$10,Paramètres!$A$1:$I$89,3,0)*VLOOKUP('Données projet'!$B$10,Paramètres!$A$1:$I$89,5,0)</f>
        <v>431.48155555555513</v>
      </c>
      <c r="AK99" s="14">
        <f t="shared" si="89"/>
        <v>98.130654709657705</v>
      </c>
      <c r="AL99" s="22">
        <f t="shared" si="58"/>
        <v>922.40793287857912</v>
      </c>
      <c r="AM99" s="62">
        <f t="shared" si="59"/>
        <v>1215.7412662119125</v>
      </c>
      <c r="AN99" s="62">
        <f ca="1">AVERAGE(OFFSET($AM$3,0,0,'Données projet'!$E$10+1,1))-AVERAGE(OFFSET($H$3,0,0,'Données projet'!$E$10+1,1))</f>
        <v>476.32595424393645</v>
      </c>
      <c r="AO99" s="62">
        <f t="shared" si="90"/>
        <v>36.065940605453875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-2.2737367544323206E-13</v>
      </c>
      <c r="BE99" s="14">
        <f>BD99*VLOOKUP('Données projet'!$B$11,Paramètres!$A$1:$I$89,3,0)*VLOOKUP('Données projet'!$B$11,Paramètres!$A$1:$I$89,5,0)</f>
        <v>-1.8089849618263545E-13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225.02590532358471</v>
      </c>
      <c r="BJ99" s="62">
        <f t="shared" si="92"/>
        <v>224.00025638752402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0.70639760512330785</v>
      </c>
      <c r="BQ99" s="23">
        <f>EXP(-LN(2)/25)*BQ98+(1-EXP(-LN(2)/25))/(LN(2)/25)*Calculateur!BL99*Calculateur!BN99*VLOOKUP('Données projet'!$B$11,Paramètres!$A$1:$I$89,3,0)*0.475*44/12</f>
        <v>1.4595270191501186</v>
      </c>
      <c r="BR99" s="23">
        <f>EXP(-LN(2)/2)*BR98+(1-EXP(-LN(2)/2))/(LN(2)/2)*BL99*BO99*VLOOKUP('Données projet'!$B$11,Paramètres!$A$1:$I$89,3,0)*0.475*44/12</f>
        <v>1.7960910927063077E-9</v>
      </c>
      <c r="BS99" s="24">
        <f t="shared" si="63"/>
        <v>2.1659246260695175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-2.2737367544323206E-13</v>
      </c>
      <c r="O100" s="14">
        <f>N100*VLOOKUP('Données projet'!$B$9,Paramètres!$A$1:$I$89,3,0)*VLOOKUP('Données projet'!$B$9,Paramètres!$A$1:$I$89,5,0)</f>
        <v>-1.2710188457276673E-13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395.89088353191511</v>
      </c>
      <c r="T100" s="62">
        <f t="shared" si="88"/>
        <v>322.63468857063492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5.3607458498307006</v>
      </c>
      <c r="AA100" s="23">
        <f>EXP(-LN(2)/25)*AA99+(1-EXP(-LN(2)/25))/(LN(2)/25)*Calculateur!V100*Calculateur!X100*VLOOKUP('Données projet'!$B$9,Paramètres!$A$1:$I$89,3,0)*0.475*44/12</f>
        <v>2.0192588860657894</v>
      </c>
      <c r="AB100" s="23">
        <f>EXP(-LN(2)/2)*AB99+(1-EXP(-LN(2)/2))/(LN(2)/2)*V100*Y100*VLOOKUP('Données projet'!$B$9,Paramètres!$A$1:$I$89,3,0)*0.475*44/12</f>
        <v>2.7722727775131805E-10</v>
      </c>
      <c r="AC100" s="24">
        <f t="shared" si="57"/>
        <v>7.3800047361737171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13.111111111111111</v>
      </c>
      <c r="AI100" s="14">
        <f>IF('Données projet'!$A$62&gt;35,AI99+AH100-AQ99,IF(A100&lt;'Données projet'!$A$62,$AF$205^A100,IF(A100='Données projet'!$A$62,'Données projet'!$B$62,AI99+AH100-AQ99)))</f>
        <v>886.55555555555463</v>
      </c>
      <c r="AJ100" s="14">
        <f>AI100*VLOOKUP('Données projet'!$B$10,Paramètres!$A$1:$I$89,3,0)*VLOOKUP('Données projet'!$B$10,Paramètres!$A$1:$I$89,5,0)</f>
        <v>437.95844444444401</v>
      </c>
      <c r="AK100" s="14">
        <f t="shared" si="89"/>
        <v>99.431085192216528</v>
      </c>
      <c r="AL100" s="22">
        <f t="shared" si="58"/>
        <v>935.95343078385042</v>
      </c>
      <c r="AM100" s="62">
        <f t="shared" si="59"/>
        <v>1229.2867641171838</v>
      </c>
      <c r="AN100" s="62">
        <f ca="1">AVERAGE(OFFSET($AM$3,0,0,'Données projet'!$E$10+1,1))-AVERAGE(OFFSET($H$3,0,0,'Données projet'!$E$10+1,1))</f>
        <v>476.32595424393645</v>
      </c>
      <c r="AO100" s="62">
        <f t="shared" si="90"/>
        <v>36.065940605453875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-2.2737367544323206E-13</v>
      </c>
      <c r="BE100" s="14">
        <f>BD100*VLOOKUP('Données projet'!$B$11,Paramètres!$A$1:$I$89,3,0)*VLOOKUP('Données projet'!$B$11,Paramètres!$A$1:$I$89,5,0)</f>
        <v>-1.8089849618263545E-13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225.02590532358471</v>
      </c>
      <c r="BJ100" s="62">
        <f t="shared" si="92"/>
        <v>224.00025638752402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0.69254557894683499</v>
      </c>
      <c r="BQ100" s="23">
        <f>EXP(-LN(2)/25)*BQ99+(1-EXP(-LN(2)/25))/(LN(2)/25)*Calculateur!BL100*Calculateur!BN100*VLOOKUP('Données projet'!$B$11,Paramètres!$A$1:$I$89,3,0)*0.475*44/12</f>
        <v>1.4196161760582684</v>
      </c>
      <c r="BR100" s="23">
        <f>EXP(-LN(2)/2)*BR99+(1-EXP(-LN(2)/2))/(LN(2)/2)*BL100*BO100*VLOOKUP('Données projet'!$B$11,Paramètres!$A$1:$I$89,3,0)*0.475*44/12</f>
        <v>1.2700281912813863E-9</v>
      </c>
      <c r="BS100" s="24">
        <f t="shared" si="63"/>
        <v>2.1121617562751314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-2.2737367544323206E-13</v>
      </c>
      <c r="O101" s="14">
        <f>N101*VLOOKUP('Données projet'!$B$9,Paramètres!$A$1:$I$89,3,0)*VLOOKUP('Données projet'!$B$9,Paramètres!$A$1:$I$89,5,0)</f>
        <v>-1.2710188457276673E-13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395.89088353191511</v>
      </c>
      <c r="T101" s="62">
        <f t="shared" si="88"/>
        <v>322.63468857063492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5.2556248934476297</v>
      </c>
      <c r="AA101" s="23">
        <f>EXP(-LN(2)/25)*AA100+(1-EXP(-LN(2)/25))/(LN(2)/25)*Calculateur!V101*Calculateur!X101*VLOOKUP('Données projet'!$B$9,Paramètres!$A$1:$I$89,3,0)*0.475*44/12</f>
        <v>1.9640421456381107</v>
      </c>
      <c r="AB101" s="23">
        <f>EXP(-LN(2)/2)*AB100+(1-EXP(-LN(2)/2))/(LN(2)/2)*V101*Y101*VLOOKUP('Données projet'!$B$9,Paramètres!$A$1:$I$89,3,0)*0.475*44/12</f>
        <v>1.9602928802784349E-10</v>
      </c>
      <c r="AC101" s="24">
        <f t="shared" si="57"/>
        <v>7.2196670392817692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13.111111111111111</v>
      </c>
      <c r="AI101" s="14">
        <f>IF('Données projet'!$A$62&gt;35,AI100+AH101-AQ100,IF(A101&lt;'Données projet'!$A$62,$AF$205^A101,IF(A101='Données projet'!$A$62,'Données projet'!$B$62,AI100+AH101-AQ100)))</f>
        <v>899.66666666666572</v>
      </c>
      <c r="AJ101" s="14">
        <f>AI101*VLOOKUP('Données projet'!$B$10,Paramètres!$A$1:$I$89,3,0)*VLOOKUP('Données projet'!$B$10,Paramètres!$A$1:$I$89,5,0)</f>
        <v>444.43533333333289</v>
      </c>
      <c r="AK101" s="14">
        <f t="shared" si="89"/>
        <v>100.72927892885102</v>
      </c>
      <c r="AL101" s="22">
        <f t="shared" si="58"/>
        <v>949.49503302330356</v>
      </c>
      <c r="AM101" s="62">
        <f t="shared" si="59"/>
        <v>1242.8283663566369</v>
      </c>
      <c r="AN101" s="62">
        <f ca="1">AVERAGE(OFFSET($AM$3,0,0,'Données projet'!$E$10+1,1))-AVERAGE(OFFSET($H$3,0,0,'Données projet'!$E$10+1,1))</f>
        <v>476.32595424393645</v>
      </c>
      <c r="AO101" s="62">
        <f t="shared" si="90"/>
        <v>36.065940605453875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-2.2737367544323206E-13</v>
      </c>
      <c r="BE101" s="14">
        <f>BD101*VLOOKUP('Données projet'!$B$11,Paramètres!$A$1:$I$89,3,0)*VLOOKUP('Données projet'!$B$11,Paramètres!$A$1:$I$89,5,0)</f>
        <v>-1.8089849618263545E-13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225.02590532358471</v>
      </c>
      <c r="BJ101" s="62">
        <f t="shared" si="92"/>
        <v>224.00025638752402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0.67896518255478111</v>
      </c>
      <c r="BQ101" s="23">
        <f>EXP(-LN(2)/25)*BQ100+(1-EXP(-LN(2)/25))/(LN(2)/25)*Calculateur!BL101*Calculateur!BN101*VLOOKUP('Données projet'!$B$11,Paramètres!$A$1:$I$89,3,0)*0.475*44/12</f>
        <v>1.3807966970695849</v>
      </c>
      <c r="BR101" s="23">
        <f>EXP(-LN(2)/2)*BR100+(1-EXP(-LN(2)/2))/(LN(2)/2)*BL101*BO101*VLOOKUP('Données projet'!$B$11,Paramètres!$A$1:$I$89,3,0)*0.475*44/12</f>
        <v>8.9804554635315397E-10</v>
      </c>
      <c r="BS101" s="24">
        <f t="shared" si="63"/>
        <v>2.0597618805224118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-2.2737367544323206E-13</v>
      </c>
      <c r="O102" s="14">
        <f>N102*VLOOKUP('Données projet'!$B$9,Paramètres!$A$1:$I$89,3,0)*VLOOKUP('Données projet'!$B$9,Paramètres!$A$1:$I$89,5,0)</f>
        <v>-1.2710188457276673E-13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395.89088353191511</v>
      </c>
      <c r="T102" s="62">
        <f t="shared" si="88"/>
        <v>322.63468857063492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5.1525652949017786</v>
      </c>
      <c r="AA102" s="23">
        <f>EXP(-LN(2)/25)*AA101+(1-EXP(-LN(2)/25))/(LN(2)/25)*Calculateur!V102*Calculateur!X102*VLOOKUP('Données projet'!$B$9,Paramètres!$A$1:$I$89,3,0)*0.475*44/12</f>
        <v>1.9103353098811491</v>
      </c>
      <c r="AB102" s="23">
        <f>EXP(-LN(2)/2)*AB101+(1-EXP(-LN(2)/2))/(LN(2)/2)*V102*Y102*VLOOKUP('Données projet'!$B$9,Paramètres!$A$1:$I$89,3,0)*0.475*44/12</f>
        <v>1.3861363887565903E-10</v>
      </c>
      <c r="AC102" s="24">
        <f t="shared" si="57"/>
        <v>7.0629006049215413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13.111111111111111</v>
      </c>
      <c r="AI102" s="14">
        <f>IF('Données projet'!$A$62&gt;35,AI101+AH102-AQ101,IF(A102&lt;'Données projet'!$A$62,$AF$205^A102,IF(A102='Données projet'!$A$62,'Données projet'!$B$62,AI101+AH102-AQ101)))</f>
        <v>912.77777777777681</v>
      </c>
      <c r="AJ102" s="14">
        <f>AI102*VLOOKUP('Données projet'!$B$10,Paramètres!$A$1:$I$89,3,0)*VLOOKUP('Données projet'!$B$10,Paramètres!$A$1:$I$89,5,0)</f>
        <v>450.91222222222177</v>
      </c>
      <c r="AK102" s="14">
        <f t="shared" si="89"/>
        <v>102.02527228233465</v>
      </c>
      <c r="AL102" s="22">
        <f t="shared" si="58"/>
        <v>963.032802928769</v>
      </c>
      <c r="AM102" s="62">
        <f t="shared" si="59"/>
        <v>1256.3661362621024</v>
      </c>
      <c r="AN102" s="62">
        <f ca="1">AVERAGE(OFFSET($AM$3,0,0,'Données projet'!$E$10+1,1))-AVERAGE(OFFSET($H$3,0,0,'Données projet'!$E$10+1,1))</f>
        <v>476.32595424393645</v>
      </c>
      <c r="AO102" s="62">
        <f t="shared" si="90"/>
        <v>36.065940605453875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-2.2737367544323206E-13</v>
      </c>
      <c r="BE102" s="14">
        <f>BD102*VLOOKUP('Données projet'!$B$11,Paramètres!$A$1:$I$89,3,0)*VLOOKUP('Données projet'!$B$11,Paramètres!$A$1:$I$89,5,0)</f>
        <v>-1.8089849618263545E-13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225.02590532358471</v>
      </c>
      <c r="BJ102" s="62">
        <f t="shared" si="92"/>
        <v>224.00025638752402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0.66565108945275153</v>
      </c>
      <c r="BQ102" s="23">
        <f>EXP(-LN(2)/25)*BQ101+(1-EXP(-LN(2)/25))/(LN(2)/25)*Calculateur!BL102*Calculateur!BN102*VLOOKUP('Données projet'!$B$11,Paramètres!$A$1:$I$89,3,0)*0.475*44/12</f>
        <v>1.3430387387752747</v>
      </c>
      <c r="BR102" s="23">
        <f>EXP(-LN(2)/2)*BR101+(1-EXP(-LN(2)/2))/(LN(2)/2)*BL102*BO102*VLOOKUP('Données projet'!$B$11,Paramètres!$A$1:$I$89,3,0)*0.475*44/12</f>
        <v>6.3501409564069316E-10</v>
      </c>
      <c r="BS102" s="24">
        <f t="shared" si="63"/>
        <v>2.0086898288630404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-2.2737367544323206E-13</v>
      </c>
      <c r="O103" s="14">
        <f>N103*VLOOKUP('Données projet'!$B$9,Paramètres!$A$1:$I$89,3,0)*VLOOKUP('Données projet'!$B$9,Paramètres!$A$1:$I$89,5,0)</f>
        <v>-1.2710188457276673E-13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395.89088353191511</v>
      </c>
      <c r="T103" s="62">
        <f t="shared" si="88"/>
        <v>322.63468857063492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5.051526632223263</v>
      </c>
      <c r="AA103" s="23">
        <f>EXP(-LN(2)/25)*AA102+(1-EXP(-LN(2)/25))/(LN(2)/25)*Calculateur!V103*Calculateur!X103*VLOOKUP('Données projet'!$B$9,Paramètres!$A$1:$I$89,3,0)*0.475*44/12</f>
        <v>1.8580970903722813</v>
      </c>
      <c r="AB103" s="23">
        <f>EXP(-LN(2)/2)*AB102+(1-EXP(-LN(2)/2))/(LN(2)/2)*V103*Y103*VLOOKUP('Données projet'!$B$9,Paramètres!$A$1:$I$89,3,0)*0.475*44/12</f>
        <v>9.8014644013921745E-11</v>
      </c>
      <c r="AC103" s="24">
        <f t="shared" si="57"/>
        <v>6.9096237226935591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13.111111111111111</v>
      </c>
      <c r="AI103" s="14">
        <f>IF('Données projet'!$A$62&gt;35,AI102+AH103-AQ102,IF(A103&lt;'Données projet'!$A$62,$AF$205^A103,IF(A103='Données projet'!$A$62,'Données projet'!$B$62,AI102+AH103-AQ102)))</f>
        <v>925.88888888888789</v>
      </c>
      <c r="AJ103" s="14">
        <f>AI103*VLOOKUP('Données projet'!$B$10,Paramètres!$A$1:$I$89,3,0)*VLOOKUP('Données projet'!$B$10,Paramètres!$A$1:$I$89,5,0)</f>
        <v>457.38911111111059</v>
      </c>
      <c r="AK103" s="14">
        <f t="shared" si="89"/>
        <v>103.31910051082598</v>
      </c>
      <c r="AL103" s="22">
        <f t="shared" si="58"/>
        <v>976.56680190820623</v>
      </c>
      <c r="AM103" s="62">
        <f t="shared" si="59"/>
        <v>1269.9001352415396</v>
      </c>
      <c r="AN103" s="62">
        <f ca="1">AVERAGE(OFFSET($AM$3,0,0,'Données projet'!$E$10+1,1))-AVERAGE(OFFSET($H$3,0,0,'Données projet'!$E$10+1,1))</f>
        <v>476.32595424393645</v>
      </c>
      <c r="AO103" s="62">
        <f t="shared" si="90"/>
        <v>36.065940605453875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-2.2737367544323206E-13</v>
      </c>
      <c r="BE103" s="14">
        <f>BD103*VLOOKUP('Données projet'!$B$11,Paramètres!$A$1:$I$89,3,0)*VLOOKUP('Données projet'!$B$11,Paramètres!$A$1:$I$89,5,0)</f>
        <v>-1.8089849618263545E-13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225.02590532358471</v>
      </c>
      <c r="BJ103" s="62">
        <f t="shared" si="92"/>
        <v>224.00025638752402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0.6525980775956578</v>
      </c>
      <c r="BQ103" s="23">
        <f>EXP(-LN(2)/25)*BQ102+(1-EXP(-LN(2)/25))/(LN(2)/25)*Calculateur!BL103*Calculateur!BN103*VLOOKUP('Données projet'!$B$11,Paramètres!$A$1:$I$89,3,0)*0.475*44/12</f>
        <v>1.3063132738361272</v>
      </c>
      <c r="BR103" s="23">
        <f>EXP(-LN(2)/2)*BR102+(1-EXP(-LN(2)/2))/(LN(2)/2)*BL103*BO103*VLOOKUP('Données projet'!$B$11,Paramètres!$A$1:$I$89,3,0)*0.475*44/12</f>
        <v>4.4902277317657699E-10</v>
      </c>
      <c r="BS103" s="24">
        <f t="shared" si="63"/>
        <v>1.9589113518808079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-2.2737367544323206E-13</v>
      </c>
      <c r="O104" s="14">
        <f>N104*VLOOKUP('Données projet'!$B$9,Paramètres!$A$1:$I$89,3,0)*VLOOKUP('Données projet'!$B$9,Paramètres!$A$1:$I$89,5,0)</f>
        <v>-1.2710188457276673E-13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395.89088353191511</v>
      </c>
      <c r="T104" s="62">
        <f t="shared" si="88"/>
        <v>322.63468857063492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4.9524692760923745</v>
      </c>
      <c r="AA104" s="23">
        <f>EXP(-LN(2)/25)*AA103+(1-EXP(-LN(2)/25))/(LN(2)/25)*Calculateur!V104*Calculateur!X104*VLOOKUP('Données projet'!$B$9,Paramètres!$A$1:$I$89,3,0)*0.475*44/12</f>
        <v>1.807287327722972</v>
      </c>
      <c r="AB104" s="23">
        <f>EXP(-LN(2)/2)*AB103+(1-EXP(-LN(2)/2))/(LN(2)/2)*V104*Y104*VLOOKUP('Données projet'!$B$9,Paramètres!$A$1:$I$89,3,0)*0.475*44/12</f>
        <v>6.9306819437829513E-11</v>
      </c>
      <c r="AC104" s="24">
        <f t="shared" si="57"/>
        <v>6.7597566038846537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>
        <f>VLOOKUP(A104,'Données projet'!$A$61:$I$81,2,0)</f>
        <v>939</v>
      </c>
      <c r="AG104" s="13">
        <f>VLOOKUP(A104,'Données projet'!$A$61:$I$81,9,0)</f>
        <v>13.111111111111111</v>
      </c>
      <c r="AH104" s="13">
        <f t="array" ref="AH104">INDEX(AG:AG,MIN(IF(ISNUMBER(AG104:AG300),ROW(AG104:AG300),"")))</f>
        <v>13.111111111111111</v>
      </c>
      <c r="AI104" s="14">
        <f>IF('Données projet'!$A$62&gt;35,AI103+AH104-AQ103,IF(A104&lt;'Données projet'!$A$62,$AF$205^A104,IF(A104='Données projet'!$A$62,'Données projet'!$B$62,AI103+AH104-AQ103)))</f>
        <v>938.99999999999898</v>
      </c>
      <c r="AJ104" s="14">
        <f>AI104*VLOOKUP('Données projet'!$B$10,Paramètres!$A$1:$I$89,3,0)*VLOOKUP('Données projet'!$B$10,Paramètres!$A$1:$I$89,5,0)</f>
        <v>463.86599999999947</v>
      </c>
      <c r="AK104" s="14">
        <f t="shared" si="89"/>
        <v>104.61079781658246</v>
      </c>
      <c r="AL104" s="22">
        <f t="shared" si="58"/>
        <v>990.09708953054678</v>
      </c>
      <c r="AM104" s="62">
        <f t="shared" si="59"/>
        <v>1283.43042286388</v>
      </c>
      <c r="AN104" s="62">
        <f ca="1">AVERAGE(OFFSET($AM$3,0,0,'Données projet'!$E$10+1,1))-AVERAGE(OFFSET($H$3,0,0,'Données projet'!$E$10+1,1))</f>
        <v>476.32595424393645</v>
      </c>
      <c r="AO104" s="62">
        <f t="shared" si="90"/>
        <v>36.065940605453875</v>
      </c>
      <c r="AP104" s="16">
        <f>IF(ISNA(VLOOKUP(A104,'Données projet'!$A$61:$I$81,3,0)),0,VLOOKUP(A104,'Données projet'!$A$61:$I$81,3,0))</f>
        <v>9</v>
      </c>
      <c r="AQ104" s="16">
        <f>IF(ISNA(VLOOKUP(A104,'Données projet'!$A$61:$I$81,4,0)),0,VLOOKUP(A104,'Données projet'!$A$61:$I$81,4,0))</f>
        <v>100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-2.2737367544323206E-13</v>
      </c>
      <c r="BE104" s="14">
        <f>BD104*VLOOKUP('Données projet'!$B$11,Paramètres!$A$1:$I$89,3,0)*VLOOKUP('Données projet'!$B$11,Paramètres!$A$1:$I$89,5,0)</f>
        <v>-1.8089849618263545E-13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225.02590532358471</v>
      </c>
      <c r="BJ104" s="62">
        <f t="shared" si="92"/>
        <v>224.00025638752402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0.63980102733953059</v>
      </c>
      <c r="BQ104" s="23">
        <f>EXP(-LN(2)/25)*BQ103+(1-EXP(-LN(2)/25))/(LN(2)/25)*Calculateur!BL104*Calculateur!BN104*VLOOKUP('Données projet'!$B$11,Paramètres!$A$1:$I$89,3,0)*0.475*44/12</f>
        <v>1.2705920686670489</v>
      </c>
      <c r="BR104" s="23">
        <f>EXP(-LN(2)/2)*BR103+(1-EXP(-LN(2)/2))/(LN(2)/2)*BL104*BO104*VLOOKUP('Données projet'!$B$11,Paramètres!$A$1:$I$89,3,0)*0.475*44/12</f>
        <v>3.1750704782034658E-10</v>
      </c>
      <c r="BS104" s="24">
        <f t="shared" si="63"/>
        <v>1.9103930963240867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-2.2737367544323206E-13</v>
      </c>
      <c r="O105" s="14">
        <f>N105*VLOOKUP('Données projet'!$B$9,Paramètres!$A$1:$I$89,3,0)*VLOOKUP('Données projet'!$B$9,Paramètres!$A$1:$I$89,5,0)</f>
        <v>-1.2710188457276673E-13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395.89088353191511</v>
      </c>
      <c r="T105" s="62">
        <f t="shared" si="88"/>
        <v>322.63468857063492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4.8553543742961915</v>
      </c>
      <c r="AA105" s="23">
        <f>EXP(-LN(2)/25)*AA104+(1-EXP(-LN(2)/25))/(LN(2)/25)*Calculateur!V105*Calculateur!X105*VLOOKUP('Données projet'!$B$9,Paramètres!$A$1:$I$89,3,0)*0.475*44/12</f>
        <v>1.7578669607052773</v>
      </c>
      <c r="AB105" s="23">
        <f>EXP(-LN(2)/2)*AB104+(1-EXP(-LN(2)/2))/(LN(2)/2)*V105*Y105*VLOOKUP('Données projet'!$B$9,Paramètres!$A$1:$I$89,3,0)*0.475*44/12</f>
        <v>4.9007322006960873E-11</v>
      </c>
      <c r="AC105" s="24">
        <f t="shared" si="57"/>
        <v>6.6132213350504756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11.222222222222221</v>
      </c>
      <c r="AI105" s="14">
        <f>IF('Données projet'!$A$62&gt;35,AI104+AH105-AQ104,IF(A105&lt;'Données projet'!$A$62,$AF$205^A105,IF(A105='Données projet'!$A$62,'Données projet'!$B$62,AI104+AH105-AQ104)))</f>
        <v>850.22222222222115</v>
      </c>
      <c r="AJ105" s="14">
        <f>AI105*VLOOKUP('Données projet'!$B$10,Paramètres!$A$1:$I$89,3,0)*VLOOKUP('Données projet'!$B$10,Paramètres!$A$1:$I$89,5,0)</f>
        <v>420.00977777777729</v>
      </c>
      <c r="AK105" s="14">
        <f t="shared" si="89"/>
        <v>95.821744109696056</v>
      </c>
      <c r="AL105" s="22">
        <f t="shared" si="58"/>
        <v>898.4065672873495</v>
      </c>
      <c r="AM105" s="62">
        <f t="shared" si="59"/>
        <v>1191.7399006206829</v>
      </c>
      <c r="AN105" s="62">
        <f ca="1">AVERAGE(OFFSET($AM$3,0,0,'Données projet'!$E$10+1,1))-AVERAGE(OFFSET($H$3,0,0,'Données projet'!$E$10+1,1))</f>
        <v>476.32595424393645</v>
      </c>
      <c r="AO105" s="62">
        <f t="shared" si="90"/>
        <v>36.065940605453875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-2.2737367544323206E-13</v>
      </c>
      <c r="BE105" s="14">
        <f>BD105*VLOOKUP('Données projet'!$B$11,Paramètres!$A$1:$I$89,3,0)*VLOOKUP('Données projet'!$B$11,Paramètres!$A$1:$I$89,5,0)</f>
        <v>-1.8089849618263545E-13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225.02590532358471</v>
      </c>
      <c r="BJ105" s="62">
        <f t="shared" si="92"/>
        <v>224.00025638752402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0.62725491943349609</v>
      </c>
      <c r="BQ105" s="23">
        <f>EXP(-LN(2)/25)*BQ104+(1-EXP(-LN(2)/25))/(LN(2)/25)*Calculateur!BL105*Calculateur!BN105*VLOOKUP('Données projet'!$B$11,Paramètres!$A$1:$I$89,3,0)*0.475*44/12</f>
        <v>1.2358476617318155</v>
      </c>
      <c r="BR105" s="23">
        <f>EXP(-LN(2)/2)*BR104+(1-EXP(-LN(2)/2))/(LN(2)/2)*BL105*BO105*VLOOKUP('Données projet'!$B$11,Paramètres!$A$1:$I$89,3,0)*0.475*44/12</f>
        <v>2.2451138658828849E-10</v>
      </c>
      <c r="BS105" s="24">
        <f t="shared" si="63"/>
        <v>1.8631025813898228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-2.2737367544323206E-13</v>
      </c>
      <c r="O106" s="14">
        <f>N106*VLOOKUP('Données projet'!$B$9,Paramètres!$A$1:$I$89,3,0)*VLOOKUP('Données projet'!$B$9,Paramètres!$A$1:$I$89,5,0)</f>
        <v>-1.2710188457276673E-13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395.89088353191511</v>
      </c>
      <c r="T106" s="62">
        <f t="shared" si="88"/>
        <v>322.63468857063492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4.7601438364899904</v>
      </c>
      <c r="AA106" s="23">
        <f>EXP(-LN(2)/25)*AA105+(1-EXP(-LN(2)/25))/(LN(2)/25)*Calculateur!V106*Calculateur!X106*VLOOKUP('Données projet'!$B$9,Paramètres!$A$1:$I$89,3,0)*0.475*44/12</f>
        <v>1.7097979962225855</v>
      </c>
      <c r="AB106" s="23">
        <f>EXP(-LN(2)/2)*AB105+(1-EXP(-LN(2)/2))/(LN(2)/2)*V106*Y106*VLOOKUP('Données projet'!$B$9,Paramètres!$A$1:$I$89,3,0)*0.475*44/12</f>
        <v>3.4653409718914756E-11</v>
      </c>
      <c r="AC106" s="24">
        <f t="shared" si="57"/>
        <v>6.4699418327472289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11.222222222222221</v>
      </c>
      <c r="AI106" s="14">
        <f>IF('Données projet'!$A$62&gt;35,AI105+AH106-AQ105,IF(A106&lt;'Données projet'!$A$62,$AF$205^A106,IF(A106='Données projet'!$A$62,'Données projet'!$B$62,AI105+AH106-AQ105)))</f>
        <v>861.44444444444332</v>
      </c>
      <c r="AJ106" s="14">
        <f>AI106*VLOOKUP('Données projet'!$B$10,Paramètres!$A$1:$I$89,3,0)*VLOOKUP('Données projet'!$B$10,Paramètres!$A$1:$I$89,5,0)</f>
        <v>425.55355555555496</v>
      </c>
      <c r="AK106" s="14">
        <f t="shared" si="89"/>
        <v>96.938437820511865</v>
      </c>
      <c r="AL106" s="22">
        <f t="shared" si="58"/>
        <v>910.00688846331639</v>
      </c>
      <c r="AM106" s="62">
        <f t="shared" si="59"/>
        <v>1203.3402217966498</v>
      </c>
      <c r="AN106" s="62">
        <f ca="1">AVERAGE(OFFSET($AM$3,0,0,'Données projet'!$E$10+1,1))-AVERAGE(OFFSET($H$3,0,0,'Données projet'!$E$10+1,1))</f>
        <v>476.32595424393645</v>
      </c>
      <c r="AO106" s="62">
        <f t="shared" si="90"/>
        <v>36.065940605453875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-2.2737367544323206E-13</v>
      </c>
      <c r="BE106" s="14">
        <f>BD106*VLOOKUP('Données projet'!$B$11,Paramètres!$A$1:$I$89,3,0)*VLOOKUP('Données projet'!$B$11,Paramètres!$A$1:$I$89,5,0)</f>
        <v>-1.8089849618263545E-13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225.02590532358471</v>
      </c>
      <c r="BJ106" s="62">
        <f t="shared" si="92"/>
        <v>224.00025638752402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0.61495483305112864</v>
      </c>
      <c r="BQ106" s="23">
        <f>EXP(-LN(2)/25)*BQ105+(1-EXP(-LN(2)/25))/(LN(2)/25)*Calculateur!BL106*Calculateur!BN106*VLOOKUP('Données projet'!$B$11,Paramètres!$A$1:$I$89,3,0)*0.475*44/12</f>
        <v>1.2020533424313551</v>
      </c>
      <c r="BR106" s="23">
        <f>EXP(-LN(2)/2)*BR105+(1-EXP(-LN(2)/2))/(LN(2)/2)*BL106*BO106*VLOOKUP('Données projet'!$B$11,Paramètres!$A$1:$I$89,3,0)*0.475*44/12</f>
        <v>1.5875352391017329E-10</v>
      </c>
      <c r="BS106" s="24">
        <f t="shared" si="63"/>
        <v>1.8170081756412371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-2.2737367544323206E-13</v>
      </c>
      <c r="O107" s="14">
        <f>N107*VLOOKUP('Données projet'!$B$9,Paramètres!$A$1:$I$89,3,0)*VLOOKUP('Données projet'!$B$9,Paramètres!$A$1:$I$89,5,0)</f>
        <v>-1.2710188457276673E-13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395.89088353191511</v>
      </c>
      <c r="T107" s="62">
        <f t="shared" si="88"/>
        <v>322.63468857063492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4.666800319257475</v>
      </c>
      <c r="AA107" s="23">
        <f>EXP(-LN(2)/25)*AA106+(1-EXP(-LN(2)/25))/(LN(2)/25)*Calculateur!V107*Calculateur!X107*VLOOKUP('Données projet'!$B$9,Paramètres!$A$1:$I$89,3,0)*0.475*44/12</f>
        <v>1.6630434801015102</v>
      </c>
      <c r="AB107" s="23">
        <f>EXP(-LN(2)/2)*AB106+(1-EXP(-LN(2)/2))/(LN(2)/2)*V107*Y107*VLOOKUP('Données projet'!$B$9,Paramètres!$A$1:$I$89,3,0)*0.475*44/12</f>
        <v>2.4503661003480436E-11</v>
      </c>
      <c r="AC107" s="24">
        <f t="shared" si="57"/>
        <v>6.3298437993834886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11.222222222222221</v>
      </c>
      <c r="AI107" s="14">
        <f>IF('Données projet'!$A$62&gt;35,AI106+AH107-AQ106,IF(A107&lt;'Données projet'!$A$62,$AF$205^A107,IF(A107='Données projet'!$A$62,'Données projet'!$B$62,AI106+AH107-AQ106)))</f>
        <v>872.66666666666549</v>
      </c>
      <c r="AJ107" s="14">
        <f>AI107*VLOOKUP('Données projet'!$B$10,Paramètres!$A$1:$I$89,3,0)*VLOOKUP('Données projet'!$B$10,Paramètres!$A$1:$I$89,5,0)</f>
        <v>431.09733333333276</v>
      </c>
      <c r="AK107" s="14">
        <f t="shared" si="89"/>
        <v>98.053439445466509</v>
      </c>
      <c r="AL107" s="22">
        <f t="shared" si="58"/>
        <v>921.60426258974201</v>
      </c>
      <c r="AM107" s="62">
        <f t="shared" si="59"/>
        <v>1214.9375959230754</v>
      </c>
      <c r="AN107" s="62">
        <f ca="1">AVERAGE(OFFSET($AM$3,0,0,'Données projet'!$E$10+1,1))-AVERAGE(OFFSET($H$3,0,0,'Données projet'!$E$10+1,1))</f>
        <v>476.32595424393645</v>
      </c>
      <c r="AO107" s="62">
        <f t="shared" si="90"/>
        <v>36.065940605453875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-2.2737367544323206E-13</v>
      </c>
      <c r="BE107" s="14">
        <f>BD107*VLOOKUP('Données projet'!$B$11,Paramètres!$A$1:$I$89,3,0)*VLOOKUP('Données projet'!$B$11,Paramètres!$A$1:$I$89,5,0)</f>
        <v>-1.8089849618263545E-13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225.02590532358471</v>
      </c>
      <c r="BJ107" s="62">
        <f t="shared" si="92"/>
        <v>224.00025638752402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0.60289594386040757</v>
      </c>
      <c r="BQ107" s="23">
        <f>EXP(-LN(2)/25)*BQ106+(1-EXP(-LN(2)/25))/(LN(2)/25)*Calculateur!BL107*Calculateur!BN107*VLOOKUP('Données projet'!$B$11,Paramètres!$A$1:$I$89,3,0)*0.475*44/12</f>
        <v>1.1691831305693317</v>
      </c>
      <c r="BR107" s="23">
        <f>EXP(-LN(2)/2)*BR106+(1-EXP(-LN(2)/2))/(LN(2)/2)*BL107*BO107*VLOOKUP('Données projet'!$B$11,Paramètres!$A$1:$I$89,3,0)*0.475*44/12</f>
        <v>1.1225569329414425E-10</v>
      </c>
      <c r="BS107" s="24">
        <f t="shared" si="63"/>
        <v>1.772079074541995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-2.2737367544323206E-13</v>
      </c>
      <c r="O108" s="14">
        <f>N108*VLOOKUP('Données projet'!$B$9,Paramètres!$A$1:$I$89,3,0)*VLOOKUP('Données projet'!$B$9,Paramètres!$A$1:$I$89,5,0)</f>
        <v>-1.2710188457276673E-13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395.89088353191511</v>
      </c>
      <c r="T108" s="62">
        <f t="shared" si="88"/>
        <v>322.63468857063492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4.5752872114639658</v>
      </c>
      <c r="AA108" s="23">
        <f>EXP(-LN(2)/25)*AA107+(1-EXP(-LN(2)/25))/(LN(2)/25)*Calculateur!V108*Calculateur!X108*VLOOKUP('Données projet'!$B$9,Paramètres!$A$1:$I$89,3,0)*0.475*44/12</f>
        <v>1.6175674686824786</v>
      </c>
      <c r="AB108" s="23">
        <f>EXP(-LN(2)/2)*AB107+(1-EXP(-LN(2)/2))/(LN(2)/2)*V108*Y108*VLOOKUP('Données projet'!$B$9,Paramètres!$A$1:$I$89,3,0)*0.475*44/12</f>
        <v>1.7326704859457378E-11</v>
      </c>
      <c r="AC108" s="24">
        <f t="shared" si="57"/>
        <v>6.1928546801637712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11.222222222222221</v>
      </c>
      <c r="AI108" s="14">
        <f>IF('Données projet'!$A$62&gt;35,AI107+AH108-AQ107,IF(A108&lt;'Données projet'!$A$62,$AF$205^A108,IF(A108='Données projet'!$A$62,'Données projet'!$B$62,AI107+AH108-AQ107)))</f>
        <v>883.88888888888766</v>
      </c>
      <c r="AJ108" s="14">
        <f>AI108*VLOOKUP('Données projet'!$B$10,Paramètres!$A$1:$I$89,3,0)*VLOOKUP('Données projet'!$B$10,Paramètres!$A$1:$I$89,5,0)</f>
        <v>436.64111111111055</v>
      </c>
      <c r="AK108" s="14">
        <f t="shared" si="89"/>
        <v>99.166773260261238</v>
      </c>
      <c r="AL108" s="22">
        <f t="shared" si="58"/>
        <v>933.19873194680576</v>
      </c>
      <c r="AM108" s="62">
        <f t="shared" si="59"/>
        <v>1226.532065280139</v>
      </c>
      <c r="AN108" s="62">
        <f ca="1">AVERAGE(OFFSET($AM$3,0,0,'Données projet'!$E$10+1,1))-AVERAGE(OFFSET($H$3,0,0,'Données projet'!$E$10+1,1))</f>
        <v>476.32595424393645</v>
      </c>
      <c r="AO108" s="62">
        <f t="shared" si="90"/>
        <v>36.065940605453875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-2.2737367544323206E-13</v>
      </c>
      <c r="BE108" s="14">
        <f>BD108*VLOOKUP('Données projet'!$B$11,Paramètres!$A$1:$I$89,3,0)*VLOOKUP('Données projet'!$B$11,Paramètres!$A$1:$I$89,5,0)</f>
        <v>-1.8089849618263545E-13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225.02590532358471</v>
      </c>
      <c r="BJ108" s="62">
        <f t="shared" si="92"/>
        <v>224.00025638752402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0.59107352213152042</v>
      </c>
      <c r="BQ108" s="23">
        <f>EXP(-LN(2)/25)*BQ107+(1-EXP(-LN(2)/25))/(LN(2)/25)*Calculateur!BL108*Calculateur!BN108*VLOOKUP('Données projet'!$B$11,Paramètres!$A$1:$I$89,3,0)*0.475*44/12</f>
        <v>1.1372117563792445</v>
      </c>
      <c r="BR108" s="23">
        <f>EXP(-LN(2)/2)*BR107+(1-EXP(-LN(2)/2))/(LN(2)/2)*BL108*BO108*VLOOKUP('Données projet'!$B$11,Paramètres!$A$1:$I$89,3,0)*0.475*44/12</f>
        <v>7.9376761955086645E-11</v>
      </c>
      <c r="BS108" s="24">
        <f t="shared" si="63"/>
        <v>1.7282852785901417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-2.2737367544323206E-13</v>
      </c>
      <c r="O109" s="14">
        <f>N109*VLOOKUP('Données projet'!$B$9,Paramètres!$A$1:$I$89,3,0)*VLOOKUP('Données projet'!$B$9,Paramètres!$A$1:$I$89,5,0)</f>
        <v>-1.2710188457276673E-13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395.89088353191511</v>
      </c>
      <c r="T109" s="62">
        <f t="shared" si="88"/>
        <v>322.63468857063492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4.485568619896803</v>
      </c>
      <c r="AA109" s="23">
        <f>EXP(-LN(2)/25)*AA108+(1-EXP(-LN(2)/25))/(LN(2)/25)*Calculateur!V109*Calculateur!X109*VLOOKUP('Données projet'!$B$9,Paramètres!$A$1:$I$89,3,0)*0.475*44/12</f>
        <v>1.5733350011871801</v>
      </c>
      <c r="AB109" s="23">
        <f>EXP(-LN(2)/2)*AB108+(1-EXP(-LN(2)/2))/(LN(2)/2)*V109*Y109*VLOOKUP('Données projet'!$B$9,Paramètres!$A$1:$I$89,3,0)*0.475*44/12</f>
        <v>1.2251830501740218E-11</v>
      </c>
      <c r="AC109" s="24">
        <f t="shared" si="57"/>
        <v>6.0589036210962348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11.222222222222221</v>
      </c>
      <c r="AI109" s="14">
        <f>IF('Données projet'!$A$62&gt;35,AI108+AH109-AQ108,IF(A109&lt;'Données projet'!$A$62,$AF$205^A109,IF(A109='Données projet'!$A$62,'Données projet'!$B$62,AI108+AH109-AQ108)))</f>
        <v>895.11111111110984</v>
      </c>
      <c r="AJ109" s="14">
        <f>AI109*VLOOKUP('Données projet'!$B$10,Paramètres!$A$1:$I$89,3,0)*VLOOKUP('Données projet'!$B$10,Paramètres!$A$1:$I$89,5,0)</f>
        <v>442.18488888888828</v>
      </c>
      <c r="AK109" s="14">
        <f t="shared" si="89"/>
        <v>100.27846288872149</v>
      </c>
      <c r="AL109" s="22">
        <f t="shared" si="58"/>
        <v>944.79033767933697</v>
      </c>
      <c r="AM109" s="62">
        <f t="shared" si="59"/>
        <v>1238.1236710126702</v>
      </c>
      <c r="AN109" s="62">
        <f ca="1">AVERAGE(OFFSET($AM$3,0,0,'Données projet'!$E$10+1,1))-AVERAGE(OFFSET($H$3,0,0,'Données projet'!$E$10+1,1))</f>
        <v>476.32595424393645</v>
      </c>
      <c r="AO109" s="62">
        <f t="shared" si="90"/>
        <v>36.065940605453875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-2.2737367544323206E-13</v>
      </c>
      <c r="BE109" s="14">
        <f>BD109*VLOOKUP('Données projet'!$B$11,Paramètres!$A$1:$I$89,3,0)*VLOOKUP('Données projet'!$B$11,Paramètres!$A$1:$I$89,5,0)</f>
        <v>-1.8089849618263545E-13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225.02590532358471</v>
      </c>
      <c r="BJ109" s="62">
        <f t="shared" si="92"/>
        <v>224.00025638752402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0.5794829308817715</v>
      </c>
      <c r="BQ109" s="23">
        <f>EXP(-LN(2)/25)*BQ108+(1-EXP(-LN(2)/25))/(LN(2)/25)*Calculateur!BL109*Calculateur!BN109*VLOOKUP('Données projet'!$B$11,Paramètres!$A$1:$I$89,3,0)*0.475*44/12</f>
        <v>1.106114641097687</v>
      </c>
      <c r="BR109" s="23">
        <f>EXP(-LN(2)/2)*BR108+(1-EXP(-LN(2)/2))/(LN(2)/2)*BL109*BO109*VLOOKUP('Données projet'!$B$11,Paramètres!$A$1:$I$89,3,0)*0.475*44/12</f>
        <v>5.6127846647072123E-11</v>
      </c>
      <c r="BS109" s="24">
        <f t="shared" si="63"/>
        <v>1.6855975720355862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-2.2737367544323206E-13</v>
      </c>
      <c r="O110" s="14">
        <f>N110*VLOOKUP('Données projet'!$B$9,Paramètres!$A$1:$I$89,3,0)*VLOOKUP('Données projet'!$B$9,Paramètres!$A$1:$I$89,5,0)</f>
        <v>-1.2710188457276673E-13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395.89088353191511</v>
      </c>
      <c r="T110" s="62">
        <f t="shared" si="88"/>
        <v>322.63468857063492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4.3976093551873348</v>
      </c>
      <c r="AA110" s="23">
        <f>EXP(-LN(2)/25)*AA109+(1-EXP(-LN(2)/25))/(LN(2)/25)*Calculateur!V110*Calculateur!X110*VLOOKUP('Données projet'!$B$9,Paramètres!$A$1:$I$89,3,0)*0.475*44/12</f>
        <v>1.5303120728416248</v>
      </c>
      <c r="AB110" s="23">
        <f>EXP(-LN(2)/2)*AB109+(1-EXP(-LN(2)/2))/(LN(2)/2)*V110*Y110*VLOOKUP('Données projet'!$B$9,Paramètres!$A$1:$I$89,3,0)*0.475*44/12</f>
        <v>8.6633524297286891E-12</v>
      </c>
      <c r="AC110" s="24">
        <f t="shared" si="57"/>
        <v>5.9279214280376227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11.222222222222221</v>
      </c>
      <c r="AI110" s="14">
        <f>IF('Données projet'!$A$62&gt;35,AI109+AH110-AQ109,IF(A110&lt;'Données projet'!$A$62,$AF$205^A110,IF(A110='Données projet'!$A$62,'Données projet'!$B$62,AI109+AH110-AQ109)))</f>
        <v>906.33333333333201</v>
      </c>
      <c r="AJ110" s="14">
        <f>AI110*VLOOKUP('Données projet'!$B$10,Paramètres!$A$1:$I$89,3,0)*VLOOKUP('Données projet'!$B$10,Paramètres!$A$1:$I$89,5,0)</f>
        <v>447.72866666666607</v>
      </c>
      <c r="AK110" s="14">
        <f t="shared" si="89"/>
        <v>101.38853132825113</v>
      </c>
      <c r="AL110" s="22">
        <f t="shared" si="58"/>
        <v>956.37911984114737</v>
      </c>
      <c r="AM110" s="62">
        <f t="shared" si="59"/>
        <v>1249.7124531744807</v>
      </c>
      <c r="AN110" s="62">
        <f ca="1">AVERAGE(OFFSET($AM$3,0,0,'Données projet'!$E$10+1,1))-AVERAGE(OFFSET($H$3,0,0,'Données projet'!$E$10+1,1))</f>
        <v>476.32595424393645</v>
      </c>
      <c r="AO110" s="62">
        <f t="shared" si="90"/>
        <v>36.065940605453875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-2.2737367544323206E-13</v>
      </c>
      <c r="BE110" s="14">
        <f>BD110*VLOOKUP('Données projet'!$B$11,Paramètres!$A$1:$I$89,3,0)*VLOOKUP('Données projet'!$B$11,Paramètres!$A$1:$I$89,5,0)</f>
        <v>-1.8089849618263545E-13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225.02590532358471</v>
      </c>
      <c r="BJ110" s="62">
        <f t="shared" si="92"/>
        <v>224.00025638752402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0.56811962405686756</v>
      </c>
      <c r="BQ110" s="23">
        <f>EXP(-LN(2)/25)*BQ109+(1-EXP(-LN(2)/25))/(LN(2)/25)*Calculateur!BL110*Calculateur!BN110*VLOOKUP('Données projet'!$B$11,Paramètres!$A$1:$I$89,3,0)*0.475*44/12</f>
        <v>1.0758678780688298</v>
      </c>
      <c r="BR110" s="23">
        <f>EXP(-LN(2)/2)*BR109+(1-EXP(-LN(2)/2))/(LN(2)/2)*BL110*BO110*VLOOKUP('Données projet'!$B$11,Paramètres!$A$1:$I$89,3,0)*0.475*44/12</f>
        <v>3.9688380977543323E-11</v>
      </c>
      <c r="BS110" s="24">
        <f t="shared" si="63"/>
        <v>1.6439875021653858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-2.2737367544323206E-13</v>
      </c>
      <c r="O111" s="14">
        <f>N111*VLOOKUP('Données projet'!$B$9,Paramètres!$A$1:$I$89,3,0)*VLOOKUP('Données projet'!$B$9,Paramètres!$A$1:$I$89,5,0)</f>
        <v>-1.2710188457276673E-13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395.89088353191511</v>
      </c>
      <c r="T111" s="62">
        <f t="shared" si="88"/>
        <v>322.63468857063492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4.3113749180089647</v>
      </c>
      <c r="AA111" s="23">
        <f>EXP(-LN(2)/25)*AA110+(1-EXP(-LN(2)/25))/(LN(2)/25)*Calculateur!V111*Calculateur!X111*VLOOKUP('Données projet'!$B$9,Paramètres!$A$1:$I$89,3,0)*0.475*44/12</f>
        <v>1.4884656087341563</v>
      </c>
      <c r="AB111" s="23">
        <f>EXP(-LN(2)/2)*AB110+(1-EXP(-LN(2)/2))/(LN(2)/2)*V111*Y111*VLOOKUP('Données projet'!$B$9,Paramètres!$A$1:$I$89,3,0)*0.475*44/12</f>
        <v>6.1259152508701091E-12</v>
      </c>
      <c r="AC111" s="24">
        <f t="shared" si="57"/>
        <v>5.7998405267492465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11.222222222222221</v>
      </c>
      <c r="AI111" s="14">
        <f>IF('Données projet'!$A$62&gt;35,AI110+AH111-AQ110,IF(A111&lt;'Données projet'!$A$62,$AF$205^A111,IF(A111='Données projet'!$A$62,'Données projet'!$B$62,AI110+AH111-AQ110)))</f>
        <v>917.55555555555418</v>
      </c>
      <c r="AJ111" s="14">
        <f>AI111*VLOOKUP('Données projet'!$B$10,Paramètres!$A$1:$I$89,3,0)*VLOOKUP('Données projet'!$B$10,Paramètres!$A$1:$I$89,5,0)</f>
        <v>453.27244444444375</v>
      </c>
      <c r="AK111" s="14">
        <f t="shared" si="89"/>
        <v>102.49700097398897</v>
      </c>
      <c r="AL111" s="22">
        <f t="shared" si="58"/>
        <v>967.96511743710346</v>
      </c>
      <c r="AM111" s="62">
        <f t="shared" si="59"/>
        <v>1261.2984507704368</v>
      </c>
      <c r="AN111" s="62">
        <f ca="1">AVERAGE(OFFSET($AM$3,0,0,'Données projet'!$E$10+1,1))-AVERAGE(OFFSET($H$3,0,0,'Données projet'!$E$10+1,1))</f>
        <v>476.32595424393645</v>
      </c>
      <c r="AO111" s="62">
        <f t="shared" si="90"/>
        <v>36.065940605453875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-2.2737367544323206E-13</v>
      </c>
      <c r="BE111" s="14">
        <f>BD111*VLOOKUP('Données projet'!$B$11,Paramètres!$A$1:$I$89,3,0)*VLOOKUP('Données projet'!$B$11,Paramètres!$A$1:$I$89,5,0)</f>
        <v>-1.8089849618263545E-13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225.02590532358471</v>
      </c>
      <c r="BJ111" s="62">
        <f t="shared" si="92"/>
        <v>224.00025638752402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0.55697914474786714</v>
      </c>
      <c r="BQ111" s="23">
        <f>EXP(-LN(2)/25)*BQ110+(1-EXP(-LN(2)/25))/(LN(2)/25)*Calculateur!BL111*Calculateur!BN111*VLOOKUP('Données projet'!$B$11,Paramètres!$A$1:$I$89,3,0)*0.475*44/12</f>
        <v>1.0464482143656049</v>
      </c>
      <c r="BR111" s="23">
        <f>EXP(-LN(2)/2)*BR110+(1-EXP(-LN(2)/2))/(LN(2)/2)*BL111*BO111*VLOOKUP('Données projet'!$B$11,Paramètres!$A$1:$I$89,3,0)*0.475*44/12</f>
        <v>2.8063923323536062E-11</v>
      </c>
      <c r="BS111" s="24">
        <f t="shared" si="63"/>
        <v>1.603427359141536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-2.2737367544323206E-13</v>
      </c>
      <c r="O112" s="14">
        <f>N112*VLOOKUP('Données projet'!$B$9,Paramètres!$A$1:$I$89,3,0)*VLOOKUP('Données projet'!$B$9,Paramètres!$A$1:$I$89,5,0)</f>
        <v>-1.2710188457276673E-13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395.89088353191511</v>
      </c>
      <c r="T112" s="62">
        <f t="shared" si="88"/>
        <v>322.63468857063492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4.2268314855458495</v>
      </c>
      <c r="AA112" s="23">
        <f>EXP(-LN(2)/25)*AA111+(1-EXP(-LN(2)/25))/(LN(2)/25)*Calculateur!V112*Calculateur!X112*VLOOKUP('Données projet'!$B$9,Paramètres!$A$1:$I$89,3,0)*0.475*44/12</f>
        <v>1.4477634383883164</v>
      </c>
      <c r="AB112" s="23">
        <f>EXP(-LN(2)/2)*AB111+(1-EXP(-LN(2)/2))/(LN(2)/2)*V112*Y112*VLOOKUP('Données projet'!$B$9,Paramètres!$A$1:$I$89,3,0)*0.475*44/12</f>
        <v>4.3316762148643445E-12</v>
      </c>
      <c r="AC112" s="24">
        <f t="shared" si="57"/>
        <v>5.6745949239384972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11.222222222222221</v>
      </c>
      <c r="AI112" s="14">
        <f>IF('Données projet'!$A$62&gt;35,AI111+AH112-AQ111,IF(A112&lt;'Données projet'!$A$62,$AF$205^A112,IF(A112='Données projet'!$A$62,'Données projet'!$B$62,AI111+AH112-AQ111)))</f>
        <v>928.77777777777635</v>
      </c>
      <c r="AJ112" s="14">
        <f>AI112*VLOOKUP('Données projet'!$B$10,Paramètres!$A$1:$I$89,3,0)*VLOOKUP('Données projet'!$B$10,Paramètres!$A$1:$I$89,5,0)</f>
        <v>458.81622222222154</v>
      </c>
      <c r="AK112" s="14">
        <f t="shared" si="89"/>
        <v>103.60389364175023</v>
      </c>
      <c r="AL112" s="22">
        <f t="shared" si="58"/>
        <v>979.5483684630841</v>
      </c>
      <c r="AM112" s="62">
        <f t="shared" si="59"/>
        <v>1272.8817017964175</v>
      </c>
      <c r="AN112" s="62">
        <f ca="1">AVERAGE(OFFSET($AM$3,0,0,'Données projet'!$E$10+1,1))-AVERAGE(OFFSET($H$3,0,0,'Données projet'!$E$10+1,1))</f>
        <v>476.32595424393645</v>
      </c>
      <c r="AO112" s="62">
        <f t="shared" si="90"/>
        <v>36.065940605453875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-2.2737367544323206E-13</v>
      </c>
      <c r="BE112" s="14">
        <f>BD112*VLOOKUP('Données projet'!$B$11,Paramètres!$A$1:$I$89,3,0)*VLOOKUP('Données projet'!$B$11,Paramètres!$A$1:$I$89,5,0)</f>
        <v>-1.8089849618263545E-13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225.02590532358471</v>
      </c>
      <c r="BJ112" s="62">
        <f t="shared" si="92"/>
        <v>224.00025638752402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0.54605712344309487</v>
      </c>
      <c r="BQ112" s="23">
        <f>EXP(-LN(2)/25)*BQ111+(1-EXP(-LN(2)/25))/(LN(2)/25)*Calculateur!BL112*Calculateur!BN112*VLOOKUP('Données projet'!$B$11,Paramètres!$A$1:$I$89,3,0)*0.475*44/12</f>
        <v>1.0178330329134575</v>
      </c>
      <c r="BR112" s="23">
        <f>EXP(-LN(2)/2)*BR111+(1-EXP(-LN(2)/2))/(LN(2)/2)*BL112*BO112*VLOOKUP('Données projet'!$B$11,Paramètres!$A$1:$I$89,3,0)*0.475*44/12</f>
        <v>1.9844190488771661E-11</v>
      </c>
      <c r="BS112" s="24">
        <f t="shared" si="63"/>
        <v>1.5638901563763965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-2.2737367544323206E-13</v>
      </c>
      <c r="O113" s="14">
        <f>N113*VLOOKUP('Données projet'!$B$9,Paramètres!$A$1:$I$89,3,0)*VLOOKUP('Données projet'!$B$9,Paramètres!$A$1:$I$89,5,0)</f>
        <v>-1.2710188457276673E-13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395.89088353191511</v>
      </c>
      <c r="T113" s="62">
        <f t="shared" si="88"/>
        <v>322.63468857063492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4.1439458982269342</v>
      </c>
      <c r="AA113" s="23">
        <f>EXP(-LN(2)/25)*AA112+(1-EXP(-LN(2)/25))/(LN(2)/25)*Calculateur!V113*Calculateur!X113*VLOOKUP('Données projet'!$B$9,Paramètres!$A$1:$I$89,3,0)*0.475*44/12</f>
        <v>1.4081742710310177</v>
      </c>
      <c r="AB113" s="23">
        <f>EXP(-LN(2)/2)*AB112+(1-EXP(-LN(2)/2))/(LN(2)/2)*V113*Y113*VLOOKUP('Données projet'!$B$9,Paramètres!$A$1:$I$89,3,0)*0.475*44/12</f>
        <v>3.0629576254350545E-12</v>
      </c>
      <c r="AC113" s="24">
        <f t="shared" si="57"/>
        <v>5.5521201692610154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940</v>
      </c>
      <c r="AG113" s="13">
        <f>VLOOKUP(A113,'Données projet'!$A$61:$I$81,9,0)</f>
        <v>11.222222222222221</v>
      </c>
      <c r="AH113" s="13">
        <f t="array" ref="AH113">INDEX(AG:AG,MIN(IF(ISNUMBER(AG113:AG309),ROW(AG113:AG309),"")))</f>
        <v>11.222222222222221</v>
      </c>
      <c r="AI113" s="14">
        <f>IF('Données projet'!$A$62&gt;35,AI112+AH113-AQ112,IF(A113&lt;'Données projet'!$A$62,$AF$205^A113,IF(A113='Données projet'!$A$62,'Données projet'!$B$62,AI112+AH113-AQ112)))</f>
        <v>939.99999999999852</v>
      </c>
      <c r="AJ113" s="14">
        <f>AI113*VLOOKUP('Données projet'!$B$10,Paramètres!$A$1:$I$89,3,0)*VLOOKUP('Données projet'!$B$10,Paramètres!$A$1:$I$89,5,0)</f>
        <v>464.35999999999927</v>
      </c>
      <c r="AK113" s="14">
        <f t="shared" si="89"/>
        <v>104.709230589828</v>
      </c>
      <c r="AL113" s="22">
        <f t="shared" si="58"/>
        <v>991.12890994394911</v>
      </c>
      <c r="AM113" s="62">
        <f t="shared" si="59"/>
        <v>1284.4622432772824</v>
      </c>
      <c r="AN113" s="62">
        <f ca="1">AVERAGE(OFFSET($AM$3,0,0,'Données projet'!$E$10+1,1))-AVERAGE(OFFSET($H$3,0,0,'Données projet'!$E$10+1,1))</f>
        <v>476.32595424393645</v>
      </c>
      <c r="AO113" s="62">
        <f t="shared" si="90"/>
        <v>36.065940605453875</v>
      </c>
      <c r="AP113" s="16">
        <f>IF(ISNA(VLOOKUP(A113,'Données projet'!$A$61:$I$81,3,0)),0,VLOOKUP(A113,'Données projet'!$A$61:$I$81,3,0))</f>
        <v>10</v>
      </c>
      <c r="AQ113" s="16">
        <f>IF(ISNA(VLOOKUP(A113,'Données projet'!$A$61:$I$81,4,0)),0,VLOOKUP(A113,'Données projet'!$A$61:$I$81,4,0))</f>
        <v>100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-2.2737367544323206E-13</v>
      </c>
      <c r="BE113" s="14">
        <f>BD113*VLOOKUP('Données projet'!$B$11,Paramètres!$A$1:$I$89,3,0)*VLOOKUP('Données projet'!$B$11,Paramètres!$A$1:$I$89,5,0)</f>
        <v>-1.8089849618263545E-13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225.02590532358471</v>
      </c>
      <c r="BJ113" s="62">
        <f t="shared" si="92"/>
        <v>224.00025638752402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0.53534927631433393</v>
      </c>
      <c r="BQ113" s="23">
        <f>EXP(-LN(2)/25)*BQ112+(1-EXP(-LN(2)/25))/(LN(2)/25)*Calculateur!BL113*Calculateur!BN113*VLOOKUP('Données projet'!$B$11,Paramètres!$A$1:$I$89,3,0)*0.475*44/12</f>
        <v>0.99000033510292607</v>
      </c>
      <c r="BR113" s="23">
        <f>EXP(-LN(2)/2)*BR112+(1-EXP(-LN(2)/2))/(LN(2)/2)*BL113*BO113*VLOOKUP('Données projet'!$B$11,Paramètres!$A$1:$I$89,3,0)*0.475*44/12</f>
        <v>1.4031961661768031E-11</v>
      </c>
      <c r="BS113" s="24">
        <f t="shared" si="63"/>
        <v>1.5253496114312919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-2.2737367544323206E-13</v>
      </c>
      <c r="O114" s="14">
        <f>N114*VLOOKUP('Données projet'!$B$9,Paramètres!$A$1:$I$89,3,0)*VLOOKUP('Données projet'!$B$9,Paramètres!$A$1:$I$89,5,0)</f>
        <v>-1.2710188457276673E-13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395.89088353191511</v>
      </c>
      <c r="T114" s="62">
        <f t="shared" si="88"/>
        <v>322.63468857063492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4.0626856467201264</v>
      </c>
      <c r="AA114" s="23">
        <f>EXP(-LN(2)/25)*AA113+(1-EXP(-LN(2)/25))/(LN(2)/25)*Calculateur!V114*Calculateur!X114*VLOOKUP('Données projet'!$B$9,Paramètres!$A$1:$I$89,3,0)*0.475*44/12</f>
        <v>1.369667671537008</v>
      </c>
      <c r="AB114" s="23">
        <f>EXP(-LN(2)/2)*AB113+(1-EXP(-LN(2)/2))/(LN(2)/2)*V114*Y114*VLOOKUP('Données projet'!$B$9,Paramètres!$A$1:$I$89,3,0)*0.475*44/12</f>
        <v>2.1658381074321723E-12</v>
      </c>
      <c r="AC114" s="24">
        <f t="shared" si="57"/>
        <v>5.4323533182593007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9.7777777777777786</v>
      </c>
      <c r="AI114" s="14">
        <f>IF('Données projet'!$A$62&gt;35,AI113+AH114-AQ113,IF(A114&lt;'Données projet'!$A$62,$AF$205^A114,IF(A114='Données projet'!$A$62,'Données projet'!$B$62,AI113+AH114-AQ113)))</f>
        <v>849.77777777777635</v>
      </c>
      <c r="AJ114" s="14">
        <f>AI114*VLOOKUP('Données projet'!$B$10,Paramètres!$A$1:$I$89,3,0)*VLOOKUP('Données projet'!$B$10,Paramètres!$A$1:$I$89,5,0)</f>
        <v>419.79022222222159</v>
      </c>
      <c r="AK114" s="14">
        <f t="shared" si="89"/>
        <v>95.777483435629421</v>
      </c>
      <c r="AL114" s="22">
        <f t="shared" si="58"/>
        <v>897.9470873540904</v>
      </c>
      <c r="AM114" s="62">
        <f t="shared" si="59"/>
        <v>1191.2804206874237</v>
      </c>
      <c r="AN114" s="62">
        <f ca="1">AVERAGE(OFFSET($AM$3,0,0,'Données projet'!$E$10+1,1))-AVERAGE(OFFSET($H$3,0,0,'Données projet'!$E$10+1,1))</f>
        <v>476.32595424393645</v>
      </c>
      <c r="AO114" s="62">
        <f t="shared" si="90"/>
        <v>36.065940605453875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-2.2737367544323206E-13</v>
      </c>
      <c r="BE114" s="14">
        <f>BD114*VLOOKUP('Données projet'!$B$11,Paramètres!$A$1:$I$89,3,0)*VLOOKUP('Données projet'!$B$11,Paramètres!$A$1:$I$89,5,0)</f>
        <v>-1.8089849618263545E-13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225.02590532358471</v>
      </c>
      <c r="BJ114" s="62">
        <f t="shared" si="92"/>
        <v>224.00025638752402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0.52485140353662618</v>
      </c>
      <c r="BQ114" s="23">
        <f>EXP(-LN(2)/25)*BQ113+(1-EXP(-LN(2)/25))/(LN(2)/25)*Calculateur!BL114*Calculateur!BN114*VLOOKUP('Données projet'!$B$11,Paramètres!$A$1:$I$89,3,0)*0.475*44/12</f>
        <v>0.96292872387768158</v>
      </c>
      <c r="BR114" s="23">
        <f>EXP(-LN(2)/2)*BR113+(1-EXP(-LN(2)/2))/(LN(2)/2)*BL114*BO114*VLOOKUP('Données projet'!$B$11,Paramètres!$A$1:$I$89,3,0)*0.475*44/12</f>
        <v>9.9220952443858307E-12</v>
      </c>
      <c r="BS114" s="24">
        <f t="shared" si="63"/>
        <v>1.4877801274242299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-2.2737367544323206E-13</v>
      </c>
      <c r="O115" s="14">
        <f>N115*VLOOKUP('Données projet'!$B$9,Paramètres!$A$1:$I$89,3,0)*VLOOKUP('Données projet'!$B$9,Paramètres!$A$1:$I$89,5,0)</f>
        <v>-1.2710188457276673E-13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395.89088353191511</v>
      </c>
      <c r="T115" s="62">
        <f t="shared" si="88"/>
        <v>322.63468857063492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3.9830188591815077</v>
      </c>
      <c r="AA115" s="23">
        <f>EXP(-LN(2)/25)*AA114+(1-EXP(-LN(2)/25))/(LN(2)/25)*Calculateur!V115*Calculateur!X115*VLOOKUP('Données projet'!$B$9,Paramètres!$A$1:$I$89,3,0)*0.475*44/12</f>
        <v>1.3322140370311362</v>
      </c>
      <c r="AB115" s="23">
        <f>EXP(-LN(2)/2)*AB114+(1-EXP(-LN(2)/2))/(LN(2)/2)*V115*Y115*VLOOKUP('Données projet'!$B$9,Paramètres!$A$1:$I$89,3,0)*0.475*44/12</f>
        <v>1.5314788127175273E-12</v>
      </c>
      <c r="AC115" s="24">
        <f t="shared" si="57"/>
        <v>5.3152328962141748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9.7777777777777786</v>
      </c>
      <c r="AI115" s="14">
        <f>IF('Données projet'!$A$62&gt;35,AI114+AH115-AQ114,IF(A115&lt;'Données projet'!$A$62,$AF$205^A115,IF(A115='Données projet'!$A$62,'Données projet'!$B$62,AI114+AH115-AQ114)))</f>
        <v>859.55555555555418</v>
      </c>
      <c r="AJ115" s="14">
        <f>AI115*VLOOKUP('Données projet'!$B$10,Paramètres!$A$1:$I$89,3,0)*VLOOKUP('Données projet'!$B$10,Paramètres!$A$1:$I$89,5,0)</f>
        <v>424.62044444444382</v>
      </c>
      <c r="AK115" s="14">
        <f t="shared" si="89"/>
        <v>96.750598579133495</v>
      </c>
      <c r="AL115" s="22">
        <f t="shared" si="58"/>
        <v>908.05456659939694</v>
      </c>
      <c r="AM115" s="62">
        <f t="shared" si="59"/>
        <v>1201.3878999327303</v>
      </c>
      <c r="AN115" s="62">
        <f ca="1">AVERAGE(OFFSET($AM$3,0,0,'Données projet'!$E$10+1,1))-AVERAGE(OFFSET($H$3,0,0,'Données projet'!$E$10+1,1))</f>
        <v>476.32595424393645</v>
      </c>
      <c r="AO115" s="62">
        <f t="shared" si="90"/>
        <v>36.065940605453875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-2.2737367544323206E-13</v>
      </c>
      <c r="BE115" s="14">
        <f>BD115*VLOOKUP('Données projet'!$B$11,Paramètres!$A$1:$I$89,3,0)*VLOOKUP('Données projet'!$B$11,Paramètres!$A$1:$I$89,5,0)</f>
        <v>-1.8089849618263545E-13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225.02590532358471</v>
      </c>
      <c r="BJ115" s="62">
        <f t="shared" si="92"/>
        <v>224.00025638752402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0.51455938764101916</v>
      </c>
      <c r="BQ115" s="23">
        <f>EXP(-LN(2)/25)*BQ114+(1-EXP(-LN(2)/25))/(LN(2)/25)*Calculateur!BL115*Calculateur!BN115*VLOOKUP('Données projet'!$B$11,Paramètres!$A$1:$I$89,3,0)*0.475*44/12</f>
        <v>0.93659738728502562</v>
      </c>
      <c r="BR115" s="23">
        <f>EXP(-LN(2)/2)*BR114+(1-EXP(-LN(2)/2))/(LN(2)/2)*BL115*BO115*VLOOKUP('Données projet'!$B$11,Paramètres!$A$1:$I$89,3,0)*0.475*44/12</f>
        <v>7.0159808308840154E-12</v>
      </c>
      <c r="BS115" s="24">
        <f t="shared" si="63"/>
        <v>1.4511567749330607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-2.2737367544323206E-13</v>
      </c>
      <c r="O116" s="14">
        <f>N116*VLOOKUP('Données projet'!$B$9,Paramètres!$A$1:$I$89,3,0)*VLOOKUP('Données projet'!$B$9,Paramètres!$A$1:$I$89,5,0)</f>
        <v>-1.2710188457276673E-13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395.89088353191511</v>
      </c>
      <c r="T116" s="62">
        <f t="shared" si="88"/>
        <v>322.63468857063492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3.9049142887545791</v>
      </c>
      <c r="AA116" s="23">
        <f>EXP(-LN(2)/25)*AA115+(1-EXP(-LN(2)/25))/(LN(2)/25)*Calculateur!V116*Calculateur!X116*VLOOKUP('Données projet'!$B$9,Paramètres!$A$1:$I$89,3,0)*0.475*44/12</f>
        <v>1.2957845741304284</v>
      </c>
      <c r="AB116" s="23">
        <f>EXP(-LN(2)/2)*AB115+(1-EXP(-LN(2)/2))/(LN(2)/2)*V116*Y116*VLOOKUP('Données projet'!$B$9,Paramètres!$A$1:$I$89,3,0)*0.475*44/12</f>
        <v>1.0829190537160861E-12</v>
      </c>
      <c r="AC116" s="24">
        <f t="shared" si="57"/>
        <v>5.2006988628860897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9.7777777777777786</v>
      </c>
      <c r="AI116" s="14">
        <f>IF('Données projet'!$A$62&gt;35,AI115+AH116-AQ115,IF(A116&lt;'Données projet'!$A$62,$AF$205^A116,IF(A116='Données projet'!$A$62,'Données projet'!$B$62,AI115+AH116-AQ115)))</f>
        <v>869.33333333333201</v>
      </c>
      <c r="AJ116" s="14">
        <f>AI116*VLOOKUP('Données projet'!$B$10,Paramètres!$A$1:$I$89,3,0)*VLOOKUP('Données projet'!$B$10,Paramètres!$A$1:$I$89,5,0)</f>
        <v>429.45066666666605</v>
      </c>
      <c r="AK116" s="14">
        <f t="shared" si="89"/>
        <v>97.722426048907266</v>
      </c>
      <c r="AL116" s="22">
        <f t="shared" si="58"/>
        <v>918.1598031462903</v>
      </c>
      <c r="AM116" s="62">
        <f t="shared" si="59"/>
        <v>1211.4931364796237</v>
      </c>
      <c r="AN116" s="62">
        <f ca="1">AVERAGE(OFFSET($AM$3,0,0,'Données projet'!$E$10+1,1))-AVERAGE(OFFSET($H$3,0,0,'Données projet'!$E$10+1,1))</f>
        <v>476.32595424393645</v>
      </c>
      <c r="AO116" s="62">
        <f t="shared" si="90"/>
        <v>36.065940605453875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-2.2737367544323206E-13</v>
      </c>
      <c r="BE116" s="14">
        <f>BD116*VLOOKUP('Données projet'!$B$11,Paramètres!$A$1:$I$89,3,0)*VLOOKUP('Données projet'!$B$11,Paramètres!$A$1:$I$89,5,0)</f>
        <v>-1.8089849618263545E-13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225.02590532358471</v>
      </c>
      <c r="BJ116" s="62">
        <f t="shared" si="92"/>
        <v>224.00025638752402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0.50446919189961514</v>
      </c>
      <c r="BQ116" s="23">
        <f>EXP(-LN(2)/25)*BQ115+(1-EXP(-LN(2)/25))/(LN(2)/25)*Calculateur!BL116*Calculateur!BN116*VLOOKUP('Données projet'!$B$11,Paramètres!$A$1:$I$89,3,0)*0.475*44/12</f>
        <v>0.91098608247620061</v>
      </c>
      <c r="BR116" s="23">
        <f>EXP(-LN(2)/2)*BR115+(1-EXP(-LN(2)/2))/(LN(2)/2)*BL116*BO116*VLOOKUP('Données projet'!$B$11,Paramètres!$A$1:$I$89,3,0)*0.475*44/12</f>
        <v>4.9610476221929153E-12</v>
      </c>
      <c r="BS116" s="24">
        <f t="shared" si="63"/>
        <v>1.4154552743807769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-2.2737367544323206E-13</v>
      </c>
      <c r="O117" s="14">
        <f>N117*VLOOKUP('Données projet'!$B$9,Paramètres!$A$1:$I$89,3,0)*VLOOKUP('Données projet'!$B$9,Paramètres!$A$1:$I$89,5,0)</f>
        <v>-1.2710188457276673E-13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395.89088353191511</v>
      </c>
      <c r="T117" s="62">
        <f t="shared" si="88"/>
        <v>322.63468857063492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3.8283413013146386</v>
      </c>
      <c r="AA117" s="23">
        <f>EXP(-LN(2)/25)*AA116+(1-EXP(-LN(2)/25))/(LN(2)/25)*Calculateur!V117*Calculateur!X117*VLOOKUP('Données projet'!$B$9,Paramètres!$A$1:$I$89,3,0)*0.475*44/12</f>
        <v>1.2603512768084826</v>
      </c>
      <c r="AB117" s="23">
        <f>EXP(-LN(2)/2)*AB116+(1-EXP(-LN(2)/2))/(LN(2)/2)*V117*Y117*VLOOKUP('Données projet'!$B$9,Paramètres!$A$1:$I$89,3,0)*0.475*44/12</f>
        <v>7.6573940635876364E-13</v>
      </c>
      <c r="AC117" s="24">
        <f t="shared" si="57"/>
        <v>5.0886925781238865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9.7777777777777786</v>
      </c>
      <c r="AI117" s="14">
        <f>IF('Données projet'!$A$62&gt;35,AI116+AH117-AQ116,IF(A117&lt;'Données projet'!$A$62,$AF$205^A117,IF(A117='Données projet'!$A$62,'Données projet'!$B$62,AI116+AH117-AQ116)))</f>
        <v>879.11111111110984</v>
      </c>
      <c r="AJ117" s="14">
        <f>AI117*VLOOKUP('Données projet'!$B$10,Paramètres!$A$1:$I$89,3,0)*VLOOKUP('Données projet'!$B$10,Paramètres!$A$1:$I$89,5,0)</f>
        <v>434.28088888888828</v>
      </c>
      <c r="AK117" s="14">
        <f t="shared" si="89"/>
        <v>98.692982003919482</v>
      </c>
      <c r="AL117" s="22">
        <f t="shared" si="58"/>
        <v>928.26282513830677</v>
      </c>
      <c r="AM117" s="62">
        <f t="shared" si="59"/>
        <v>1221.5961584716401</v>
      </c>
      <c r="AN117" s="62">
        <f ca="1">AVERAGE(OFFSET($AM$3,0,0,'Données projet'!$E$10+1,1))-AVERAGE(OFFSET($H$3,0,0,'Données projet'!$E$10+1,1))</f>
        <v>476.32595424393645</v>
      </c>
      <c r="AO117" s="62">
        <f t="shared" si="90"/>
        <v>36.065940605453875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-2.2737367544323206E-13</v>
      </c>
      <c r="BE117" s="14">
        <f>BD117*VLOOKUP('Données projet'!$B$11,Paramètres!$A$1:$I$89,3,0)*VLOOKUP('Données projet'!$B$11,Paramètres!$A$1:$I$89,5,0)</f>
        <v>-1.8089849618263545E-13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225.02590532358471</v>
      </c>
      <c r="BJ117" s="62">
        <f t="shared" si="92"/>
        <v>224.00025638752402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0.49457685874228829</v>
      </c>
      <c r="BQ117" s="23">
        <f>EXP(-LN(2)/25)*BQ116+(1-EXP(-LN(2)/25))/(LN(2)/25)*Calculateur!BL117*Calculateur!BN117*VLOOKUP('Données projet'!$B$11,Paramètres!$A$1:$I$89,3,0)*0.475*44/12</f>
        <v>0.88607512014421286</v>
      </c>
      <c r="BR117" s="23">
        <f>EXP(-LN(2)/2)*BR116+(1-EXP(-LN(2)/2))/(LN(2)/2)*BL117*BO117*VLOOKUP('Données projet'!$B$11,Paramètres!$A$1:$I$89,3,0)*0.475*44/12</f>
        <v>3.5079904154420077E-12</v>
      </c>
      <c r="BS117" s="24">
        <f t="shared" si="63"/>
        <v>1.3806519788900091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-2.2737367544323206E-13</v>
      </c>
      <c r="O118" s="14">
        <f>N118*VLOOKUP('Données projet'!$B$9,Paramètres!$A$1:$I$89,3,0)*VLOOKUP('Données projet'!$B$9,Paramètres!$A$1:$I$89,5,0)</f>
        <v>-1.2710188457276673E-13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395.89088353191511</v>
      </c>
      <c r="T118" s="62">
        <f t="shared" si="88"/>
        <v>322.63468857063492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3.7532698634534847</v>
      </c>
      <c r="AA118" s="23">
        <f>EXP(-LN(2)/25)*AA117+(1-EXP(-LN(2)/25))/(LN(2)/25)*Calculateur!V118*Calculateur!X118*VLOOKUP('Données projet'!$B$9,Paramètres!$A$1:$I$89,3,0)*0.475*44/12</f>
        <v>1.2258869048651615</v>
      </c>
      <c r="AB118" s="23">
        <f>EXP(-LN(2)/2)*AB117+(1-EXP(-LN(2)/2))/(LN(2)/2)*V118*Y118*VLOOKUP('Données projet'!$B$9,Paramètres!$A$1:$I$89,3,0)*0.475*44/12</f>
        <v>5.4145952685804307E-13</v>
      </c>
      <c r="AC118" s="24">
        <f t="shared" si="57"/>
        <v>4.9791567683191875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9.7777777777777786</v>
      </c>
      <c r="AI118" s="14">
        <f>IF('Données projet'!$A$62&gt;35,AI117+AH118-AQ117,IF(A118&lt;'Données projet'!$A$62,$AF$205^A118,IF(A118='Données projet'!$A$62,'Données projet'!$B$62,AI117+AH118-AQ117)))</f>
        <v>888.88888888888766</v>
      </c>
      <c r="AJ118" s="14">
        <f>AI118*VLOOKUP('Données projet'!$B$10,Paramètres!$A$1:$I$89,3,0)*VLOOKUP('Données projet'!$B$10,Paramètres!$A$1:$I$89,5,0)</f>
        <v>439.11111111111052</v>
      </c>
      <c r="AK118" s="14">
        <f t="shared" si="89"/>
        <v>99.662282222990541</v>
      </c>
      <c r="AL118" s="22">
        <f t="shared" si="58"/>
        <v>938.36366005689251</v>
      </c>
      <c r="AM118" s="62">
        <f t="shared" si="59"/>
        <v>1231.6969933902258</v>
      </c>
      <c r="AN118" s="62">
        <f ca="1">AVERAGE(OFFSET($AM$3,0,0,'Données projet'!$E$10+1,1))-AVERAGE(OFFSET($H$3,0,0,'Données projet'!$E$10+1,1))</f>
        <v>476.32595424393645</v>
      </c>
      <c r="AO118" s="62">
        <f t="shared" si="90"/>
        <v>36.065940605453875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-2.2737367544323206E-13</v>
      </c>
      <c r="BE118" s="14">
        <f>BD118*VLOOKUP('Données projet'!$B$11,Paramètres!$A$1:$I$89,3,0)*VLOOKUP('Données projet'!$B$11,Paramètres!$A$1:$I$89,5,0)</f>
        <v>-1.8089849618263545E-13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225.02590532358471</v>
      </c>
      <c r="BJ118" s="62">
        <f t="shared" si="92"/>
        <v>224.00025638752402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0.48487850820444922</v>
      </c>
      <c r="BQ118" s="23">
        <f>EXP(-LN(2)/25)*BQ117+(1-EXP(-LN(2)/25))/(LN(2)/25)*Calculateur!BL118*Calculateur!BN118*VLOOKUP('Données projet'!$B$11,Paramètres!$A$1:$I$89,3,0)*0.475*44/12</f>
        <v>0.86184534938720392</v>
      </c>
      <c r="BR118" s="23">
        <f>EXP(-LN(2)/2)*BR117+(1-EXP(-LN(2)/2))/(LN(2)/2)*BL118*BO118*VLOOKUP('Données projet'!$B$11,Paramètres!$A$1:$I$89,3,0)*0.475*44/12</f>
        <v>2.4805238110964577E-12</v>
      </c>
      <c r="BS118" s="24">
        <f t="shared" si="63"/>
        <v>1.3467238575941336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-2.2737367544323206E-13</v>
      </c>
      <c r="O119" s="14">
        <f>N119*VLOOKUP('Données projet'!$B$9,Paramètres!$A$1:$I$89,3,0)*VLOOKUP('Données projet'!$B$9,Paramètres!$A$1:$I$89,5,0)</f>
        <v>-1.2710188457276673E-13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395.89088353191511</v>
      </c>
      <c r="T119" s="62">
        <f t="shared" si="88"/>
        <v>322.63468857063492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3.6796705306997319</v>
      </c>
      <c r="AA119" s="23">
        <f>EXP(-LN(2)/25)*AA118+(1-EXP(-LN(2)/25))/(LN(2)/25)*Calculateur!V119*Calculateur!X119*VLOOKUP('Données projet'!$B$9,Paramètres!$A$1:$I$89,3,0)*0.475*44/12</f>
        <v>1.192364962985033</v>
      </c>
      <c r="AB119" s="23">
        <f>EXP(-LN(2)/2)*AB118+(1-EXP(-LN(2)/2))/(LN(2)/2)*V119*Y119*VLOOKUP('Données projet'!$B$9,Paramètres!$A$1:$I$89,3,0)*0.475*44/12</f>
        <v>3.8286970317938182E-13</v>
      </c>
      <c r="AC119" s="24">
        <f t="shared" si="57"/>
        <v>4.8720354936851473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9.7777777777777786</v>
      </c>
      <c r="AI119" s="14">
        <f>IF('Données projet'!$A$62&gt;35,AI118+AH119-AQ118,IF(A119&lt;'Données projet'!$A$62,$AF$205^A119,IF(A119='Données projet'!$A$62,'Données projet'!$B$62,AI118+AH119-AQ118)))</f>
        <v>898.66666666666549</v>
      </c>
      <c r="AJ119" s="14">
        <f>AI119*VLOOKUP('Données projet'!$B$10,Paramètres!$A$1:$I$89,3,0)*VLOOKUP('Données projet'!$B$10,Paramètres!$A$1:$I$89,5,0)</f>
        <v>443.94133333333275</v>
      </c>
      <c r="AK119" s="14">
        <f t="shared" si="89"/>
        <v>100.63034211781624</v>
      </c>
      <c r="AL119" s="22">
        <f t="shared" si="58"/>
        <v>948.46233474408439</v>
      </c>
      <c r="AM119" s="62">
        <f t="shared" si="59"/>
        <v>1241.7956680774178</v>
      </c>
      <c r="AN119" s="62">
        <f ca="1">AVERAGE(OFFSET($AM$3,0,0,'Données projet'!$E$10+1,1))-AVERAGE(OFFSET($H$3,0,0,'Données projet'!$E$10+1,1))</f>
        <v>476.32595424393645</v>
      </c>
      <c r="AO119" s="62">
        <f t="shared" si="90"/>
        <v>36.065940605453875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-2.2737367544323206E-13</v>
      </c>
      <c r="BE119" s="14">
        <f>BD119*VLOOKUP('Données projet'!$B$11,Paramètres!$A$1:$I$89,3,0)*VLOOKUP('Données projet'!$B$11,Paramètres!$A$1:$I$89,5,0)</f>
        <v>-1.8089849618263545E-13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225.02590532358471</v>
      </c>
      <c r="BJ119" s="62">
        <f t="shared" si="92"/>
        <v>224.00025638752402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0.4753703364052474</v>
      </c>
      <c r="BQ119" s="23">
        <f>EXP(-LN(2)/25)*BQ118+(1-EXP(-LN(2)/25))/(LN(2)/25)*Calculateur!BL119*Calculateur!BN119*VLOOKUP('Données projet'!$B$11,Paramètres!$A$1:$I$89,3,0)*0.475*44/12</f>
        <v>0.83827814298573367</v>
      </c>
      <c r="BR119" s="23">
        <f>EXP(-LN(2)/2)*BR118+(1-EXP(-LN(2)/2))/(LN(2)/2)*BL119*BO119*VLOOKUP('Données projet'!$B$11,Paramètres!$A$1:$I$89,3,0)*0.475*44/12</f>
        <v>1.7539952077210039E-12</v>
      </c>
      <c r="BS119" s="24">
        <f t="shared" si="63"/>
        <v>1.313648479392735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-2.2737367544323206E-13</v>
      </c>
      <c r="O120" s="14">
        <f>N120*VLOOKUP('Données projet'!$B$9,Paramètres!$A$1:$I$89,3,0)*VLOOKUP('Données projet'!$B$9,Paramètres!$A$1:$I$89,5,0)</f>
        <v>-1.2710188457276673E-13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395.89088353191511</v>
      </c>
      <c r="T120" s="62">
        <f t="shared" si="88"/>
        <v>322.63468857063492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3.6075144359701201</v>
      </c>
      <c r="AA120" s="23">
        <f>EXP(-LN(2)/25)*AA119+(1-EXP(-LN(2)/25))/(LN(2)/25)*Calculateur!V120*Calculateur!X120*VLOOKUP('Données projet'!$B$9,Paramètres!$A$1:$I$89,3,0)*0.475*44/12</f>
        <v>1.1597596803684591</v>
      </c>
      <c r="AB120" s="23">
        <f>EXP(-LN(2)/2)*AB119+(1-EXP(-LN(2)/2))/(LN(2)/2)*V120*Y120*VLOOKUP('Données projet'!$B$9,Paramètres!$A$1:$I$89,3,0)*0.475*44/12</f>
        <v>2.7072976342902153E-13</v>
      </c>
      <c r="AC120" s="24">
        <f t="shared" si="57"/>
        <v>4.7672741163388501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9.7777777777777786</v>
      </c>
      <c r="AI120" s="14">
        <f>IF('Données projet'!$A$62&gt;35,AI119+AH120-AQ119,IF(A120&lt;'Données projet'!$A$62,$AF$205^A120,IF(A120='Données projet'!$A$62,'Données projet'!$B$62,AI119+AH120-AQ119)))</f>
        <v>908.44444444444332</v>
      </c>
      <c r="AJ120" s="14">
        <f>AI120*VLOOKUP('Données projet'!$B$10,Paramètres!$A$1:$I$89,3,0)*VLOOKUP('Données projet'!$B$10,Paramètres!$A$1:$I$89,5,0)</f>
        <v>448.77155555555498</v>
      </c>
      <c r="AK120" s="14">
        <f t="shared" si="89"/>
        <v>101.59717674540998</v>
      </c>
      <c r="AL120" s="22">
        <f t="shared" si="58"/>
        <v>958.55887542418077</v>
      </c>
      <c r="AM120" s="62">
        <f t="shared" si="59"/>
        <v>1251.892208757514</v>
      </c>
      <c r="AN120" s="62">
        <f ca="1">AVERAGE(OFFSET($AM$3,0,0,'Données projet'!$E$10+1,1))-AVERAGE(OFFSET($H$3,0,0,'Données projet'!$E$10+1,1))</f>
        <v>476.32595424393645</v>
      </c>
      <c r="AO120" s="62">
        <f t="shared" si="90"/>
        <v>36.065940605453875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-2.2737367544323206E-13</v>
      </c>
      <c r="BE120" s="14">
        <f>BD120*VLOOKUP('Données projet'!$B$11,Paramètres!$A$1:$I$89,3,0)*VLOOKUP('Données projet'!$B$11,Paramètres!$A$1:$I$89,5,0)</f>
        <v>-1.8089849618263545E-13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225.02590532358471</v>
      </c>
      <c r="BJ120" s="62">
        <f t="shared" si="92"/>
        <v>224.00025638752402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0.46604861405561576</v>
      </c>
      <c r="BQ120" s="23">
        <f>EXP(-LN(2)/25)*BQ119+(1-EXP(-LN(2)/25))/(LN(2)/25)*Calculateur!BL120*Calculateur!BN120*VLOOKUP('Données projet'!$B$11,Paramètres!$A$1:$I$89,3,0)*0.475*44/12</f>
        <v>0.8153553830826572</v>
      </c>
      <c r="BR120" s="23">
        <f>EXP(-LN(2)/2)*BR119+(1-EXP(-LN(2)/2))/(LN(2)/2)*BL120*BO120*VLOOKUP('Données projet'!$B$11,Paramètres!$A$1:$I$89,3,0)*0.475*44/12</f>
        <v>1.2402619055482288E-12</v>
      </c>
      <c r="BS120" s="24">
        <f t="shared" si="63"/>
        <v>1.2814039971395133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-2.2737367544323206E-13</v>
      </c>
      <c r="O121" s="14">
        <f>N121*VLOOKUP('Données projet'!$B$9,Paramètres!$A$1:$I$89,3,0)*VLOOKUP('Données projet'!$B$9,Paramètres!$A$1:$I$89,5,0)</f>
        <v>-1.2710188457276673E-13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395.89088353191511</v>
      </c>
      <c r="T121" s="62">
        <f t="shared" si="88"/>
        <v>322.63468857063492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3.536773278247284</v>
      </c>
      <c r="AA121" s="23">
        <f>EXP(-LN(2)/25)*AA120+(1-EXP(-LN(2)/25))/(LN(2)/25)*Calculateur!V121*Calculateur!X121*VLOOKUP('Données projet'!$B$9,Paramètres!$A$1:$I$89,3,0)*0.475*44/12</f>
        <v>1.1280459909196727</v>
      </c>
      <c r="AB121" s="23">
        <f>EXP(-LN(2)/2)*AB120+(1-EXP(-LN(2)/2))/(LN(2)/2)*V121*Y121*VLOOKUP('Données projet'!$B$9,Paramètres!$A$1:$I$89,3,0)*0.475*44/12</f>
        <v>1.9143485158969091E-13</v>
      </c>
      <c r="AC121" s="24">
        <f t="shared" si="57"/>
        <v>4.6648192691671486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9.7777777777777786</v>
      </c>
      <c r="AI121" s="14">
        <f>IF('Données projet'!$A$62&gt;35,AI120+AH121-AQ120,IF(A121&lt;'Données projet'!$A$62,$AF$205^A121,IF(A121='Données projet'!$A$62,'Données projet'!$B$62,AI120+AH121-AQ120)))</f>
        <v>918.22222222222115</v>
      </c>
      <c r="AJ121" s="14">
        <f>AI121*VLOOKUP('Données projet'!$B$10,Paramètres!$A$1:$I$89,3,0)*VLOOKUP('Données projet'!$B$10,Paramètres!$A$1:$I$89,5,0)</f>
        <v>453.60177777777722</v>
      </c>
      <c r="AK121" s="14">
        <f t="shared" si="89"/>
        <v>102.56280081999243</v>
      </c>
      <c r="AL121" s="22">
        <f t="shared" si="58"/>
        <v>968.65330772444861</v>
      </c>
      <c r="AM121" s="62">
        <f t="shared" si="59"/>
        <v>1261.986641057782</v>
      </c>
      <c r="AN121" s="62">
        <f ca="1">AVERAGE(OFFSET($AM$3,0,0,'Données projet'!$E$10+1,1))-AVERAGE(OFFSET($H$3,0,0,'Données projet'!$E$10+1,1))</f>
        <v>476.32595424393645</v>
      </c>
      <c r="AO121" s="62">
        <f t="shared" si="90"/>
        <v>36.065940605453875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-2.2737367544323206E-13</v>
      </c>
      <c r="BE121" s="14">
        <f>BD121*VLOOKUP('Données projet'!$B$11,Paramètres!$A$1:$I$89,3,0)*VLOOKUP('Données projet'!$B$11,Paramètres!$A$1:$I$89,5,0)</f>
        <v>-1.8089849618263545E-13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225.02590532358471</v>
      </c>
      <c r="BJ121" s="62">
        <f t="shared" si="92"/>
        <v>224.00025638752402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0.45690968499557122</v>
      </c>
      <c r="BQ121" s="23">
        <f>EXP(-LN(2)/25)*BQ120+(1-EXP(-LN(2)/25))/(LN(2)/25)*Calculateur!BL121*Calculateur!BN121*VLOOKUP('Données projet'!$B$11,Paramètres!$A$1:$I$89,3,0)*0.475*44/12</f>
        <v>0.79305944725458588</v>
      </c>
      <c r="BR121" s="23">
        <f>EXP(-LN(2)/2)*BR120+(1-EXP(-LN(2)/2))/(LN(2)/2)*BL121*BO121*VLOOKUP('Données projet'!$B$11,Paramètres!$A$1:$I$89,3,0)*0.475*44/12</f>
        <v>8.7699760386050193E-13</v>
      </c>
      <c r="BS121" s="24">
        <f t="shared" si="63"/>
        <v>1.2499691322510342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-2.2737367544323206E-13</v>
      </c>
      <c r="O122" s="14">
        <f>N122*VLOOKUP('Données projet'!$B$9,Paramètres!$A$1:$I$89,3,0)*VLOOKUP('Données projet'!$B$9,Paramètres!$A$1:$I$89,5,0)</f>
        <v>-1.2710188457276673E-13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395.89088353191511</v>
      </c>
      <c r="T122" s="62">
        <f t="shared" si="88"/>
        <v>322.63468857063492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3.4674193114795471</v>
      </c>
      <c r="AA122" s="23">
        <f>EXP(-LN(2)/25)*AA121+(1-EXP(-LN(2)/25))/(LN(2)/25)*Calculateur!V122*Calculateur!X122*VLOOKUP('Données projet'!$B$9,Paramètres!$A$1:$I$89,3,0)*0.475*44/12</f>
        <v>1.0971995139766137</v>
      </c>
      <c r="AB122" s="23">
        <f>EXP(-LN(2)/2)*AB121+(1-EXP(-LN(2)/2))/(LN(2)/2)*V122*Y122*VLOOKUP('Données projet'!$B$9,Paramètres!$A$1:$I$89,3,0)*0.475*44/12</f>
        <v>1.3536488171451077E-13</v>
      </c>
      <c r="AC122" s="24">
        <f t="shared" si="57"/>
        <v>4.5646188254562956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>
        <f>VLOOKUP(A122,'Données projet'!$A$61:$I$81,2,0)</f>
        <v>928</v>
      </c>
      <c r="AG122" s="13">
        <f>VLOOKUP(A122,'Données projet'!$A$61:$I$81,9,0)</f>
        <v>9.7777777777777786</v>
      </c>
      <c r="AH122" s="13">
        <f t="array" ref="AH122">INDEX(AG:AG,MIN(IF(ISNUMBER(AG122:AG318),ROW(AG122:AG318),"")))</f>
        <v>9.7777777777777786</v>
      </c>
      <c r="AI122" s="14">
        <f>IF('Données projet'!$A$62&gt;35,AI121+AH122-AQ121,IF(A122&lt;'Données projet'!$A$62,$AF$205^A122,IF(A122='Données projet'!$A$62,'Données projet'!$B$62,AI121+AH122-AQ121)))</f>
        <v>927.99999999999898</v>
      </c>
      <c r="AJ122" s="14">
        <f>AI122*VLOOKUP('Données projet'!$B$10,Paramètres!$A$1:$I$89,3,0)*VLOOKUP('Données projet'!$B$10,Paramètres!$A$1:$I$89,5,0)</f>
        <v>458.4319999999995</v>
      </c>
      <c r="AK122" s="14">
        <f t="shared" si="89"/>
        <v>103.52722872436132</v>
      </c>
      <c r="AL122" s="22">
        <f t="shared" si="58"/>
        <v>978.74565669492847</v>
      </c>
      <c r="AM122" s="62">
        <f t="shared" si="59"/>
        <v>1272.0789900282618</v>
      </c>
      <c r="AN122" s="62">
        <f ca="1">AVERAGE(OFFSET($AM$3,0,0,'Données projet'!$E$10+1,1))-AVERAGE(OFFSET($H$3,0,0,'Données projet'!$E$10+1,1))</f>
        <v>476.32595424393645</v>
      </c>
      <c r="AO122" s="62">
        <f t="shared" si="90"/>
        <v>36.065940605453875</v>
      </c>
      <c r="AP122" s="16">
        <f>IF(ISNA(VLOOKUP(A122,'Données projet'!$A$61:$I$81,3,0)),0,VLOOKUP(A122,'Données projet'!$A$61:$I$81,3,0))</f>
        <v>11</v>
      </c>
      <c r="AQ122" s="16">
        <f>IF(ISNA(VLOOKUP(A122,'Données projet'!$A$61:$I$81,4,0)),0,VLOOKUP(A122,'Données projet'!$A$61:$I$81,4,0))</f>
        <v>100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-2.2737367544323206E-13</v>
      </c>
      <c r="BE122" s="14">
        <f>BD122*VLOOKUP('Données projet'!$B$11,Paramètres!$A$1:$I$89,3,0)*VLOOKUP('Données projet'!$B$11,Paramètres!$A$1:$I$89,5,0)</f>
        <v>-1.8089849618263545E-13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225.02590532358471</v>
      </c>
      <c r="BJ122" s="62">
        <f t="shared" si="92"/>
        <v>224.00025638752402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0.44794996476019783</v>
      </c>
      <c r="BQ122" s="23">
        <f>EXP(-LN(2)/25)*BQ121+(1-EXP(-LN(2)/25))/(LN(2)/25)*Calculateur!BL122*Calculateur!BN122*VLOOKUP('Données projet'!$B$11,Paramètres!$A$1:$I$89,3,0)*0.475*44/12</f>
        <v>0.77137319496422541</v>
      </c>
      <c r="BR122" s="23">
        <f>EXP(-LN(2)/2)*BR121+(1-EXP(-LN(2)/2))/(LN(2)/2)*BL122*BO122*VLOOKUP('Données projet'!$B$11,Paramètres!$A$1:$I$89,3,0)*0.475*44/12</f>
        <v>6.2013095277411442E-13</v>
      </c>
      <c r="BS122" s="24">
        <f t="shared" si="63"/>
        <v>1.2193231597250433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-2.2737367544323206E-13</v>
      </c>
      <c r="O123" s="14">
        <f>N123*VLOOKUP('Données projet'!$B$9,Paramètres!$A$1:$I$89,3,0)*VLOOKUP('Données projet'!$B$9,Paramètres!$A$1:$I$89,5,0)</f>
        <v>-1.2710188457276673E-13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395.89088353191511</v>
      </c>
      <c r="T123" s="62">
        <f t="shared" si="88"/>
        <v>322.63468857063492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3.3994253336983826</v>
      </c>
      <c r="AA123" s="23">
        <f>EXP(-LN(2)/25)*AA122+(1-EXP(-LN(2)/25))/(LN(2)/25)*Calculateur!V123*Calculateur!X123*VLOOKUP('Données projet'!$B$9,Paramètres!$A$1:$I$89,3,0)*0.475*44/12</f>
        <v>1.0671965355677084</v>
      </c>
      <c r="AB123" s="23">
        <f>EXP(-LN(2)/2)*AB122+(1-EXP(-LN(2)/2))/(LN(2)/2)*V123*Y123*VLOOKUP('Données projet'!$B$9,Paramètres!$A$1:$I$89,3,0)*0.475*44/12</f>
        <v>9.5717425794845454E-14</v>
      </c>
      <c r="AC123" s="24">
        <f t="shared" si="57"/>
        <v>4.466621869266187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8.7777777777777786</v>
      </c>
      <c r="AI123" s="14">
        <f>IF('Données projet'!$A$62&gt;35,AI122+AH123-AQ122,IF(A123&lt;'Données projet'!$A$62,$AF$205^A123,IF(A123='Données projet'!$A$62,'Données projet'!$B$62,AI122+AH123-AQ122)))</f>
        <v>836.77777777777681</v>
      </c>
      <c r="AJ123" s="14">
        <f>AI123*VLOOKUP('Données projet'!$B$10,Paramètres!$A$1:$I$89,3,0)*VLOOKUP('Données projet'!$B$10,Paramètres!$A$1:$I$89,5,0)</f>
        <v>413.36822222222179</v>
      </c>
      <c r="AK123" s="14">
        <f t="shared" si="89"/>
        <v>94.481659997495228</v>
      </c>
      <c r="AL123" s="22">
        <f t="shared" si="58"/>
        <v>884.5052115326738</v>
      </c>
      <c r="AM123" s="62">
        <f t="shared" si="59"/>
        <v>1177.8385448660072</v>
      </c>
      <c r="AN123" s="62">
        <f ca="1">AVERAGE(OFFSET($AM$3,0,0,'Données projet'!$E$10+1,1))-AVERAGE(OFFSET($H$3,0,0,'Données projet'!$E$10+1,1))</f>
        <v>476.32595424393645</v>
      </c>
      <c r="AO123" s="62">
        <f t="shared" si="90"/>
        <v>36.065940605453875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-2.2737367544323206E-13</v>
      </c>
      <c r="BE123" s="14">
        <f>BD123*VLOOKUP('Données projet'!$B$11,Paramètres!$A$1:$I$89,3,0)*VLOOKUP('Données projet'!$B$11,Paramètres!$A$1:$I$89,5,0)</f>
        <v>-1.8089849618263545E-13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225.02590532358471</v>
      </c>
      <c r="BJ123" s="62">
        <f t="shared" si="92"/>
        <v>224.00025638752402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0.43916593917375035</v>
      </c>
      <c r="BQ123" s="23">
        <f>EXP(-LN(2)/25)*BQ122+(1-EXP(-LN(2)/25))/(LN(2)/25)*Calculateur!BL123*Calculateur!BN123*VLOOKUP('Données projet'!$B$11,Paramètres!$A$1:$I$89,3,0)*0.475*44/12</f>
        <v>0.7502799543831753</v>
      </c>
      <c r="BR123" s="23">
        <f>EXP(-LN(2)/2)*BR122+(1-EXP(-LN(2)/2))/(LN(2)/2)*BL123*BO123*VLOOKUP('Données projet'!$B$11,Paramètres!$A$1:$I$89,3,0)*0.475*44/12</f>
        <v>4.3849880193025096E-13</v>
      </c>
      <c r="BS123" s="24">
        <f t="shared" si="63"/>
        <v>1.1894458935573642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-2.2737367544323206E-13</v>
      </c>
      <c r="O124" s="14">
        <f>N124*VLOOKUP('Données projet'!$B$9,Paramètres!$A$1:$I$89,3,0)*VLOOKUP('Données projet'!$B$9,Paramètres!$A$1:$I$89,5,0)</f>
        <v>-1.2710188457276673E-13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395.89088353191511</v>
      </c>
      <c r="T124" s="62">
        <f t="shared" si="88"/>
        <v>322.63468857063492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3.3327646763492753</v>
      </c>
      <c r="AA124" s="23">
        <f>EXP(-LN(2)/25)*AA123+(1-EXP(-LN(2)/25))/(LN(2)/25)*Calculateur!V124*Calculateur!X124*VLOOKUP('Données projet'!$B$9,Paramètres!$A$1:$I$89,3,0)*0.475*44/12</f>
        <v>1.0380139901811827</v>
      </c>
      <c r="AB124" s="23">
        <f>EXP(-LN(2)/2)*AB123+(1-EXP(-LN(2)/2))/(LN(2)/2)*V124*Y124*VLOOKUP('Données projet'!$B$9,Paramètres!$A$1:$I$89,3,0)*0.475*44/12</f>
        <v>6.7682440857255383E-14</v>
      </c>
      <c r="AC124" s="24">
        <f t="shared" si="57"/>
        <v>4.3707786665305255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8.7777777777777786</v>
      </c>
      <c r="AI124" s="14">
        <f>IF('Données projet'!$A$62&gt;35,AI123+AH124-AQ123,IF(A124&lt;'Données projet'!$A$62,$AF$205^A124,IF(A124='Données projet'!$A$62,'Données projet'!$B$62,AI123+AH124-AQ123)))</f>
        <v>845.55555555555463</v>
      </c>
      <c r="AJ124" s="14">
        <f>AI124*VLOOKUP('Données projet'!$B$10,Paramètres!$A$1:$I$89,3,0)*VLOOKUP('Données projet'!$B$10,Paramètres!$A$1:$I$89,5,0)</f>
        <v>417.70444444444405</v>
      </c>
      <c r="AK124" s="14">
        <f t="shared" si="89"/>
        <v>95.356872415265187</v>
      </c>
      <c r="AL124" s="22">
        <f t="shared" si="58"/>
        <v>893.58179353066009</v>
      </c>
      <c r="AM124" s="62">
        <f t="shared" si="59"/>
        <v>1186.9151268639935</v>
      </c>
      <c r="AN124" s="62">
        <f ca="1">AVERAGE(OFFSET($AM$3,0,0,'Données projet'!$E$10+1,1))-AVERAGE(OFFSET($H$3,0,0,'Données projet'!$E$10+1,1))</f>
        <v>476.32595424393645</v>
      </c>
      <c r="AO124" s="62">
        <f t="shared" si="90"/>
        <v>36.065940605453875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-2.2737367544323206E-13</v>
      </c>
      <c r="BE124" s="14">
        <f>BD124*VLOOKUP('Données projet'!$B$11,Paramètres!$A$1:$I$89,3,0)*VLOOKUP('Données projet'!$B$11,Paramètres!$A$1:$I$89,5,0)</f>
        <v>-1.8089849618263545E-13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225.02590532358471</v>
      </c>
      <c r="BJ124" s="62">
        <f t="shared" si="92"/>
        <v>224.00025638752402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0.43055416297132654</v>
      </c>
      <c r="BQ124" s="23">
        <f>EXP(-LN(2)/25)*BQ123+(1-EXP(-LN(2)/25))/(LN(2)/25)*Calculateur!BL124*Calculateur!BN124*VLOOKUP('Données projet'!$B$11,Paramètres!$A$1:$I$89,3,0)*0.475*44/12</f>
        <v>0.72976350957505931</v>
      </c>
      <c r="BR124" s="23">
        <f>EXP(-LN(2)/2)*BR123+(1-EXP(-LN(2)/2))/(LN(2)/2)*BL124*BO124*VLOOKUP('Données projet'!$B$11,Paramètres!$A$1:$I$89,3,0)*0.475*44/12</f>
        <v>3.1006547638705721E-13</v>
      </c>
      <c r="BS124" s="24">
        <f t="shared" si="63"/>
        <v>1.1603176725466957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-2.2737367544323206E-13</v>
      </c>
      <c r="O125" s="14">
        <f>N125*VLOOKUP('Données projet'!$B$9,Paramètres!$A$1:$I$89,3,0)*VLOOKUP('Données projet'!$B$9,Paramètres!$A$1:$I$89,5,0)</f>
        <v>-1.2710188457276673E-13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395.89088353191511</v>
      </c>
      <c r="T125" s="62">
        <f t="shared" si="88"/>
        <v>322.63468857063492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3.2674111938317978</v>
      </c>
      <c r="AA125" s="23">
        <f>EXP(-LN(2)/25)*AA124+(1-EXP(-LN(2)/25))/(LN(2)/25)*Calculateur!V125*Calculateur!X125*VLOOKUP('Données projet'!$B$9,Paramètres!$A$1:$I$89,3,0)*0.475*44/12</f>
        <v>1.0096294430328949</v>
      </c>
      <c r="AB125" s="23">
        <f>EXP(-LN(2)/2)*AB124+(1-EXP(-LN(2)/2))/(LN(2)/2)*V125*Y125*VLOOKUP('Données projet'!$B$9,Paramètres!$A$1:$I$89,3,0)*0.475*44/12</f>
        <v>4.7858712897422727E-14</v>
      </c>
      <c r="AC125" s="24">
        <f t="shared" si="57"/>
        <v>4.2770406368647409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8.7777777777777786</v>
      </c>
      <c r="AI125" s="14">
        <f>IF('Données projet'!$A$62&gt;35,AI124+AH125-AQ124,IF(A125&lt;'Données projet'!$A$62,$AF$205^A125,IF(A125='Données projet'!$A$62,'Données projet'!$B$62,AI124+AH125-AQ124)))</f>
        <v>854.33333333333246</v>
      </c>
      <c r="AJ125" s="14">
        <f>AI125*VLOOKUP('Données projet'!$B$10,Paramètres!$A$1:$I$89,3,0)*VLOOKUP('Données projet'!$B$10,Paramètres!$A$1:$I$89,5,0)</f>
        <v>422.04066666666631</v>
      </c>
      <c r="AK125" s="14">
        <f t="shared" si="89"/>
        <v>96.231027882238564</v>
      </c>
      <c r="AL125" s="22">
        <f t="shared" si="58"/>
        <v>902.656534672676</v>
      </c>
      <c r="AM125" s="62">
        <f t="shared" si="59"/>
        <v>1195.9898680060094</v>
      </c>
      <c r="AN125" s="62">
        <f ca="1">AVERAGE(OFFSET($AM$3,0,0,'Données projet'!$E$10+1,1))-AVERAGE(OFFSET($H$3,0,0,'Données projet'!$E$10+1,1))</f>
        <v>476.32595424393645</v>
      </c>
      <c r="AO125" s="62">
        <f t="shared" si="90"/>
        <v>36.065940605453875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-2.2737367544323206E-13</v>
      </c>
      <c r="BE125" s="14">
        <f>BD125*VLOOKUP('Données projet'!$B$11,Paramètres!$A$1:$I$89,3,0)*VLOOKUP('Données projet'!$B$11,Paramètres!$A$1:$I$89,5,0)</f>
        <v>-1.8089849618263545E-13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225.02590532358471</v>
      </c>
      <c r="BJ125" s="62">
        <f t="shared" si="92"/>
        <v>224.00025638752402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0.42211125844756742</v>
      </c>
      <c r="BQ125" s="23">
        <f>EXP(-LN(2)/25)*BQ124+(1-EXP(-LN(2)/25))/(LN(2)/25)*Calculateur!BL125*Calculateur!BN125*VLOOKUP('Données projet'!$B$11,Paramètres!$A$1:$I$89,3,0)*0.475*44/12</f>
        <v>0.7098080880291342</v>
      </c>
      <c r="BR125" s="23">
        <f>EXP(-LN(2)/2)*BR124+(1-EXP(-LN(2)/2))/(LN(2)/2)*BL125*BO125*VLOOKUP('Données projet'!$B$11,Paramètres!$A$1:$I$89,3,0)*0.475*44/12</f>
        <v>2.1924940096512548E-13</v>
      </c>
      <c r="BS125" s="24">
        <f t="shared" si="63"/>
        <v>1.1319193464769208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-2.2737367544323206E-13</v>
      </c>
      <c r="O126" s="14">
        <f>N126*VLOOKUP('Données projet'!$B$9,Paramètres!$A$1:$I$89,3,0)*VLOOKUP('Données projet'!$B$9,Paramètres!$A$1:$I$89,5,0)</f>
        <v>-1.2710188457276673E-13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395.89088353191511</v>
      </c>
      <c r="T126" s="62">
        <f t="shared" si="88"/>
        <v>322.63468857063492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3.2033392532447995</v>
      </c>
      <c r="AA126" s="23">
        <f>EXP(-LN(2)/25)*AA125+(1-EXP(-LN(2)/25))/(LN(2)/25)*Calculateur!V126*Calculateur!X126*VLOOKUP('Données projet'!$B$9,Paramètres!$A$1:$I$89,3,0)*0.475*44/12</f>
        <v>0.9820210728190556</v>
      </c>
      <c r="AB126" s="23">
        <f>EXP(-LN(2)/2)*AB125+(1-EXP(-LN(2)/2))/(LN(2)/2)*V126*Y126*VLOOKUP('Données projet'!$B$9,Paramètres!$A$1:$I$89,3,0)*0.475*44/12</f>
        <v>3.3841220428627692E-14</v>
      </c>
      <c r="AC126" s="24">
        <f t="shared" si="57"/>
        <v>4.185360326063889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8.7777777777777786</v>
      </c>
      <c r="AI126" s="14">
        <f>IF('Données projet'!$A$62&gt;35,AI125+AH126-AQ125,IF(A126&lt;'Données projet'!$A$62,$AF$205^A126,IF(A126='Données projet'!$A$62,'Données projet'!$B$62,AI125+AH126-AQ125)))</f>
        <v>863.11111111111029</v>
      </c>
      <c r="AJ126" s="14">
        <f>AI126*VLOOKUP('Données projet'!$B$10,Paramètres!$A$1:$I$89,3,0)*VLOOKUP('Données projet'!$B$10,Paramètres!$A$1:$I$89,5,0)</f>
        <v>426.37688888888852</v>
      </c>
      <c r="AK126" s="14">
        <f t="shared" si="89"/>
        <v>97.104138515203303</v>
      </c>
      <c r="AL126" s="22">
        <f t="shared" si="58"/>
        <v>911.72945606212659</v>
      </c>
      <c r="AM126" s="62">
        <f t="shared" si="59"/>
        <v>1205.06278939546</v>
      </c>
      <c r="AN126" s="62">
        <f ca="1">AVERAGE(OFFSET($AM$3,0,0,'Données projet'!$E$10+1,1))-AVERAGE(OFFSET($H$3,0,0,'Données projet'!$E$10+1,1))</f>
        <v>476.32595424393645</v>
      </c>
      <c r="AO126" s="62">
        <f t="shared" si="90"/>
        <v>36.065940605453875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-2.2737367544323206E-13</v>
      </c>
      <c r="BE126" s="14">
        <f>BD126*VLOOKUP('Données projet'!$B$11,Paramètres!$A$1:$I$89,3,0)*VLOOKUP('Données projet'!$B$11,Paramètres!$A$1:$I$89,5,0)</f>
        <v>-1.8089849618263545E-13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225.02590532358471</v>
      </c>
      <c r="BJ126" s="62">
        <f t="shared" si="92"/>
        <v>224.00025638752402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0.413833914131856</v>
      </c>
      <c r="BQ126" s="23">
        <f>EXP(-LN(2)/25)*BQ125+(1-EXP(-LN(2)/25))/(LN(2)/25)*Calculateur!BL126*Calculateur!BN126*VLOOKUP('Données projet'!$B$11,Paramètres!$A$1:$I$89,3,0)*0.475*44/12</f>
        <v>0.69039834853479243</v>
      </c>
      <c r="BR126" s="23">
        <f>EXP(-LN(2)/2)*BR125+(1-EXP(-LN(2)/2))/(LN(2)/2)*BL126*BO126*VLOOKUP('Données projet'!$B$11,Paramètres!$A$1:$I$89,3,0)*0.475*44/12</f>
        <v>1.550327381935286E-13</v>
      </c>
      <c r="BS126" s="24">
        <f t="shared" si="63"/>
        <v>1.1042322626668035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-2.2737367544323206E-13</v>
      </c>
      <c r="O127" s="14">
        <f>N127*VLOOKUP('Données projet'!$B$9,Paramètres!$A$1:$I$89,3,0)*VLOOKUP('Données projet'!$B$9,Paramètres!$A$1:$I$89,5,0)</f>
        <v>-1.2710188457276673E-13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395.89088353191511</v>
      </c>
      <c r="T127" s="62">
        <f t="shared" si="88"/>
        <v>322.63468857063492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3.1405237243326876</v>
      </c>
      <c r="AA127" s="23">
        <f>EXP(-LN(2)/25)*AA126+(1-EXP(-LN(2)/25))/(LN(2)/25)*Calculateur!V127*Calculateur!X127*VLOOKUP('Données projet'!$B$9,Paramètres!$A$1:$I$89,3,0)*0.475*44/12</f>
        <v>0.95516765494057476</v>
      </c>
      <c r="AB127" s="23">
        <f>EXP(-LN(2)/2)*AB126+(1-EXP(-LN(2)/2))/(LN(2)/2)*V127*Y127*VLOOKUP('Données projet'!$B$9,Paramètres!$A$1:$I$89,3,0)*0.475*44/12</f>
        <v>2.3929356448711364E-14</v>
      </c>
      <c r="AC127" s="24">
        <f t="shared" si="57"/>
        <v>4.0956913792732861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8.7777777777777786</v>
      </c>
      <c r="AI127" s="14">
        <f>IF('Données projet'!$A$62&gt;35,AI126+AH127-AQ126,IF(A127&lt;'Données projet'!$A$62,$AF$205^A127,IF(A127='Données projet'!$A$62,'Données projet'!$B$62,AI126+AH127-AQ126)))</f>
        <v>871.88888888888812</v>
      </c>
      <c r="AJ127" s="14">
        <f>AI127*VLOOKUP('Données projet'!$B$10,Paramètres!$A$1:$I$89,3,0)*VLOOKUP('Données projet'!$B$10,Paramètres!$A$1:$I$89,5,0)</f>
        <v>430.71311111111078</v>
      </c>
      <c r="AK127" s="14">
        <f t="shared" si="89"/>
        <v>97.976216170291238</v>
      </c>
      <c r="AL127" s="22">
        <f t="shared" si="58"/>
        <v>920.80057834844183</v>
      </c>
      <c r="AM127" s="62">
        <f t="shared" si="59"/>
        <v>1214.1339116817751</v>
      </c>
      <c r="AN127" s="62">
        <f ca="1">AVERAGE(OFFSET($AM$3,0,0,'Données projet'!$E$10+1,1))-AVERAGE(OFFSET($H$3,0,0,'Données projet'!$E$10+1,1))</f>
        <v>476.32595424393645</v>
      </c>
      <c r="AO127" s="62">
        <f t="shared" si="90"/>
        <v>36.065940605453875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-2.2737367544323206E-13</v>
      </c>
      <c r="BE127" s="14">
        <f>BD127*VLOOKUP('Données projet'!$B$11,Paramètres!$A$1:$I$89,3,0)*VLOOKUP('Données projet'!$B$11,Paramètres!$A$1:$I$89,5,0)</f>
        <v>-1.8089849618263545E-13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225.02590532358471</v>
      </c>
      <c r="BJ127" s="62">
        <f t="shared" si="92"/>
        <v>224.00025638752402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0.40571888348949414</v>
      </c>
      <c r="BQ127" s="23">
        <f>EXP(-LN(2)/25)*BQ126+(1-EXP(-LN(2)/25))/(LN(2)/25)*Calculateur!BL127*Calculateur!BN127*VLOOKUP('Données projet'!$B$11,Paramètres!$A$1:$I$89,3,0)*0.475*44/12</f>
        <v>0.67151936938763734</v>
      </c>
      <c r="BR127" s="23">
        <f>EXP(-LN(2)/2)*BR126+(1-EXP(-LN(2)/2))/(LN(2)/2)*BL127*BO127*VLOOKUP('Données projet'!$B$11,Paramètres!$A$1:$I$89,3,0)*0.475*44/12</f>
        <v>1.0962470048256274E-13</v>
      </c>
      <c r="BS127" s="24">
        <f t="shared" si="63"/>
        <v>1.0772382528772413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-2.2737367544323206E-13</v>
      </c>
      <c r="O128" s="14">
        <f>N128*VLOOKUP('Données projet'!$B$9,Paramètres!$A$1:$I$89,3,0)*VLOOKUP('Données projet'!$B$9,Paramètres!$A$1:$I$89,5,0)</f>
        <v>-1.2710188457276673E-13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395.89088353191511</v>
      </c>
      <c r="T128" s="62">
        <f t="shared" si="88"/>
        <v>322.63468857063492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3.0789399696288524</v>
      </c>
      <c r="AA128" s="23">
        <f>EXP(-LN(2)/25)*AA127+(1-EXP(-LN(2)/25))/(LN(2)/25)*Calculateur!V128*Calculateur!X128*VLOOKUP('Données projet'!$B$9,Paramètres!$A$1:$I$89,3,0)*0.475*44/12</f>
        <v>0.92904854518614088</v>
      </c>
      <c r="AB128" s="23">
        <f>EXP(-LN(2)/2)*AB127+(1-EXP(-LN(2)/2))/(LN(2)/2)*V128*Y128*VLOOKUP('Données projet'!$B$9,Paramètres!$A$1:$I$89,3,0)*0.475*44/12</f>
        <v>1.6920610214313846E-14</v>
      </c>
      <c r="AC128" s="24">
        <f t="shared" si="57"/>
        <v>4.0079885148150103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8.7777777777777786</v>
      </c>
      <c r="AI128" s="14">
        <f>IF('Données projet'!$A$62&gt;35,AI127+AH128-AQ127,IF(A128&lt;'Données projet'!$A$62,$AF$205^A128,IF(A128='Données projet'!$A$62,'Données projet'!$B$62,AI127+AH128-AQ127)))</f>
        <v>880.66666666666595</v>
      </c>
      <c r="AJ128" s="14">
        <f>AI128*VLOOKUP('Données projet'!$B$10,Paramètres!$A$1:$I$89,3,0)*VLOOKUP('Données projet'!$B$10,Paramètres!$A$1:$I$89,5,0)</f>
        <v>435.04933333333304</v>
      </c>
      <c r="AK128" s="14">
        <f t="shared" si="89"/>
        <v>98.847272451151312</v>
      </c>
      <c r="AL128" s="22">
        <f t="shared" si="58"/>
        <v>929.86992174131012</v>
      </c>
      <c r="AM128" s="62">
        <f t="shared" si="59"/>
        <v>1223.2032550746435</v>
      </c>
      <c r="AN128" s="62">
        <f ca="1">AVERAGE(OFFSET($AM$3,0,0,'Données projet'!$E$10+1,1))-AVERAGE(OFFSET($H$3,0,0,'Données projet'!$E$10+1,1))</f>
        <v>476.32595424393645</v>
      </c>
      <c r="AO128" s="62">
        <f t="shared" si="90"/>
        <v>36.065940605453875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-2.2737367544323206E-13</v>
      </c>
      <c r="BE128" s="14">
        <f>BD128*VLOOKUP('Données projet'!$B$11,Paramètres!$A$1:$I$89,3,0)*VLOOKUP('Données projet'!$B$11,Paramètres!$A$1:$I$89,5,0)</f>
        <v>-1.8089849618263545E-13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225.02590532358471</v>
      </c>
      <c r="BJ128" s="62">
        <f t="shared" si="92"/>
        <v>224.00025638752402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0.39776298364834906</v>
      </c>
      <c r="BQ128" s="23">
        <f>EXP(-LN(2)/25)*BQ127+(1-EXP(-LN(2)/25))/(LN(2)/25)*Calculateur!BL128*Calculateur!BN128*VLOOKUP('Données projet'!$B$11,Paramètres!$A$1:$I$89,3,0)*0.475*44/12</f>
        <v>0.65315663691806358</v>
      </c>
      <c r="BR128" s="23">
        <f>EXP(-LN(2)/2)*BR127+(1-EXP(-LN(2)/2))/(LN(2)/2)*BL128*BO128*VLOOKUP('Données projet'!$B$11,Paramètres!$A$1:$I$89,3,0)*0.475*44/12</f>
        <v>7.7516369096764302E-14</v>
      </c>
      <c r="BS128" s="24">
        <f t="shared" si="63"/>
        <v>1.0509196205664901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-2.2737367544323206E-13</v>
      </c>
      <c r="O129" s="14">
        <f>N129*VLOOKUP('Données projet'!$B$9,Paramètres!$A$1:$I$89,3,0)*VLOOKUP('Données projet'!$B$9,Paramètres!$A$1:$I$89,5,0)</f>
        <v>-1.2710188457276673E-13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395.89088353191511</v>
      </c>
      <c r="T129" s="62">
        <f t="shared" si="88"/>
        <v>322.63468857063492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3.0185638347923782</v>
      </c>
      <c r="AA129" s="23">
        <f>EXP(-LN(2)/25)*AA128+(1-EXP(-LN(2)/25))/(LN(2)/25)*Calculateur!V129*Calculateur!X129*VLOOKUP('Données projet'!$B$9,Paramètres!$A$1:$I$89,3,0)*0.475*44/12</f>
        <v>0.9036436638614862</v>
      </c>
      <c r="AB129" s="23">
        <f>EXP(-LN(2)/2)*AB128+(1-EXP(-LN(2)/2))/(LN(2)/2)*V129*Y129*VLOOKUP('Données projet'!$B$9,Paramètres!$A$1:$I$89,3,0)*0.475*44/12</f>
        <v>1.1964678224355682E-14</v>
      </c>
      <c r="AC129" s="24">
        <f t="shared" si="57"/>
        <v>3.9222074986538762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8.7777777777777786</v>
      </c>
      <c r="AI129" s="14">
        <f>IF('Données projet'!$A$62&gt;35,AI128+AH129-AQ128,IF(A129&lt;'Données projet'!$A$62,$AF$205^A129,IF(A129='Données projet'!$A$62,'Données projet'!$B$62,AI128+AH129-AQ128)))</f>
        <v>889.44444444444377</v>
      </c>
      <c r="AJ129" s="14">
        <f>AI129*VLOOKUP('Données projet'!$B$10,Paramètres!$A$1:$I$89,3,0)*VLOOKUP('Données projet'!$B$10,Paramètres!$A$1:$I$89,5,0)</f>
        <v>439.38555555555524</v>
      </c>
      <c r="AK129" s="14">
        <f t="shared" si="89"/>
        <v>99.717318716788327</v>
      </c>
      <c r="AL129" s="22">
        <f t="shared" si="58"/>
        <v>938.93750602433158</v>
      </c>
      <c r="AM129" s="62">
        <f t="shared" si="59"/>
        <v>1232.270839357665</v>
      </c>
      <c r="AN129" s="62">
        <f ca="1">AVERAGE(OFFSET($AM$3,0,0,'Données projet'!$E$10+1,1))-AVERAGE(OFFSET($H$3,0,0,'Données projet'!$E$10+1,1))</f>
        <v>476.32595424393645</v>
      </c>
      <c r="AO129" s="62">
        <f t="shared" si="90"/>
        <v>36.065940605453875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-2.2737367544323206E-13</v>
      </c>
      <c r="BE129" s="14">
        <f>BD129*VLOOKUP('Données projet'!$B$11,Paramètres!$A$1:$I$89,3,0)*VLOOKUP('Données projet'!$B$11,Paramètres!$A$1:$I$89,5,0)</f>
        <v>-1.8089849618263545E-13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225.02590532358471</v>
      </c>
      <c r="BJ129" s="62">
        <f t="shared" si="92"/>
        <v>224.00025638752402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0.38996309415046904</v>
      </c>
      <c r="BQ129" s="23">
        <f>EXP(-LN(2)/25)*BQ128+(1-EXP(-LN(2)/25))/(LN(2)/25)*Calculateur!BL129*Calculateur!BN129*VLOOKUP('Données projet'!$B$11,Paramètres!$A$1:$I$89,3,0)*0.475*44/12</f>
        <v>0.63529603433352444</v>
      </c>
      <c r="BR129" s="23">
        <f>EXP(-LN(2)/2)*BR128+(1-EXP(-LN(2)/2))/(LN(2)/2)*BL129*BO129*VLOOKUP('Données projet'!$B$11,Paramètres!$A$1:$I$89,3,0)*0.475*44/12</f>
        <v>5.4812350241281371E-14</v>
      </c>
      <c r="BS129" s="24">
        <f t="shared" si="63"/>
        <v>1.0252591284840482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-2.2737367544323206E-13</v>
      </c>
      <c r="O130" s="14">
        <f>N130*VLOOKUP('Données projet'!$B$9,Paramètres!$A$1:$I$89,3,0)*VLOOKUP('Données projet'!$B$9,Paramètres!$A$1:$I$89,5,0)</f>
        <v>-1.2710188457276673E-13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395.89088353191511</v>
      </c>
      <c r="T130" s="62">
        <f t="shared" si="88"/>
        <v>322.63468857063492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2.9593716391342411</v>
      </c>
      <c r="AA130" s="23">
        <f>EXP(-LN(2)/25)*AA129+(1-EXP(-LN(2)/25))/(LN(2)/25)*Calculateur!V130*Calculateur!X130*VLOOKUP('Données projet'!$B$9,Paramètres!$A$1:$I$89,3,0)*0.475*44/12</f>
        <v>0.87893348035263885</v>
      </c>
      <c r="AB130" s="23">
        <f>EXP(-LN(2)/2)*AB129+(1-EXP(-LN(2)/2))/(LN(2)/2)*V130*Y130*VLOOKUP('Données projet'!$B$9,Paramètres!$A$1:$I$89,3,0)*0.475*44/12</f>
        <v>8.4603051071569229E-15</v>
      </c>
      <c r="AC130" s="24">
        <f t="shared" si="57"/>
        <v>3.8383051194868885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8.7777777777777786</v>
      </c>
      <c r="AI130" s="14">
        <f>IF('Données projet'!$A$62&gt;35,AI129+AH130-AQ129,IF(A130&lt;'Données projet'!$A$62,$AF$205^A130,IF(A130='Données projet'!$A$62,'Données projet'!$B$62,AI129+AH130-AQ129)))</f>
        <v>898.2222222222216</v>
      </c>
      <c r="AJ130" s="14">
        <f>AI130*VLOOKUP('Données projet'!$B$10,Paramètres!$A$1:$I$89,3,0)*VLOOKUP('Données projet'!$B$10,Paramètres!$A$1:$I$89,5,0)</f>
        <v>443.7217777777775</v>
      </c>
      <c r="AK130" s="14">
        <f t="shared" si="89"/>
        <v>100.58636608908355</v>
      </c>
      <c r="AL130" s="22">
        <f t="shared" si="58"/>
        <v>948.00335056811639</v>
      </c>
      <c r="AM130" s="62">
        <f t="shared" si="59"/>
        <v>1241.3366839014498</v>
      </c>
      <c r="AN130" s="62">
        <f ca="1">AVERAGE(OFFSET($AM$3,0,0,'Données projet'!$E$10+1,1))-AVERAGE(OFFSET($H$3,0,0,'Données projet'!$E$10+1,1))</f>
        <v>476.32595424393645</v>
      </c>
      <c r="AO130" s="62">
        <f t="shared" si="90"/>
        <v>36.065940605453875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-2.2737367544323206E-13</v>
      </c>
      <c r="BE130" s="14">
        <f>BD130*VLOOKUP('Données projet'!$B$11,Paramètres!$A$1:$I$89,3,0)*VLOOKUP('Données projet'!$B$11,Paramètres!$A$1:$I$89,5,0)</f>
        <v>-1.8089849618263545E-13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225.02590532358471</v>
      </c>
      <c r="BJ130" s="62">
        <f t="shared" si="92"/>
        <v>224.00025638752402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0.38231615572817962</v>
      </c>
      <c r="BQ130" s="23">
        <f>EXP(-LN(2)/25)*BQ129+(1-EXP(-LN(2)/25))/(LN(2)/25)*Calculateur!BL130*Calculateur!BN130*VLOOKUP('Données projet'!$B$11,Paramètres!$A$1:$I$89,3,0)*0.475*44/12</f>
        <v>0.61792383086590774</v>
      </c>
      <c r="BR130" s="23">
        <f>EXP(-LN(2)/2)*BR129+(1-EXP(-LN(2)/2))/(LN(2)/2)*BL130*BO130*VLOOKUP('Données projet'!$B$11,Paramètres!$A$1:$I$89,3,0)*0.475*44/12</f>
        <v>3.8758184548382151E-14</v>
      </c>
      <c r="BS130" s="24">
        <f t="shared" si="63"/>
        <v>1.0002399865941263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-2.2737367544323206E-13</v>
      </c>
      <c r="O131" s="14">
        <f>N131*VLOOKUP('Données projet'!$B$9,Paramètres!$A$1:$I$89,3,0)*VLOOKUP('Données projet'!$B$9,Paramètres!$A$1:$I$89,5,0)</f>
        <v>-1.2710188457276673E-13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395.89088353191511</v>
      </c>
      <c r="T131" s="62">
        <f t="shared" si="88"/>
        <v>322.63468857063492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2.9013401663292857</v>
      </c>
      <c r="AA131" s="23">
        <f>EXP(-LN(2)/25)*AA130+(1-EXP(-LN(2)/25))/(LN(2)/25)*Calculateur!V131*Calculateur!X131*VLOOKUP('Données projet'!$B$9,Paramètres!$A$1:$I$89,3,0)*0.475*44/12</f>
        <v>0.854898998111293</v>
      </c>
      <c r="AB131" s="23">
        <f>EXP(-LN(2)/2)*AB130+(1-EXP(-LN(2)/2))/(LN(2)/2)*V131*Y131*VLOOKUP('Données projet'!$B$9,Paramètres!$A$1:$I$89,3,0)*0.475*44/12</f>
        <v>5.9823391121778409E-15</v>
      </c>
      <c r="AC131" s="24">
        <f t="shared" si="57"/>
        <v>3.7562391644405846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>
        <f>VLOOKUP(A131,'Données projet'!$A$61:$I$81,2,0)</f>
        <v>907</v>
      </c>
      <c r="AG131" s="13">
        <f>VLOOKUP(A131,'Données projet'!$A$61:$I$81,9,0)</f>
        <v>8.7777777777777786</v>
      </c>
      <c r="AH131" s="13">
        <f t="array" ref="AH131">INDEX(AG:AG,MIN(IF(ISNUMBER(AG131:AG327),ROW(AG131:AG327),"")))</f>
        <v>8.7777777777777786</v>
      </c>
      <c r="AI131" s="14">
        <f>IF('Données projet'!$A$62&gt;35,AI130+AH131-AQ130,IF(A131&lt;'Données projet'!$A$62,$AF$205^A131,IF(A131='Données projet'!$A$62,'Données projet'!$B$62,AI130+AH131-AQ130)))</f>
        <v>906.99999999999943</v>
      </c>
      <c r="AJ131" s="14">
        <f>AI131*VLOOKUP('Données projet'!$B$10,Paramètres!$A$1:$I$89,3,0)*VLOOKUP('Données projet'!$B$10,Paramètres!$A$1:$I$89,5,0)</f>
        <v>448.05799999999977</v>
      </c>
      <c r="AK131" s="14">
        <f t="shared" si="89"/>
        <v>101.45442546001173</v>
      </c>
      <c r="AL131" s="22">
        <f t="shared" si="58"/>
        <v>957.06747434285342</v>
      </c>
      <c r="AM131" s="62">
        <f t="shared" si="59"/>
        <v>1250.4008076761868</v>
      </c>
      <c r="AN131" s="62">
        <f ca="1">AVERAGE(OFFSET($AM$3,0,0,'Données projet'!$E$10+1,1))-AVERAGE(OFFSET($H$3,0,0,'Données projet'!$E$10+1,1))</f>
        <v>476.32595424393645</v>
      </c>
      <c r="AO131" s="62">
        <f t="shared" si="90"/>
        <v>36.065940605453875</v>
      </c>
      <c r="AP131" s="16">
        <f>IF(ISNA(VLOOKUP(A131,'Données projet'!$A$61:$I$81,3,0)),0,VLOOKUP(A131,'Données projet'!$A$61:$I$81,3,0))</f>
        <v>12</v>
      </c>
      <c r="AQ131" s="16">
        <f>IF(ISNA(VLOOKUP(A131,'Données projet'!$A$61:$I$81,4,0)),0,VLOOKUP(A131,'Données projet'!$A$61:$I$81,4,0))</f>
        <v>907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-2.2737367544323206E-13</v>
      </c>
      <c r="BE131" s="14">
        <f>BD131*VLOOKUP('Données projet'!$B$11,Paramètres!$A$1:$I$89,3,0)*VLOOKUP('Données projet'!$B$11,Paramètres!$A$1:$I$89,5,0)</f>
        <v>-1.8089849618263545E-13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225.02590532358471</v>
      </c>
      <c r="BJ131" s="62">
        <f t="shared" si="92"/>
        <v>224.00025638752402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0.37481916910417945</v>
      </c>
      <c r="BQ131" s="23">
        <f>EXP(-LN(2)/25)*BQ130+(1-EXP(-LN(2)/25))/(LN(2)/25)*Calculateur!BL131*Calculateur!BN131*VLOOKUP('Données projet'!$B$11,Paramètres!$A$1:$I$89,3,0)*0.475*44/12</f>
        <v>0.60102667121567754</v>
      </c>
      <c r="BR131" s="23">
        <f>EXP(-LN(2)/2)*BR130+(1-EXP(-LN(2)/2))/(LN(2)/2)*BL131*BO131*VLOOKUP('Données projet'!$B$11,Paramètres!$A$1:$I$89,3,0)*0.475*44/12</f>
        <v>2.7406175120640685E-14</v>
      </c>
      <c r="BS131" s="24">
        <f t="shared" si="63"/>
        <v>0.97584584031988442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-2.2737367544323206E-13</v>
      </c>
      <c r="O132" s="14">
        <f>N132*VLOOKUP('Données projet'!$B$9,Paramètres!$A$1:$I$89,3,0)*VLOOKUP('Données projet'!$B$9,Paramètres!$A$1:$I$89,5,0)</f>
        <v>-1.2710188457276673E-13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395.89088353191511</v>
      </c>
      <c r="T132" s="62">
        <f t="shared" si="88"/>
        <v>322.63468857063492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2.8444466553103323</v>
      </c>
      <c r="AA132" s="23">
        <f>EXP(-LN(2)/25)*AA131+(1-EXP(-LN(2)/25))/(LN(2)/25)*Calculateur!V132*Calculateur!X132*VLOOKUP('Données projet'!$B$9,Paramètres!$A$1:$I$89,3,0)*0.475*44/12</f>
        <v>0.8315217400507553</v>
      </c>
      <c r="AB132" s="23">
        <f>EXP(-LN(2)/2)*AB131+(1-EXP(-LN(2)/2))/(LN(2)/2)*V132*Y132*VLOOKUP('Données projet'!$B$9,Paramètres!$A$1:$I$89,3,0)*0.475*44/12</f>
        <v>4.2301525535784615E-15</v>
      </c>
      <c r="AC132" s="24">
        <f t="shared" ref="AC132:AC153" si="111">SUM(Z132:AB132)</f>
        <v>3.675968395361092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-5.6843418860808015E-13</v>
      </c>
      <c r="AJ132" s="14">
        <f>AI132*VLOOKUP('Données projet'!$B$10,Paramètres!$A$1:$I$89,3,0)*VLOOKUP('Données projet'!$B$10,Paramètres!$A$1:$I$89,5,0)</f>
        <v>-2.8080648917239157E-13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476.32595424393645</v>
      </c>
      <c r="AO132" s="62">
        <f t="shared" si="90"/>
        <v>36.065940605453875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-2.2737367544323206E-13</v>
      </c>
      <c r="BE132" s="14">
        <f>BD132*VLOOKUP('Données projet'!$B$11,Paramètres!$A$1:$I$89,3,0)*VLOOKUP('Données projet'!$B$11,Paramètres!$A$1:$I$89,5,0)</f>
        <v>-1.8089849618263545E-13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225.02590532358471</v>
      </c>
      <c r="BJ132" s="62">
        <f t="shared" si="92"/>
        <v>224.00025638752402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0.36746919381516557</v>
      </c>
      <c r="BQ132" s="23">
        <f>EXP(-LN(2)/25)*BQ131+(1-EXP(-LN(2)/25))/(LN(2)/25)*Calculateur!BL132*Calculateur!BN132*VLOOKUP('Données projet'!$B$11,Paramètres!$A$1:$I$89,3,0)*0.475*44/12</f>
        <v>0.58459156528466583</v>
      </c>
      <c r="BR132" s="23">
        <f>EXP(-LN(2)/2)*BR131+(1-EXP(-LN(2)/2))/(LN(2)/2)*BL132*BO132*VLOOKUP('Données projet'!$B$11,Paramètres!$A$1:$I$89,3,0)*0.475*44/12</f>
        <v>1.9379092274191075E-14</v>
      </c>
      <c r="BS132" s="24">
        <f t="shared" ref="BS132:BS153" si="117">SUM(BP132:BR132)</f>
        <v>0.95206075909985077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-2.2737367544323206E-13</v>
      </c>
      <c r="O133" s="14">
        <f>N133*VLOOKUP('Données projet'!$B$9,Paramètres!$A$1:$I$89,3,0)*VLOOKUP('Données projet'!$B$9,Paramètres!$A$1:$I$89,5,0)</f>
        <v>-1.2710188457276673E-13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395.89088353191511</v>
      </c>
      <c r="T133" s="62">
        <f t="shared" ref="T133:T196" si="142">$T$3</f>
        <v>322.63468857063492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2.7886687913408452</v>
      </c>
      <c r="AA133" s="23">
        <f>EXP(-LN(2)/25)*AA132+(1-EXP(-LN(2)/25))/(LN(2)/25)*Calculateur!V133*Calculateur!X133*VLOOKUP('Données projet'!$B$9,Paramètres!$A$1:$I$89,3,0)*0.475*44/12</f>
        <v>0.80878373434123951</v>
      </c>
      <c r="AB133" s="23">
        <f>EXP(-LN(2)/2)*AB132+(1-EXP(-LN(2)/2))/(LN(2)/2)*V133*Y133*VLOOKUP('Données projet'!$B$9,Paramètres!$A$1:$I$89,3,0)*0.475*44/12</f>
        <v>2.9911695560889205E-15</v>
      </c>
      <c r="AC133" s="24">
        <f t="shared" si="111"/>
        <v>3.5974525256820877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-5.6843418860808015E-13</v>
      </c>
      <c r="AJ133" s="14">
        <f>AI133*VLOOKUP('Données projet'!$B$10,Paramètres!$A$1:$I$89,3,0)*VLOOKUP('Données projet'!$B$10,Paramètres!$A$1:$I$89,5,0)</f>
        <v>-2.8080648917239157E-13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476.32595424393645</v>
      </c>
      <c r="AO133" s="62">
        <f t="shared" ref="AO133:AO196" si="144">$AO$3</f>
        <v>36.065940605453875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-2.2737367544323206E-13</v>
      </c>
      <c r="BE133" s="14">
        <f>BD133*VLOOKUP('Données projet'!$B$11,Paramètres!$A$1:$I$89,3,0)*VLOOKUP('Données projet'!$B$11,Paramètres!$A$1:$I$89,5,0)</f>
        <v>-1.8089849618263545E-13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225.02590532358471</v>
      </c>
      <c r="BJ133" s="62">
        <f t="shared" ref="BJ133:BJ196" si="146">$BJ$3</f>
        <v>224.00025638752402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0.36026334705852703</v>
      </c>
      <c r="BQ133" s="23">
        <f>EXP(-LN(2)/25)*BQ132+(1-EXP(-LN(2)/25))/(LN(2)/25)*Calculateur!BL133*Calculateur!BN133*VLOOKUP('Données projet'!$B$11,Paramètres!$A$1:$I$89,3,0)*0.475*44/12</f>
        <v>0.56860587818962227</v>
      </c>
      <c r="BR133" s="23">
        <f>EXP(-LN(2)/2)*BR132+(1-EXP(-LN(2)/2))/(LN(2)/2)*BL133*BO133*VLOOKUP('Données projet'!$B$11,Paramètres!$A$1:$I$89,3,0)*0.475*44/12</f>
        <v>1.3703087560320343E-14</v>
      </c>
      <c r="BS133" s="24">
        <f t="shared" si="117"/>
        <v>0.92886922524816296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-2.2737367544323206E-13</v>
      </c>
      <c r="O134" s="14">
        <f>N134*VLOOKUP('Données projet'!$B$9,Paramètres!$A$1:$I$89,3,0)*VLOOKUP('Données projet'!$B$9,Paramètres!$A$1:$I$89,5,0)</f>
        <v>-1.2710188457276673E-13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395.89088353191511</v>
      </c>
      <c r="T134" s="62">
        <f t="shared" si="142"/>
        <v>322.63468857063492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2.7339846972626622</v>
      </c>
      <c r="AA134" s="23">
        <f>EXP(-LN(2)/25)*AA133+(1-EXP(-LN(2)/25))/(LN(2)/25)*Calculateur!V134*Calculateur!X134*VLOOKUP('Données projet'!$B$9,Paramètres!$A$1:$I$89,3,0)*0.475*44/12</f>
        <v>0.78666750059359025</v>
      </c>
      <c r="AB134" s="23">
        <f>EXP(-LN(2)/2)*AB133+(1-EXP(-LN(2)/2))/(LN(2)/2)*V134*Y134*VLOOKUP('Données projet'!$B$9,Paramètres!$A$1:$I$89,3,0)*0.475*44/12</f>
        <v>2.1150762767892307E-15</v>
      </c>
      <c r="AC134" s="24">
        <f t="shared" si="111"/>
        <v>3.5206521978562546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-5.6843418860808015E-13</v>
      </c>
      <c r="AJ134" s="14">
        <f>AI134*VLOOKUP('Données projet'!$B$10,Paramètres!$A$1:$I$89,3,0)*VLOOKUP('Données projet'!$B$10,Paramètres!$A$1:$I$89,5,0)</f>
        <v>-2.8080648917239157E-13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476.32595424393645</v>
      </c>
      <c r="AO134" s="62">
        <f t="shared" si="144"/>
        <v>36.065940605453875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-2.2737367544323206E-13</v>
      </c>
      <c r="BE134" s="14">
        <f>BD134*VLOOKUP('Données projet'!$B$11,Paramètres!$A$1:$I$89,3,0)*VLOOKUP('Données projet'!$B$11,Paramètres!$A$1:$I$89,5,0)</f>
        <v>-1.8089849618263545E-13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225.02590532358471</v>
      </c>
      <c r="BJ134" s="62">
        <f t="shared" si="146"/>
        <v>224.00025638752402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0.35319880256165359</v>
      </c>
      <c r="BQ134" s="23">
        <f>EXP(-LN(2)/25)*BQ133+(1-EXP(-LN(2)/25))/(LN(2)/25)*Calculateur!BL134*Calculateur!BN134*VLOOKUP('Données projet'!$B$11,Paramètres!$A$1:$I$89,3,0)*0.475*44/12</f>
        <v>0.55305732054884349</v>
      </c>
      <c r="BR134" s="23">
        <f>EXP(-LN(2)/2)*BR133+(1-EXP(-LN(2)/2))/(LN(2)/2)*BL134*BO134*VLOOKUP('Données projet'!$B$11,Paramètres!$A$1:$I$89,3,0)*0.475*44/12</f>
        <v>9.6895461370955377E-15</v>
      </c>
      <c r="BS134" s="24">
        <f t="shared" si="117"/>
        <v>0.90625612311050674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-2.2737367544323206E-13</v>
      </c>
      <c r="O135" s="14">
        <f>N135*VLOOKUP('Données projet'!$B$9,Paramètres!$A$1:$I$89,3,0)*VLOOKUP('Données projet'!$B$9,Paramètres!$A$1:$I$89,5,0)</f>
        <v>-1.2710188457276673E-13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395.89088353191511</v>
      </c>
      <c r="T135" s="62">
        <f t="shared" si="142"/>
        <v>322.63468857063492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2.6803729249153485</v>
      </c>
      <c r="AA135" s="23">
        <f>EXP(-LN(2)/25)*AA134+(1-EXP(-LN(2)/25))/(LN(2)/25)*Calculateur!V135*Calculateur!X135*VLOOKUP('Données projet'!$B$9,Paramètres!$A$1:$I$89,3,0)*0.475*44/12</f>
        <v>0.76515603642081265</v>
      </c>
      <c r="AB135" s="23">
        <f>EXP(-LN(2)/2)*AB134+(1-EXP(-LN(2)/2))/(LN(2)/2)*V135*Y135*VLOOKUP('Données projet'!$B$9,Paramètres!$A$1:$I$89,3,0)*0.475*44/12</f>
        <v>1.4955847780444602E-15</v>
      </c>
      <c r="AC135" s="24">
        <f t="shared" si="111"/>
        <v>3.4455289613361626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-5.6843418860808015E-13</v>
      </c>
      <c r="AJ135" s="14">
        <f>AI135*VLOOKUP('Données projet'!$B$10,Paramètres!$A$1:$I$89,3,0)*VLOOKUP('Données projet'!$B$10,Paramètres!$A$1:$I$89,5,0)</f>
        <v>-2.8080648917239157E-13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476.32595424393645</v>
      </c>
      <c r="AO135" s="62">
        <f t="shared" si="144"/>
        <v>36.065940605453875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-2.2737367544323206E-13</v>
      </c>
      <c r="BE135" s="14">
        <f>BD135*VLOOKUP('Données projet'!$B$11,Paramètres!$A$1:$I$89,3,0)*VLOOKUP('Données projet'!$B$11,Paramètres!$A$1:$I$89,5,0)</f>
        <v>-1.8089849618263545E-13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225.02590532358471</v>
      </c>
      <c r="BJ135" s="62">
        <f t="shared" si="146"/>
        <v>224.00025638752402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0.34627278947341716</v>
      </c>
      <c r="BQ135" s="23">
        <f>EXP(-LN(2)/25)*BQ134+(1-EXP(-LN(2)/25))/(LN(2)/25)*Calculateur!BL135*Calculateur!BN135*VLOOKUP('Données projet'!$B$11,Paramètres!$A$1:$I$89,3,0)*0.475*44/12</f>
        <v>0.53793393903441489</v>
      </c>
      <c r="BR135" s="23">
        <f>EXP(-LN(2)/2)*BR134+(1-EXP(-LN(2)/2))/(LN(2)/2)*BL135*BO135*VLOOKUP('Données projet'!$B$11,Paramètres!$A$1:$I$89,3,0)*0.475*44/12</f>
        <v>6.8515437801601713E-15</v>
      </c>
      <c r="BS135" s="24">
        <f t="shared" si="117"/>
        <v>0.88420672850783899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-2.2737367544323206E-13</v>
      </c>
      <c r="O136" s="14">
        <f>N136*VLOOKUP('Données projet'!$B$9,Paramètres!$A$1:$I$89,3,0)*VLOOKUP('Données projet'!$B$9,Paramètres!$A$1:$I$89,5,0)</f>
        <v>-1.2710188457276673E-13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395.89088353191511</v>
      </c>
      <c r="T136" s="62">
        <f t="shared" si="142"/>
        <v>322.63468857063492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2.6278124467238131</v>
      </c>
      <c r="AA136" s="23">
        <f>EXP(-LN(2)/25)*AA135+(1-EXP(-LN(2)/25))/(LN(2)/25)*Calculateur!V136*Calculateur!X136*VLOOKUP('Données projet'!$B$9,Paramètres!$A$1:$I$89,3,0)*0.475*44/12</f>
        <v>0.74423280436707839</v>
      </c>
      <c r="AB136" s="23">
        <f>EXP(-LN(2)/2)*AB135+(1-EXP(-LN(2)/2))/(LN(2)/2)*V136*Y136*VLOOKUP('Données projet'!$B$9,Paramètres!$A$1:$I$89,3,0)*0.475*44/12</f>
        <v>1.0575381383946154E-15</v>
      </c>
      <c r="AC136" s="24">
        <f t="shared" si="111"/>
        <v>3.3720452510908925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-5.6843418860808015E-13</v>
      </c>
      <c r="AJ136" s="14">
        <f>AI136*VLOOKUP('Données projet'!$B$10,Paramètres!$A$1:$I$89,3,0)*VLOOKUP('Données projet'!$B$10,Paramètres!$A$1:$I$89,5,0)</f>
        <v>-2.8080648917239157E-13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476.32595424393645</v>
      </c>
      <c r="AO136" s="62">
        <f t="shared" si="144"/>
        <v>36.065940605453875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-2.2737367544323206E-13</v>
      </c>
      <c r="BE136" s="14">
        <f>BD136*VLOOKUP('Données projet'!$B$11,Paramètres!$A$1:$I$89,3,0)*VLOOKUP('Données projet'!$B$11,Paramètres!$A$1:$I$89,5,0)</f>
        <v>-1.8089849618263545E-13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225.02590532358471</v>
      </c>
      <c r="BJ136" s="62">
        <f t="shared" si="146"/>
        <v>224.00025638752402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0.33948259127739022</v>
      </c>
      <c r="BQ136" s="23">
        <f>EXP(-LN(2)/25)*BQ135+(1-EXP(-LN(2)/25))/(LN(2)/25)*Calculateur!BL136*Calculateur!BN136*VLOOKUP('Données projet'!$B$11,Paramètres!$A$1:$I$89,3,0)*0.475*44/12</f>
        <v>0.52322410718280243</v>
      </c>
      <c r="BR136" s="23">
        <f>EXP(-LN(2)/2)*BR135+(1-EXP(-LN(2)/2))/(LN(2)/2)*BL136*BO136*VLOOKUP('Données projet'!$B$11,Paramètres!$A$1:$I$89,3,0)*0.475*44/12</f>
        <v>4.8447730685477689E-15</v>
      </c>
      <c r="BS136" s="24">
        <f t="shared" si="117"/>
        <v>0.86270669846019754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-2.2737367544323206E-13</v>
      </c>
      <c r="O137" s="14">
        <f>N137*VLOOKUP('Données projet'!$B$9,Paramètres!$A$1:$I$89,3,0)*VLOOKUP('Données projet'!$B$9,Paramètres!$A$1:$I$89,5,0)</f>
        <v>-1.2710188457276673E-13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395.89088353191511</v>
      </c>
      <c r="T137" s="62">
        <f t="shared" si="142"/>
        <v>322.63468857063492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2.5762826474508875</v>
      </c>
      <c r="AA137" s="23">
        <f>EXP(-LN(2)/25)*AA136+(1-EXP(-LN(2)/25))/(LN(2)/25)*Calculateur!V137*Calculateur!X137*VLOOKUP('Données projet'!$B$9,Paramètres!$A$1:$I$89,3,0)*0.475*44/12</f>
        <v>0.72388171919415845</v>
      </c>
      <c r="AB137" s="23">
        <f>EXP(-LN(2)/2)*AB136+(1-EXP(-LN(2)/2))/(LN(2)/2)*V137*Y137*VLOOKUP('Données projet'!$B$9,Paramètres!$A$1:$I$89,3,0)*0.475*44/12</f>
        <v>7.4779238902223011E-16</v>
      </c>
      <c r="AC137" s="24">
        <f t="shared" si="111"/>
        <v>3.3001643666450469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-5.6843418860808015E-13</v>
      </c>
      <c r="AJ137" s="14">
        <f>AI137*VLOOKUP('Données projet'!$B$10,Paramètres!$A$1:$I$89,3,0)*VLOOKUP('Données projet'!$B$10,Paramètres!$A$1:$I$89,5,0)</f>
        <v>-2.8080648917239157E-13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476.32595424393645</v>
      </c>
      <c r="AO137" s="62">
        <f t="shared" si="144"/>
        <v>36.065940605453875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-2.2737367544323206E-13</v>
      </c>
      <c r="BE137" s="14">
        <f>BD137*VLOOKUP('Données projet'!$B$11,Paramètres!$A$1:$I$89,3,0)*VLOOKUP('Données projet'!$B$11,Paramètres!$A$1:$I$89,5,0)</f>
        <v>-1.8089849618263545E-13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225.02590532358471</v>
      </c>
      <c r="BJ137" s="62">
        <f t="shared" si="146"/>
        <v>224.00025638752402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0.33282554472637543</v>
      </c>
      <c r="BQ137" s="23">
        <f>EXP(-LN(2)/25)*BQ136+(1-EXP(-LN(2)/25))/(LN(2)/25)*Calculateur!BL137*Calculateur!BN137*VLOOKUP('Données projet'!$B$11,Paramètres!$A$1:$I$89,3,0)*0.475*44/12</f>
        <v>0.50891651645672875</v>
      </c>
      <c r="BR137" s="23">
        <f>EXP(-LN(2)/2)*BR136+(1-EXP(-LN(2)/2))/(LN(2)/2)*BL137*BO137*VLOOKUP('Données projet'!$B$11,Paramètres!$A$1:$I$89,3,0)*0.475*44/12</f>
        <v>3.4257718900800857E-15</v>
      </c>
      <c r="BS137" s="24">
        <f t="shared" si="117"/>
        <v>0.84174206118310757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-2.2737367544323206E-13</v>
      </c>
      <c r="O138" s="14">
        <f>N138*VLOOKUP('Données projet'!$B$9,Paramètres!$A$1:$I$89,3,0)*VLOOKUP('Données projet'!$B$9,Paramètres!$A$1:$I$89,5,0)</f>
        <v>-1.2710188457276673E-13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395.89088353191511</v>
      </c>
      <c r="T138" s="62">
        <f t="shared" si="142"/>
        <v>322.63468857063492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2.5257633161116297</v>
      </c>
      <c r="AA138" s="23">
        <f>EXP(-LN(2)/25)*AA137+(1-EXP(-LN(2)/25))/(LN(2)/25)*Calculateur!V138*Calculateur!X138*VLOOKUP('Données projet'!$B$9,Paramètres!$A$1:$I$89,3,0)*0.475*44/12</f>
        <v>0.70408713551550905</v>
      </c>
      <c r="AB138" s="23">
        <f>EXP(-LN(2)/2)*AB137+(1-EXP(-LN(2)/2))/(LN(2)/2)*V138*Y138*VLOOKUP('Données projet'!$B$9,Paramètres!$A$1:$I$89,3,0)*0.475*44/12</f>
        <v>5.2876906919730768E-16</v>
      </c>
      <c r="AC138" s="24">
        <f t="shared" si="111"/>
        <v>3.2298504516271391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-5.6843418860808015E-13</v>
      </c>
      <c r="AJ138" s="14">
        <f>AI138*VLOOKUP('Données projet'!$B$10,Paramètres!$A$1:$I$89,3,0)*VLOOKUP('Données projet'!$B$10,Paramètres!$A$1:$I$89,5,0)</f>
        <v>-2.8080648917239157E-13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476.32595424393645</v>
      </c>
      <c r="AO138" s="62">
        <f t="shared" si="144"/>
        <v>36.065940605453875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-2.2737367544323206E-13</v>
      </c>
      <c r="BE138" s="14">
        <f>BD138*VLOOKUP('Données projet'!$B$11,Paramètres!$A$1:$I$89,3,0)*VLOOKUP('Données projet'!$B$11,Paramètres!$A$1:$I$89,5,0)</f>
        <v>-1.8089849618263545E-13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225.02590532358471</v>
      </c>
      <c r="BJ138" s="62">
        <f t="shared" si="146"/>
        <v>224.00025638752402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0.32629903879782857</v>
      </c>
      <c r="BQ138" s="23">
        <f>EXP(-LN(2)/25)*BQ137+(1-EXP(-LN(2)/25))/(LN(2)/25)*Calculateur!BL138*Calculateur!BN138*VLOOKUP('Données projet'!$B$11,Paramètres!$A$1:$I$89,3,0)*0.475*44/12</f>
        <v>0.49500016755146303</v>
      </c>
      <c r="BR138" s="23">
        <f>EXP(-LN(2)/2)*BR137+(1-EXP(-LN(2)/2))/(LN(2)/2)*BL138*BO138*VLOOKUP('Données projet'!$B$11,Paramètres!$A$1:$I$89,3,0)*0.475*44/12</f>
        <v>2.4223865342738844E-15</v>
      </c>
      <c r="BS138" s="24">
        <f t="shared" si="117"/>
        <v>0.8212992063492941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-2.2737367544323206E-13</v>
      </c>
      <c r="O139" s="14">
        <f>N139*VLOOKUP('Données projet'!$B$9,Paramètres!$A$1:$I$89,3,0)*VLOOKUP('Données projet'!$B$9,Paramètres!$A$1:$I$89,5,0)</f>
        <v>-1.2710188457276673E-13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395.89088353191511</v>
      </c>
      <c r="T139" s="62">
        <f t="shared" si="142"/>
        <v>322.63468857063492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2.4762346380461855</v>
      </c>
      <c r="AA139" s="23">
        <f>EXP(-LN(2)/25)*AA138+(1-EXP(-LN(2)/25))/(LN(2)/25)*Calculateur!V139*Calculateur!X139*VLOOKUP('Données projet'!$B$9,Paramètres!$A$1:$I$89,3,0)*0.475*44/12</f>
        <v>0.68483383576850421</v>
      </c>
      <c r="AB139" s="23">
        <f>EXP(-LN(2)/2)*AB138+(1-EXP(-LN(2)/2))/(LN(2)/2)*V139*Y139*VLOOKUP('Données projet'!$B$9,Paramètres!$A$1:$I$89,3,0)*0.475*44/12</f>
        <v>3.7389619451111506E-16</v>
      </c>
      <c r="AC139" s="24">
        <f t="shared" si="111"/>
        <v>3.1610684738146904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-5.6843418860808015E-13</v>
      </c>
      <c r="AJ139" s="14">
        <f>AI139*VLOOKUP('Données projet'!$B$10,Paramètres!$A$1:$I$89,3,0)*VLOOKUP('Données projet'!$B$10,Paramètres!$A$1:$I$89,5,0)</f>
        <v>-2.8080648917239157E-13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476.32595424393645</v>
      </c>
      <c r="AO139" s="62">
        <f t="shared" si="144"/>
        <v>36.065940605453875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-2.2737367544323206E-13</v>
      </c>
      <c r="BE139" s="14">
        <f>BD139*VLOOKUP('Données projet'!$B$11,Paramètres!$A$1:$I$89,3,0)*VLOOKUP('Données projet'!$B$11,Paramètres!$A$1:$I$89,5,0)</f>
        <v>-1.8089849618263545E-13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225.02590532358471</v>
      </c>
      <c r="BJ139" s="62">
        <f t="shared" si="146"/>
        <v>224.00025638752402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0.31990051366976496</v>
      </c>
      <c r="BQ139" s="23">
        <f>EXP(-LN(2)/25)*BQ138+(1-EXP(-LN(2)/25))/(LN(2)/25)*Calculateur!BL139*Calculateur!BN139*VLOOKUP('Données projet'!$B$11,Paramètres!$A$1:$I$89,3,0)*0.475*44/12</f>
        <v>0.48146436193884079</v>
      </c>
      <c r="BR139" s="23">
        <f>EXP(-LN(2)/2)*BR138+(1-EXP(-LN(2)/2))/(LN(2)/2)*BL139*BO139*VLOOKUP('Données projet'!$B$11,Paramètres!$A$1:$I$89,3,0)*0.475*44/12</f>
        <v>1.7128859450400428E-15</v>
      </c>
      <c r="BS139" s="24">
        <f t="shared" si="117"/>
        <v>0.80136487560860747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-2.2737367544323206E-13</v>
      </c>
      <c r="O140" s="14">
        <f>N140*VLOOKUP('Données projet'!$B$9,Paramètres!$A$1:$I$89,3,0)*VLOOKUP('Données projet'!$B$9,Paramètres!$A$1:$I$89,5,0)</f>
        <v>-1.2710188457276673E-13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395.89088353191511</v>
      </c>
      <c r="T140" s="62">
        <f t="shared" si="142"/>
        <v>322.63468857063492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2.427677187148094</v>
      </c>
      <c r="AA140" s="23">
        <f>EXP(-LN(2)/25)*AA139+(1-EXP(-LN(2)/25))/(LN(2)/25)*Calculateur!V140*Calculateur!X140*VLOOKUP('Données projet'!$B$9,Paramètres!$A$1:$I$89,3,0)*0.475*44/12</f>
        <v>0.66610701851556819</v>
      </c>
      <c r="AB140" s="23">
        <f>EXP(-LN(2)/2)*AB139+(1-EXP(-LN(2)/2))/(LN(2)/2)*V140*Y140*VLOOKUP('Données projet'!$B$9,Paramètres!$A$1:$I$89,3,0)*0.475*44/12</f>
        <v>2.6438453459865384E-16</v>
      </c>
      <c r="AC140" s="24">
        <f t="shared" si="111"/>
        <v>3.0937842056636629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-5.6843418860808015E-13</v>
      </c>
      <c r="AJ140" s="14">
        <f>AI140*VLOOKUP('Données projet'!$B$10,Paramètres!$A$1:$I$89,3,0)*VLOOKUP('Données projet'!$B$10,Paramètres!$A$1:$I$89,5,0)</f>
        <v>-2.8080648917239157E-13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476.32595424393645</v>
      </c>
      <c r="AO140" s="62">
        <f t="shared" si="144"/>
        <v>36.065940605453875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-2.2737367544323206E-13</v>
      </c>
      <c r="BE140" s="14">
        <f>BD140*VLOOKUP('Données projet'!$B$11,Paramètres!$A$1:$I$89,3,0)*VLOOKUP('Données projet'!$B$11,Paramètres!$A$1:$I$89,5,0)</f>
        <v>-1.8089849618263545E-13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225.02590532358471</v>
      </c>
      <c r="BJ140" s="62">
        <f t="shared" si="146"/>
        <v>224.00025638752402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0.31362745971674771</v>
      </c>
      <c r="BQ140" s="23">
        <f>EXP(-LN(2)/25)*BQ139+(1-EXP(-LN(2)/25))/(LN(2)/25)*Calculateur!BL140*Calculateur!BN140*VLOOKUP('Données projet'!$B$11,Paramètres!$A$1:$I$89,3,0)*0.475*44/12</f>
        <v>0.46829869364251281</v>
      </c>
      <c r="BR140" s="23">
        <f>EXP(-LN(2)/2)*BR139+(1-EXP(-LN(2)/2))/(LN(2)/2)*BL140*BO140*VLOOKUP('Données projet'!$B$11,Paramètres!$A$1:$I$89,3,0)*0.475*44/12</f>
        <v>1.2111932671369422E-15</v>
      </c>
      <c r="BS140" s="24">
        <f t="shared" si="117"/>
        <v>0.78192615335926174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-2.2737367544323206E-13</v>
      </c>
      <c r="O141" s="14">
        <f>N141*VLOOKUP('Données projet'!$B$9,Paramètres!$A$1:$I$89,3,0)*VLOOKUP('Données projet'!$B$9,Paramètres!$A$1:$I$89,5,0)</f>
        <v>-1.2710188457276673E-13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395.89088353191511</v>
      </c>
      <c r="T141" s="62">
        <f t="shared" si="142"/>
        <v>322.63468857063492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2.3800719182449934</v>
      </c>
      <c r="AA141" s="23">
        <f>EXP(-LN(2)/25)*AA140+(1-EXP(-LN(2)/25))/(LN(2)/25)*Calculateur!V141*Calculateur!X141*VLOOKUP('Données projet'!$B$9,Paramètres!$A$1:$I$89,3,0)*0.475*44/12</f>
        <v>0.64789228706521429</v>
      </c>
      <c r="AB141" s="23">
        <f>EXP(-LN(2)/2)*AB140+(1-EXP(-LN(2)/2))/(LN(2)/2)*V141*Y141*VLOOKUP('Données projet'!$B$9,Paramètres!$A$1:$I$89,3,0)*0.475*44/12</f>
        <v>1.8694809725555753E-16</v>
      </c>
      <c r="AC141" s="24">
        <f t="shared" si="111"/>
        <v>3.0279642053102078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-5.6843418860808015E-13</v>
      </c>
      <c r="AJ141" s="14">
        <f>AI141*VLOOKUP('Données projet'!$B$10,Paramètres!$A$1:$I$89,3,0)*VLOOKUP('Données projet'!$B$10,Paramètres!$A$1:$I$89,5,0)</f>
        <v>-2.8080648917239157E-13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476.32595424393645</v>
      </c>
      <c r="AO141" s="62">
        <f t="shared" si="144"/>
        <v>36.065940605453875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-2.2737367544323206E-13</v>
      </c>
      <c r="BE141" s="14">
        <f>BD141*VLOOKUP('Données projet'!$B$11,Paramètres!$A$1:$I$89,3,0)*VLOOKUP('Données projet'!$B$11,Paramètres!$A$1:$I$89,5,0)</f>
        <v>-1.8089849618263545E-13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225.02590532358471</v>
      </c>
      <c r="BJ141" s="62">
        <f t="shared" si="146"/>
        <v>224.00025638752402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0.30747741652556404</v>
      </c>
      <c r="BQ141" s="23">
        <f>EXP(-LN(2)/25)*BQ140+(1-EXP(-LN(2)/25))/(LN(2)/25)*Calculateur!BL141*Calculateur!BN141*VLOOKUP('Données projet'!$B$11,Paramètres!$A$1:$I$89,3,0)*0.475*44/12</f>
        <v>0.4554930412381003</v>
      </c>
      <c r="BR141" s="23">
        <f>EXP(-LN(2)/2)*BR140+(1-EXP(-LN(2)/2))/(LN(2)/2)*BL141*BO141*VLOOKUP('Données projet'!$B$11,Paramètres!$A$1:$I$89,3,0)*0.475*44/12</f>
        <v>8.5644297252002141E-16</v>
      </c>
      <c r="BS141" s="24">
        <f t="shared" si="117"/>
        <v>0.76297045776366523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-2.2737367544323206E-13</v>
      </c>
      <c r="O142" s="14">
        <f>N142*VLOOKUP('Données projet'!$B$9,Paramètres!$A$1:$I$89,3,0)*VLOOKUP('Données projet'!$B$9,Paramètres!$A$1:$I$89,5,0)</f>
        <v>-1.2710188457276673E-13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395.89088353191511</v>
      </c>
      <c r="T142" s="62">
        <f t="shared" si="142"/>
        <v>322.63468857063492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2.3334001596287357</v>
      </c>
      <c r="AA142" s="23">
        <f>EXP(-LN(2)/25)*AA141+(1-EXP(-LN(2)/25))/(LN(2)/25)*Calculateur!V142*Calculateur!X142*VLOOKUP('Données projet'!$B$9,Paramètres!$A$1:$I$89,3,0)*0.475*44/12</f>
        <v>0.6301756384042414</v>
      </c>
      <c r="AB142" s="23">
        <f>EXP(-LN(2)/2)*AB141+(1-EXP(-LN(2)/2))/(LN(2)/2)*V142*Y142*VLOOKUP('Données projet'!$B$9,Paramètres!$A$1:$I$89,3,0)*0.475*44/12</f>
        <v>1.3219226729932692E-16</v>
      </c>
      <c r="AC142" s="24">
        <f t="shared" si="111"/>
        <v>2.9635757980329771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-5.6843418860808015E-13</v>
      </c>
      <c r="AJ142" s="14">
        <f>AI142*VLOOKUP('Données projet'!$B$10,Paramètres!$A$1:$I$89,3,0)*VLOOKUP('Données projet'!$B$10,Paramètres!$A$1:$I$89,5,0)</f>
        <v>-2.8080648917239157E-13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476.32595424393645</v>
      </c>
      <c r="AO142" s="62">
        <f t="shared" si="144"/>
        <v>36.065940605453875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-2.2737367544323206E-13</v>
      </c>
      <c r="BE142" s="14">
        <f>BD142*VLOOKUP('Données projet'!$B$11,Paramètres!$A$1:$I$89,3,0)*VLOOKUP('Données projet'!$B$11,Paramètres!$A$1:$I$89,5,0)</f>
        <v>-1.8089849618263545E-13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225.02590532358471</v>
      </c>
      <c r="BJ142" s="62">
        <f t="shared" si="146"/>
        <v>224.00025638752402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0.30144797193020351</v>
      </c>
      <c r="BQ142" s="23">
        <f>EXP(-LN(2)/25)*BQ141+(1-EXP(-LN(2)/25))/(LN(2)/25)*Calculateur!BL142*Calculateur!BN142*VLOOKUP('Données projet'!$B$11,Paramètres!$A$1:$I$89,3,0)*0.475*44/12</f>
        <v>0.44303756007210643</v>
      </c>
      <c r="BR142" s="23">
        <f>EXP(-LN(2)/2)*BR141+(1-EXP(-LN(2)/2))/(LN(2)/2)*BL142*BO142*VLOOKUP('Données projet'!$B$11,Paramètres!$A$1:$I$89,3,0)*0.475*44/12</f>
        <v>6.0559663356847111E-16</v>
      </c>
      <c r="BS142" s="24">
        <f t="shared" si="117"/>
        <v>0.74448553200231049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-2.2737367544323206E-13</v>
      </c>
      <c r="O143" s="14">
        <f>N143*VLOOKUP('Données projet'!$B$9,Paramètres!$A$1:$I$89,3,0)*VLOOKUP('Données projet'!$B$9,Paramètres!$A$1:$I$89,5,0)</f>
        <v>-1.2710188457276673E-13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395.89088353191511</v>
      </c>
      <c r="T143" s="62">
        <f t="shared" si="142"/>
        <v>322.63468857063492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2.2876436057319811</v>
      </c>
      <c r="AA143" s="23">
        <f>EXP(-LN(2)/25)*AA142+(1-EXP(-LN(2)/25))/(LN(2)/25)*Calculateur!V143*Calculateur!X143*VLOOKUP('Données projet'!$B$9,Paramètres!$A$1:$I$89,3,0)*0.475*44/12</f>
        <v>0.61294345243258086</v>
      </c>
      <c r="AB143" s="23">
        <f>EXP(-LN(2)/2)*AB142+(1-EXP(-LN(2)/2))/(LN(2)/2)*V143*Y143*VLOOKUP('Données projet'!$B$9,Paramètres!$A$1:$I$89,3,0)*0.475*44/12</f>
        <v>9.3474048627778764E-17</v>
      </c>
      <c r="AC143" s="24">
        <f t="shared" si="111"/>
        <v>2.9005870581645619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-5.6843418860808015E-13</v>
      </c>
      <c r="AJ143" s="14">
        <f>AI143*VLOOKUP('Données projet'!$B$10,Paramètres!$A$1:$I$89,3,0)*VLOOKUP('Données projet'!$B$10,Paramètres!$A$1:$I$89,5,0)</f>
        <v>-2.8080648917239157E-13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476.32595424393645</v>
      </c>
      <c r="AO143" s="62">
        <f t="shared" si="144"/>
        <v>36.065940605453875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-2.2737367544323206E-13</v>
      </c>
      <c r="BE143" s="14">
        <f>BD143*VLOOKUP('Données projet'!$B$11,Paramètres!$A$1:$I$89,3,0)*VLOOKUP('Données projet'!$B$11,Paramètres!$A$1:$I$89,5,0)</f>
        <v>-1.8089849618263545E-13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225.02590532358471</v>
      </c>
      <c r="BJ143" s="62">
        <f t="shared" si="146"/>
        <v>224.00025638752402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0.29553676106575993</v>
      </c>
      <c r="BQ143" s="23">
        <f>EXP(-LN(2)/25)*BQ142+(1-EXP(-LN(2)/25))/(LN(2)/25)*Calculateur!BL143*Calculateur!BN143*VLOOKUP('Données projet'!$B$11,Paramètres!$A$1:$I$89,3,0)*0.475*44/12</f>
        <v>0.43092267469360196</v>
      </c>
      <c r="BR143" s="23">
        <f>EXP(-LN(2)/2)*BR142+(1-EXP(-LN(2)/2))/(LN(2)/2)*BL143*BO143*VLOOKUP('Données projet'!$B$11,Paramètres!$A$1:$I$89,3,0)*0.475*44/12</f>
        <v>4.2822148626001071E-16</v>
      </c>
      <c r="BS143" s="24">
        <f t="shared" si="117"/>
        <v>0.72645943575936234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-2.2737367544323206E-13</v>
      </c>
      <c r="O144" s="14">
        <f>N144*VLOOKUP('Données projet'!$B$9,Paramètres!$A$1:$I$89,3,0)*VLOOKUP('Données projet'!$B$9,Paramètres!$A$1:$I$89,5,0)</f>
        <v>-1.2710188457276673E-13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395.89088353191511</v>
      </c>
      <c r="T144" s="62">
        <f t="shared" si="142"/>
        <v>322.63468857063492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2.2427843099483997</v>
      </c>
      <c r="AA144" s="23">
        <f>EXP(-LN(2)/25)*AA143+(1-EXP(-LN(2)/25))/(LN(2)/25)*Calculateur!V144*Calculateur!X144*VLOOKUP('Données projet'!$B$9,Paramètres!$A$1:$I$89,3,0)*0.475*44/12</f>
        <v>0.59618248149251662</v>
      </c>
      <c r="AB144" s="23">
        <f>EXP(-LN(2)/2)*AB143+(1-EXP(-LN(2)/2))/(LN(2)/2)*V144*Y144*VLOOKUP('Données projet'!$B$9,Paramètres!$A$1:$I$89,3,0)*0.475*44/12</f>
        <v>6.609613364966346E-17</v>
      </c>
      <c r="AC144" s="24">
        <f t="shared" si="111"/>
        <v>2.8389667914409165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-5.6843418860808015E-13</v>
      </c>
      <c r="AJ144" s="14">
        <f>AI144*VLOOKUP('Données projet'!$B$10,Paramètres!$A$1:$I$89,3,0)*VLOOKUP('Données projet'!$B$10,Paramètres!$A$1:$I$89,5,0)</f>
        <v>-2.8080648917239157E-13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476.32595424393645</v>
      </c>
      <c r="AO144" s="62">
        <f t="shared" si="144"/>
        <v>36.065940605453875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-2.2737367544323206E-13</v>
      </c>
      <c r="BE144" s="14">
        <f>BD144*VLOOKUP('Données projet'!$B$11,Paramètres!$A$1:$I$89,3,0)*VLOOKUP('Données projet'!$B$11,Paramètres!$A$1:$I$89,5,0)</f>
        <v>-1.8089849618263545E-13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225.02590532358471</v>
      </c>
      <c r="BJ144" s="62">
        <f t="shared" si="146"/>
        <v>224.00025638752402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0.28974146544088547</v>
      </c>
      <c r="BQ144" s="23">
        <f>EXP(-LN(2)/25)*BQ143+(1-EXP(-LN(2)/25))/(LN(2)/25)*Calculateur!BL144*Calculateur!BN144*VLOOKUP('Données projet'!$B$11,Paramètres!$A$1:$I$89,3,0)*0.475*44/12</f>
        <v>0.41913907149286683</v>
      </c>
      <c r="BR144" s="23">
        <f>EXP(-LN(2)/2)*BR143+(1-EXP(-LN(2)/2))/(LN(2)/2)*BL144*BO144*VLOOKUP('Données projet'!$B$11,Paramètres!$A$1:$I$89,3,0)*0.475*44/12</f>
        <v>3.0279831678423555E-16</v>
      </c>
      <c r="BS144" s="24">
        <f t="shared" si="117"/>
        <v>0.70888053693375264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-2.2737367544323206E-13</v>
      </c>
      <c r="O145" s="14">
        <f>N145*VLOOKUP('Données projet'!$B$9,Paramètres!$A$1:$I$89,3,0)*VLOOKUP('Données projet'!$B$9,Paramètres!$A$1:$I$89,5,0)</f>
        <v>-1.2710188457276673E-13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395.89088353191511</v>
      </c>
      <c r="T145" s="62">
        <f t="shared" si="142"/>
        <v>322.63468857063492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2.1988046775936656</v>
      </c>
      <c r="AA145" s="23">
        <f>EXP(-LN(2)/25)*AA144+(1-EXP(-LN(2)/25))/(LN(2)/25)*Calculateur!V145*Calculateur!X145*VLOOKUP('Données projet'!$B$9,Paramètres!$A$1:$I$89,3,0)*0.475*44/12</f>
        <v>0.57987984018422967</v>
      </c>
      <c r="AB145" s="23">
        <f>EXP(-LN(2)/2)*AB144+(1-EXP(-LN(2)/2))/(LN(2)/2)*V145*Y145*VLOOKUP('Données projet'!$B$9,Paramètres!$A$1:$I$89,3,0)*0.475*44/12</f>
        <v>4.6737024313889382E-17</v>
      </c>
      <c r="AC145" s="24">
        <f t="shared" si="111"/>
        <v>2.7786845177778954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-5.6843418860808015E-13</v>
      </c>
      <c r="AJ145" s="14">
        <f>AI145*VLOOKUP('Données projet'!$B$10,Paramètres!$A$1:$I$89,3,0)*VLOOKUP('Données projet'!$B$10,Paramètres!$A$1:$I$89,5,0)</f>
        <v>-2.8080648917239157E-13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476.32595424393645</v>
      </c>
      <c r="AO145" s="62">
        <f t="shared" si="144"/>
        <v>36.065940605453875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-2.2737367544323206E-13</v>
      </c>
      <c r="BE145" s="14">
        <f>BD145*VLOOKUP('Données projet'!$B$11,Paramètres!$A$1:$I$89,3,0)*VLOOKUP('Données projet'!$B$11,Paramètres!$A$1:$I$89,5,0)</f>
        <v>-1.8089849618263545E-13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225.02590532358471</v>
      </c>
      <c r="BJ145" s="62">
        <f t="shared" si="146"/>
        <v>224.00025638752402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0.2840598120284335</v>
      </c>
      <c r="BQ145" s="23">
        <f>EXP(-LN(2)/25)*BQ144+(1-EXP(-LN(2)/25))/(LN(2)/25)*Calculateur!BL145*Calculateur!BN145*VLOOKUP('Données projet'!$B$11,Paramètres!$A$1:$I$89,3,0)*0.475*44/12</f>
        <v>0.4076776915413286</v>
      </c>
      <c r="BR145" s="23">
        <f>EXP(-LN(2)/2)*BR144+(1-EXP(-LN(2)/2))/(LN(2)/2)*BL145*BO145*VLOOKUP('Données projet'!$B$11,Paramètres!$A$1:$I$89,3,0)*0.475*44/12</f>
        <v>2.1411074313000535E-16</v>
      </c>
      <c r="BS145" s="24">
        <f t="shared" si="117"/>
        <v>0.69173750356976238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-2.2737367544323206E-13</v>
      </c>
      <c r="O146" s="14">
        <f>N146*VLOOKUP('Données projet'!$B$9,Paramètres!$A$1:$I$89,3,0)*VLOOKUP('Données projet'!$B$9,Paramètres!$A$1:$I$89,5,0)</f>
        <v>-1.2710188457276673E-13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395.89088353191511</v>
      </c>
      <c r="T146" s="62">
        <f t="shared" si="142"/>
        <v>322.63468857063492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2.1556874590044806</v>
      </c>
      <c r="AA146" s="23">
        <f>EXP(-LN(2)/25)*AA145+(1-EXP(-LN(2)/25))/(LN(2)/25)*Calculateur!V146*Calculateur!X146*VLOOKUP('Données projet'!$B$9,Paramètres!$A$1:$I$89,3,0)*0.475*44/12</f>
        <v>0.56402299545983647</v>
      </c>
      <c r="AB146" s="23">
        <f>EXP(-LN(2)/2)*AB145+(1-EXP(-LN(2)/2))/(LN(2)/2)*V146*Y146*VLOOKUP('Données projet'!$B$9,Paramètres!$A$1:$I$89,3,0)*0.475*44/12</f>
        <v>3.304806682483173E-17</v>
      </c>
      <c r="AC146" s="24">
        <f t="shared" si="111"/>
        <v>2.7197104544643169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-5.6843418860808015E-13</v>
      </c>
      <c r="AJ146" s="14">
        <f>AI146*VLOOKUP('Données projet'!$B$10,Paramètres!$A$1:$I$89,3,0)*VLOOKUP('Données projet'!$B$10,Paramètres!$A$1:$I$89,5,0)</f>
        <v>-2.8080648917239157E-13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476.32595424393645</v>
      </c>
      <c r="AO146" s="62">
        <f t="shared" si="144"/>
        <v>36.065940605453875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-2.2737367544323206E-13</v>
      </c>
      <c r="BE146" s="14">
        <f>BD146*VLOOKUP('Données projet'!$B$11,Paramètres!$A$1:$I$89,3,0)*VLOOKUP('Données projet'!$B$11,Paramètres!$A$1:$I$89,5,0)</f>
        <v>-1.8089849618263545E-13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225.02590532358471</v>
      </c>
      <c r="BJ146" s="62">
        <f t="shared" si="146"/>
        <v>224.00025638752402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0.27848957237393329</v>
      </c>
      <c r="BQ146" s="23">
        <f>EXP(-LN(2)/25)*BQ145+(1-EXP(-LN(2)/25))/(LN(2)/25)*Calculateur!BL146*Calculateur!BN146*VLOOKUP('Données projet'!$B$11,Paramètres!$A$1:$I$89,3,0)*0.475*44/12</f>
        <v>0.39652972362729294</v>
      </c>
      <c r="BR146" s="23">
        <f>EXP(-LN(2)/2)*BR145+(1-EXP(-LN(2)/2))/(LN(2)/2)*BL146*BO146*VLOOKUP('Données projet'!$B$11,Paramètres!$A$1:$I$89,3,0)*0.475*44/12</f>
        <v>1.5139915839211778E-16</v>
      </c>
      <c r="BS146" s="24">
        <f t="shared" si="117"/>
        <v>0.67501929600122634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-2.2737367544323206E-13</v>
      </c>
      <c r="O147" s="14">
        <f>N147*VLOOKUP('Données projet'!$B$9,Paramètres!$A$1:$I$89,3,0)*VLOOKUP('Données projet'!$B$9,Paramètres!$A$1:$I$89,5,0)</f>
        <v>-1.2710188457276673E-13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395.89088353191511</v>
      </c>
      <c r="T147" s="62">
        <f t="shared" si="142"/>
        <v>322.63468857063492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2.113415742772923</v>
      </c>
      <c r="AA147" s="23">
        <f>EXP(-LN(2)/25)*AA146+(1-EXP(-LN(2)/25))/(LN(2)/25)*Calculateur!V147*Calculateur!X147*VLOOKUP('Données projet'!$B$9,Paramètres!$A$1:$I$89,3,0)*0.475*44/12</f>
        <v>0.54859975698830699</v>
      </c>
      <c r="AB147" s="23">
        <f>EXP(-LN(2)/2)*AB146+(1-EXP(-LN(2)/2))/(LN(2)/2)*V147*Y147*VLOOKUP('Données projet'!$B$9,Paramètres!$A$1:$I$89,3,0)*0.475*44/12</f>
        <v>2.3368512156944691E-17</v>
      </c>
      <c r="AC147" s="24">
        <f t="shared" si="111"/>
        <v>2.66201549976123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-5.6843418860808015E-13</v>
      </c>
      <c r="AJ147" s="14">
        <f>AI147*VLOOKUP('Données projet'!$B$10,Paramètres!$A$1:$I$89,3,0)*VLOOKUP('Données projet'!$B$10,Paramètres!$A$1:$I$89,5,0)</f>
        <v>-2.8080648917239157E-13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476.32595424393645</v>
      </c>
      <c r="AO147" s="62">
        <f t="shared" si="144"/>
        <v>36.065940605453875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-2.2737367544323206E-13</v>
      </c>
      <c r="BE147" s="14">
        <f>BD147*VLOOKUP('Données projet'!$B$11,Paramètres!$A$1:$I$89,3,0)*VLOOKUP('Données projet'!$B$11,Paramètres!$A$1:$I$89,5,0)</f>
        <v>-1.8089849618263545E-13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225.02590532358471</v>
      </c>
      <c r="BJ147" s="62">
        <f t="shared" si="146"/>
        <v>224.00025638752402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0.27302856172154716</v>
      </c>
      <c r="BQ147" s="23">
        <f>EXP(-LN(2)/25)*BQ146+(1-EXP(-LN(2)/25))/(LN(2)/25)*Calculateur!BL147*Calculateur!BN147*VLOOKUP('Données projet'!$B$11,Paramètres!$A$1:$I$89,3,0)*0.475*44/12</f>
        <v>0.3856865974821127</v>
      </c>
      <c r="BR147" s="23">
        <f>EXP(-LN(2)/2)*BR146+(1-EXP(-LN(2)/2))/(LN(2)/2)*BL147*BO147*VLOOKUP('Données projet'!$B$11,Paramètres!$A$1:$I$89,3,0)*0.475*44/12</f>
        <v>1.0705537156500268E-16</v>
      </c>
      <c r="BS147" s="24">
        <f t="shared" si="117"/>
        <v>0.65871515920365997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-2.2737367544323206E-13</v>
      </c>
      <c r="O148" s="14">
        <f>N148*VLOOKUP('Données projet'!$B$9,Paramètres!$A$1:$I$89,3,0)*VLOOKUP('Données projet'!$B$9,Paramètres!$A$1:$I$89,5,0)</f>
        <v>-1.2710188457276673E-13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395.89088353191511</v>
      </c>
      <c r="T148" s="62">
        <f t="shared" si="142"/>
        <v>322.63468857063492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2.0719729491134653</v>
      </c>
      <c r="AA148" s="23">
        <f>EXP(-LN(2)/25)*AA147+(1-EXP(-LN(2)/25))/(LN(2)/25)*Calculateur!V148*Calculateur!X148*VLOOKUP('Données projet'!$B$9,Paramètres!$A$1:$I$89,3,0)*0.475*44/12</f>
        <v>0.53359826778385433</v>
      </c>
      <c r="AB148" s="23">
        <f>EXP(-LN(2)/2)*AB147+(1-EXP(-LN(2)/2))/(LN(2)/2)*V148*Y148*VLOOKUP('Données projet'!$B$9,Paramètres!$A$1:$I$89,3,0)*0.475*44/12</f>
        <v>1.6524033412415865E-17</v>
      </c>
      <c r="AC148" s="24">
        <f t="shared" si="111"/>
        <v>2.6055712168973195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-5.6843418860808015E-13</v>
      </c>
      <c r="AJ148" s="14">
        <f>AI148*VLOOKUP('Données projet'!$B$10,Paramètres!$A$1:$I$89,3,0)*VLOOKUP('Données projet'!$B$10,Paramètres!$A$1:$I$89,5,0)</f>
        <v>-2.8080648917239157E-13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476.32595424393645</v>
      </c>
      <c r="AO148" s="62">
        <f t="shared" si="144"/>
        <v>36.065940605453875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-2.2737367544323206E-13</v>
      </c>
      <c r="BE148" s="14">
        <f>BD148*VLOOKUP('Données projet'!$B$11,Paramètres!$A$1:$I$89,3,0)*VLOOKUP('Données projet'!$B$11,Paramètres!$A$1:$I$89,5,0)</f>
        <v>-1.8089849618263545E-13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225.02590532358471</v>
      </c>
      <c r="BJ148" s="62">
        <f t="shared" si="146"/>
        <v>224.00025638752402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0.26767463815716669</v>
      </c>
      <c r="BQ148" s="23">
        <f>EXP(-LN(2)/25)*BQ147+(1-EXP(-LN(2)/25))/(LN(2)/25)*Calculateur!BL148*Calculateur!BN148*VLOOKUP('Données projet'!$B$11,Paramètres!$A$1:$I$89,3,0)*0.475*44/12</f>
        <v>0.37513997719158765</v>
      </c>
      <c r="BR148" s="23">
        <f>EXP(-LN(2)/2)*BR147+(1-EXP(-LN(2)/2))/(LN(2)/2)*BL148*BO148*VLOOKUP('Données projet'!$B$11,Paramètres!$A$1:$I$89,3,0)*0.475*44/12</f>
        <v>7.5699579196058889E-17</v>
      </c>
      <c r="BS148" s="24">
        <f t="shared" si="117"/>
        <v>0.6428146153487545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-2.2737367544323206E-13</v>
      </c>
      <c r="O149" s="14">
        <f>N149*VLOOKUP('Données projet'!$B$9,Paramètres!$A$1:$I$89,3,0)*VLOOKUP('Données projet'!$B$9,Paramètres!$A$1:$I$89,5,0)</f>
        <v>-1.2710188457276673E-13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395.89088353191511</v>
      </c>
      <c r="T149" s="62">
        <f t="shared" si="142"/>
        <v>322.63468857063492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2.0313428233600614</v>
      </c>
      <c r="AA149" s="23">
        <f>EXP(-LN(2)/25)*AA148+(1-EXP(-LN(2)/25))/(LN(2)/25)*Calculateur!V149*Calculateur!X149*VLOOKUP('Données projet'!$B$9,Paramètres!$A$1:$I$89,3,0)*0.475*44/12</f>
        <v>0.51900699509059145</v>
      </c>
      <c r="AB149" s="23">
        <f>EXP(-LN(2)/2)*AB148+(1-EXP(-LN(2)/2))/(LN(2)/2)*V149*Y149*VLOOKUP('Données projet'!$B$9,Paramètres!$A$1:$I$89,3,0)*0.475*44/12</f>
        <v>1.1684256078472346E-17</v>
      </c>
      <c r="AC149" s="24">
        <f t="shared" si="111"/>
        <v>2.5503498184506528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-5.6843418860808015E-13</v>
      </c>
      <c r="AJ149" s="14">
        <f>AI149*VLOOKUP('Données projet'!$B$10,Paramètres!$A$1:$I$89,3,0)*VLOOKUP('Données projet'!$B$10,Paramètres!$A$1:$I$89,5,0)</f>
        <v>-2.8080648917239157E-13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476.32595424393645</v>
      </c>
      <c r="AO149" s="62">
        <f t="shared" si="144"/>
        <v>36.065940605453875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-2.2737367544323206E-13</v>
      </c>
      <c r="BE149" s="14">
        <f>BD149*VLOOKUP('Données projet'!$B$11,Paramètres!$A$1:$I$89,3,0)*VLOOKUP('Données projet'!$B$11,Paramètres!$A$1:$I$89,5,0)</f>
        <v>-1.8089849618263545E-13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225.02590532358471</v>
      </c>
      <c r="BJ149" s="62">
        <f t="shared" si="146"/>
        <v>224.00025638752402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0.26242570176831281</v>
      </c>
      <c r="BQ149" s="23">
        <f>EXP(-LN(2)/25)*BQ148+(1-EXP(-LN(2)/25))/(LN(2)/25)*Calculateur!BL149*Calculateur!BN149*VLOOKUP('Données projet'!$B$11,Paramètres!$A$1:$I$89,3,0)*0.475*44/12</f>
        <v>0.36488175478752966</v>
      </c>
      <c r="BR149" s="23">
        <f>EXP(-LN(2)/2)*BR148+(1-EXP(-LN(2)/2))/(LN(2)/2)*BL149*BO149*VLOOKUP('Données projet'!$B$11,Paramètres!$A$1:$I$89,3,0)*0.475*44/12</f>
        <v>5.3527685782501338E-17</v>
      </c>
      <c r="BS149" s="24">
        <f t="shared" si="117"/>
        <v>0.62730745655584252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-2.2737367544323206E-13</v>
      </c>
      <c r="O150" s="14">
        <f>N150*VLOOKUP('Données projet'!$B$9,Paramètres!$A$1:$I$89,3,0)*VLOOKUP('Données projet'!$B$9,Paramètres!$A$1:$I$89,5,0)</f>
        <v>-1.2710188457276673E-13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395.89088353191511</v>
      </c>
      <c r="T150" s="62">
        <f t="shared" si="142"/>
        <v>322.63468857063492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1.9915094295907521</v>
      </c>
      <c r="AA150" s="23">
        <f>EXP(-LN(2)/25)*AA149+(1-EXP(-LN(2)/25))/(LN(2)/25)*Calculateur!V150*Calculateur!X150*VLOOKUP('Données projet'!$B$9,Paramètres!$A$1:$I$89,3,0)*0.475*44/12</f>
        <v>0.50481472151644757</v>
      </c>
      <c r="AB150" s="23">
        <f>EXP(-LN(2)/2)*AB149+(1-EXP(-LN(2)/2))/(LN(2)/2)*V150*Y150*VLOOKUP('Données projet'!$B$9,Paramètres!$A$1:$I$89,3,0)*0.475*44/12</f>
        <v>8.2620167062079325E-18</v>
      </c>
      <c r="AC150" s="24">
        <f t="shared" si="111"/>
        <v>2.4963241511071996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-5.6843418860808015E-13</v>
      </c>
      <c r="AJ150" s="14">
        <f>AI150*VLOOKUP('Données projet'!$B$10,Paramètres!$A$1:$I$89,3,0)*VLOOKUP('Données projet'!$B$10,Paramètres!$A$1:$I$89,5,0)</f>
        <v>-2.8080648917239157E-13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476.32595424393645</v>
      </c>
      <c r="AO150" s="62">
        <f t="shared" si="144"/>
        <v>36.065940605453875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-2.2737367544323206E-13</v>
      </c>
      <c r="BE150" s="14">
        <f>BD150*VLOOKUP('Données projet'!$B$11,Paramètres!$A$1:$I$89,3,0)*VLOOKUP('Données projet'!$B$11,Paramètres!$A$1:$I$89,5,0)</f>
        <v>-1.8089849618263545E-13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225.02590532358471</v>
      </c>
      <c r="BJ150" s="62">
        <f t="shared" si="146"/>
        <v>224.00025638752402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0.2572796938205093</v>
      </c>
      <c r="BQ150" s="23">
        <f>EXP(-LN(2)/25)*BQ149+(1-EXP(-LN(2)/25))/(LN(2)/25)*Calculateur!BL150*Calculateur!BN150*VLOOKUP('Données projet'!$B$11,Paramètres!$A$1:$I$89,3,0)*0.475*44/12</f>
        <v>0.3549040440145671</v>
      </c>
      <c r="BR150" s="23">
        <f>EXP(-LN(2)/2)*BR149+(1-EXP(-LN(2)/2))/(LN(2)/2)*BL150*BO150*VLOOKUP('Données projet'!$B$11,Paramètres!$A$1:$I$89,3,0)*0.475*44/12</f>
        <v>3.7849789598029444E-17</v>
      </c>
      <c r="BS150" s="24">
        <f t="shared" si="117"/>
        <v>0.6121837378350764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-2.2737367544323206E-13</v>
      </c>
      <c r="O151" s="14">
        <f>N151*VLOOKUP('Données projet'!$B$9,Paramètres!$A$1:$I$89,3,0)*VLOOKUP('Données projet'!$B$9,Paramètres!$A$1:$I$89,5,0)</f>
        <v>-1.2710188457276673E-13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395.89088353191511</v>
      </c>
      <c r="T151" s="62">
        <f t="shared" si="142"/>
        <v>322.63468857063492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1.9524571443772878</v>
      </c>
      <c r="AA151" s="23">
        <f>EXP(-LN(2)/25)*AA150+(1-EXP(-LN(2)/25))/(LN(2)/25)*Calculateur!V151*Calculateur!X151*VLOOKUP('Données projet'!$B$9,Paramètres!$A$1:$I$89,3,0)*0.475*44/12</f>
        <v>0.49101053640952785</v>
      </c>
      <c r="AB151" s="23">
        <f>EXP(-LN(2)/2)*AB150+(1-EXP(-LN(2)/2))/(LN(2)/2)*V151*Y151*VLOOKUP('Données projet'!$B$9,Paramètres!$A$1:$I$89,3,0)*0.475*44/12</f>
        <v>5.8421280392361728E-18</v>
      </c>
      <c r="AC151" s="24">
        <f t="shared" si="111"/>
        <v>2.4434676807868154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-5.6843418860808015E-13</v>
      </c>
      <c r="AJ151" s="14">
        <f>AI151*VLOOKUP('Données projet'!$B$10,Paramètres!$A$1:$I$89,3,0)*VLOOKUP('Données projet'!$B$10,Paramètres!$A$1:$I$89,5,0)</f>
        <v>-2.8080648917239157E-13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476.32595424393645</v>
      </c>
      <c r="AO151" s="62">
        <f t="shared" si="144"/>
        <v>36.065940605453875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-2.2737367544323206E-13</v>
      </c>
      <c r="BE151" s="14">
        <f>BD151*VLOOKUP('Données projet'!$B$11,Paramètres!$A$1:$I$89,3,0)*VLOOKUP('Données projet'!$B$11,Paramètres!$A$1:$I$89,5,0)</f>
        <v>-1.8089849618263545E-13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225.02590532358471</v>
      </c>
      <c r="BJ151" s="62">
        <f t="shared" si="146"/>
        <v>224.00025638752402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0.25223459594980729</v>
      </c>
      <c r="BQ151" s="23">
        <f>EXP(-LN(2)/25)*BQ150+(1-EXP(-LN(2)/25))/(LN(2)/25)*Calculateur!BL151*Calculateur!BN151*VLOOKUP('Données projet'!$B$11,Paramètres!$A$1:$I$89,3,0)*0.475*44/12</f>
        <v>0.34519917426739621</v>
      </c>
      <c r="BR151" s="23">
        <f>EXP(-LN(2)/2)*BR150+(1-EXP(-LN(2)/2))/(LN(2)/2)*BL151*BO151*VLOOKUP('Données projet'!$B$11,Paramètres!$A$1:$I$89,3,0)*0.475*44/12</f>
        <v>2.6763842891250669E-17</v>
      </c>
      <c r="BS151" s="24">
        <f t="shared" si="117"/>
        <v>0.59743377021720345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-2.2737367544323206E-13</v>
      </c>
      <c r="O152" s="14">
        <f>N152*VLOOKUP('Données projet'!$B$9,Paramètres!$A$1:$I$89,3,0)*VLOOKUP('Données projet'!$B$9,Paramètres!$A$1:$I$89,5,0)</f>
        <v>-1.2710188457276673E-13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395.89088353191511</v>
      </c>
      <c r="T152" s="62">
        <f t="shared" si="142"/>
        <v>322.63468857063492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1.9141706506573175</v>
      </c>
      <c r="AA152" s="23">
        <f>EXP(-LN(2)/25)*AA151+(1-EXP(-LN(2)/25))/(LN(2)/25)*Calculateur!V152*Calculateur!X152*VLOOKUP('Données projet'!$B$9,Paramètres!$A$1:$I$89,3,0)*0.475*44/12</f>
        <v>0.47758382747028744</v>
      </c>
      <c r="AB152" s="23">
        <f>EXP(-LN(2)/2)*AB151+(1-EXP(-LN(2)/2))/(LN(2)/2)*V152*Y152*VLOOKUP('Données projet'!$B$9,Paramètres!$A$1:$I$89,3,0)*0.475*44/12</f>
        <v>4.1310083531039663E-18</v>
      </c>
      <c r="AC152" s="24">
        <f t="shared" si="111"/>
        <v>2.3917544781276048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-5.6843418860808015E-13</v>
      </c>
      <c r="AJ152" s="14">
        <f>AI152*VLOOKUP('Données projet'!$B$10,Paramètres!$A$1:$I$89,3,0)*VLOOKUP('Données projet'!$B$10,Paramètres!$A$1:$I$89,5,0)</f>
        <v>-2.8080648917239157E-13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476.32595424393645</v>
      </c>
      <c r="AO152" s="62">
        <f t="shared" si="144"/>
        <v>36.065940605453875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-2.2737367544323206E-13</v>
      </c>
      <c r="BE152" s="14">
        <f>BD152*VLOOKUP('Données projet'!$B$11,Paramètres!$A$1:$I$89,3,0)*VLOOKUP('Données projet'!$B$11,Paramètres!$A$1:$I$89,5,0)</f>
        <v>-1.8089849618263545E-13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225.02590532358471</v>
      </c>
      <c r="BJ152" s="62">
        <f t="shared" si="146"/>
        <v>224.00025638752402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0.24728842937114387</v>
      </c>
      <c r="BQ152" s="23">
        <f>EXP(-LN(2)/25)*BQ151+(1-EXP(-LN(2)/25))/(LN(2)/25)*Calculateur!BL152*Calculateur!BN152*VLOOKUP('Données projet'!$B$11,Paramètres!$A$1:$I$89,3,0)*0.475*44/12</f>
        <v>0.33575968469381867</v>
      </c>
      <c r="BR152" s="23">
        <f>EXP(-LN(2)/2)*BR151+(1-EXP(-LN(2)/2))/(LN(2)/2)*BL152*BO152*VLOOKUP('Données projet'!$B$11,Paramètres!$A$1:$I$89,3,0)*0.475*44/12</f>
        <v>1.8924894799014722E-17</v>
      </c>
      <c r="BS152" s="24">
        <f t="shared" si="117"/>
        <v>0.5830481140649626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-2.2737367544323206E-13</v>
      </c>
      <c r="O153" s="14">
        <f>N153*VLOOKUP('Données projet'!$B$9,Paramètres!$A$1:$I$89,3,0)*VLOOKUP('Données projet'!$B$9,Paramètres!$A$1:$I$89,5,0)</f>
        <v>-1.2710188457276673E-13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395.89088353191511</v>
      </c>
      <c r="T153" s="62">
        <f t="shared" si="142"/>
        <v>322.63468857063492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1.8766349317267406</v>
      </c>
      <c r="AA153" s="23">
        <f>EXP(-LN(2)/25)*AA152+(1-EXP(-LN(2)/25))/(LN(2)/25)*Calculateur!V153*Calculateur!X153*VLOOKUP('Données projet'!$B$9,Paramètres!$A$1:$I$89,3,0)*0.475*44/12</f>
        <v>0.4645242725930705</v>
      </c>
      <c r="AB153" s="23">
        <f>EXP(-LN(2)/2)*AB152+(1-EXP(-LN(2)/2))/(LN(2)/2)*V153*Y153*VLOOKUP('Données projet'!$B$9,Paramètres!$A$1:$I$89,3,0)*0.475*44/12</f>
        <v>2.9210640196180864E-18</v>
      </c>
      <c r="AC153" s="24">
        <f t="shared" si="111"/>
        <v>2.3411592043198111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-5.6843418860808015E-13</v>
      </c>
      <c r="AJ153" s="14">
        <f>AI153*VLOOKUP('Données projet'!$B$10,Paramètres!$A$1:$I$89,3,0)*VLOOKUP('Données projet'!$B$10,Paramètres!$A$1:$I$89,5,0)</f>
        <v>-2.8080648917239157E-13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476.32595424393645</v>
      </c>
      <c r="AO153" s="62">
        <f t="shared" si="144"/>
        <v>36.065940605453875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-2.2737367544323206E-13</v>
      </c>
      <c r="BE153" s="14">
        <f>BD153*VLOOKUP('Données projet'!$B$11,Paramètres!$A$1:$I$89,3,0)*VLOOKUP('Données projet'!$B$11,Paramètres!$A$1:$I$89,5,0)</f>
        <v>-1.8089849618263545E-13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225.02590532358471</v>
      </c>
      <c r="BJ153" s="62">
        <f t="shared" si="146"/>
        <v>224.00025638752402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0.24243925410222433</v>
      </c>
      <c r="BQ153" s="23">
        <f>EXP(-LN(2)/25)*BQ152+(1-EXP(-LN(2)/25))/(LN(2)/25)*Calculateur!BL153*Calculateur!BN153*VLOOKUP('Données projet'!$B$11,Paramètres!$A$1:$I$89,3,0)*0.475*44/12</f>
        <v>0.32657831845903179</v>
      </c>
      <c r="BR153" s="23">
        <f>EXP(-LN(2)/2)*BR152+(1-EXP(-LN(2)/2))/(LN(2)/2)*BL153*BO153*VLOOKUP('Données projet'!$B$11,Paramètres!$A$1:$I$89,3,0)*0.475*44/12</f>
        <v>1.3381921445625335E-17</v>
      </c>
      <c r="BS153" s="24">
        <f t="shared" si="117"/>
        <v>0.56901757256125607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projet'!$B$9,Paramètres!$A$1:$I$89,3,0)*VLOOKUP('Données projet'!$B$9,Paramètres!$A$1:$I$89,5,0)</f>
        <v>-1.2710188457276673E-13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395.89088353191511</v>
      </c>
      <c r="T154" s="62">
        <f t="shared" si="142"/>
        <v>322.63468857063492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1.8398352653498642</v>
      </c>
      <c r="AA154" s="23">
        <f>EXP(-LN(2)/25)*AA153+(1-EXP(-LN(2)/25))/(LN(2)/25)*Calculateur!V154*Calculateur!X154*VLOOKUP('Données projet'!$B$9,Paramètres!$A$1:$I$89,3,0)*0.475*44/12</f>
        <v>0.45182183193074316</v>
      </c>
      <c r="AB154" s="23">
        <f>EXP(-LN(2)/2)*AB153+(1-EXP(-LN(2)/2))/(LN(2)/2)*V154*Y154*VLOOKUP('Données projet'!$B$9,Paramètres!$A$1:$I$89,3,0)*0.475*44/12</f>
        <v>2.0655041765519831E-18</v>
      </c>
      <c r="AC154" s="24">
        <f t="shared" ref="AC154:AC203" si="163">SUM(Z154:AB154)</f>
        <v>2.2916570972806074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-5.6843418860808015E-13</v>
      </c>
      <c r="AJ154" s="14">
        <f>AI154*VLOOKUP('Données projet'!$B$10,Paramètres!$A$1:$I$89,3,0)*VLOOKUP('Données projet'!$B$10,Paramètres!$A$1:$I$89,5,0)</f>
        <v>-2.8080648917239157E-13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476.32595424393645</v>
      </c>
      <c r="AO154" s="62">
        <f t="shared" si="144"/>
        <v>36.065940605453875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-2.2737367544323206E-13</v>
      </c>
      <c r="BE154" s="14">
        <f>BD154*VLOOKUP('Données projet'!$B$11,Paramètres!$A$1:$I$89,3,0)*VLOOKUP('Données projet'!$B$11,Paramètres!$A$1:$I$89,5,0)</f>
        <v>-1.8089849618263545E-13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225.02590532358471</v>
      </c>
      <c r="BJ154" s="62">
        <f t="shared" si="146"/>
        <v>224.00025638752402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0.23768516820262345</v>
      </c>
      <c r="BQ154" s="23">
        <f>EXP(-LN(2)/25)*BQ153+(1-EXP(-LN(2)/25))/(LN(2)/25)*Calculateur!BL154*Calculateur!BN154*VLOOKUP('Données projet'!$B$11,Paramètres!$A$1:$I$89,3,0)*0.475*44/12</f>
        <v>0.31764801716676222</v>
      </c>
      <c r="BR154" s="23">
        <f>EXP(-LN(2)/2)*BR153+(1-EXP(-LN(2)/2))/(LN(2)/2)*BL154*BO154*VLOOKUP('Données projet'!$B$11,Paramètres!$A$1:$I$89,3,0)*0.475*44/12</f>
        <v>9.4624473995073611E-18</v>
      </c>
      <c r="BS154" s="24">
        <f t="shared" ref="BS154:BS203" si="169">SUM(BP154:BR154)</f>
        <v>0.5553331853693857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projet'!$B$9,Paramètres!$A$1:$I$89,3,0)*VLOOKUP('Données projet'!$B$9,Paramètres!$A$1:$I$89,5,0)</f>
        <v>-1.2710188457276673E-13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395.89088353191511</v>
      </c>
      <c r="T155" s="62">
        <f t="shared" si="142"/>
        <v>322.63468857063492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1.8037572179850583</v>
      </c>
      <c r="AA155" s="23">
        <f>EXP(-LN(2)/25)*AA154+(1-EXP(-LN(2)/25))/(LN(2)/25)*Calculateur!V155*Calculateur!X155*VLOOKUP('Données projet'!$B$9,Paramètres!$A$1:$I$89,3,0)*0.475*44/12</f>
        <v>0.43946674017631948</v>
      </c>
      <c r="AB155" s="23">
        <f>EXP(-LN(2)/2)*AB154+(1-EXP(-LN(2)/2))/(LN(2)/2)*V155*Y155*VLOOKUP('Données projet'!$B$9,Paramètres!$A$1:$I$89,3,0)*0.475*44/12</f>
        <v>1.4605320098090432E-18</v>
      </c>
      <c r="AC155" s="24">
        <f t="shared" si="163"/>
        <v>2.2432239581613778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-5.6843418860808015E-13</v>
      </c>
      <c r="AJ155" s="14">
        <f>AI155*VLOOKUP('Données projet'!$B$10,Paramètres!$A$1:$I$89,3,0)*VLOOKUP('Données projet'!$B$10,Paramètres!$A$1:$I$89,5,0)</f>
        <v>-2.8080648917239157E-13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476.32595424393645</v>
      </c>
      <c r="AO155" s="62">
        <f t="shared" si="144"/>
        <v>36.065940605453875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-2.2737367544323206E-13</v>
      </c>
      <c r="BE155" s="14">
        <f>BD155*VLOOKUP('Données projet'!$B$11,Paramètres!$A$1:$I$89,3,0)*VLOOKUP('Données projet'!$B$11,Paramètres!$A$1:$I$89,5,0)</f>
        <v>-1.8089849618263545E-13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225.02590532358471</v>
      </c>
      <c r="BJ155" s="62">
        <f t="shared" si="146"/>
        <v>224.00025638752402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0.23302430702780766</v>
      </c>
      <c r="BQ155" s="23">
        <f>EXP(-LN(2)/25)*BQ154+(1-EXP(-LN(2)/25))/(LN(2)/25)*Calculateur!BL155*Calculateur!BN155*VLOOKUP('Données projet'!$B$11,Paramètres!$A$1:$I$89,3,0)*0.475*44/12</f>
        <v>0.30896191543295387</v>
      </c>
      <c r="BR155" s="23">
        <f>EXP(-LN(2)/2)*BR154+(1-EXP(-LN(2)/2))/(LN(2)/2)*BL155*BO155*VLOOKUP('Données projet'!$B$11,Paramètres!$A$1:$I$89,3,0)*0.475*44/12</f>
        <v>6.6909607228126673E-18</v>
      </c>
      <c r="BS155" s="24">
        <f t="shared" si="169"/>
        <v>0.54198622246076156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projet'!$B$9,Paramètres!$A$1:$I$89,3,0)*VLOOKUP('Données projet'!$B$9,Paramètres!$A$1:$I$89,5,0)</f>
        <v>-1.2710188457276673E-13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395.89088353191511</v>
      </c>
      <c r="T156" s="62">
        <f t="shared" si="142"/>
        <v>322.63468857063492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1.7683866391236402</v>
      </c>
      <c r="AA156" s="23">
        <f>EXP(-LN(2)/25)*AA155+(1-EXP(-LN(2)/25))/(LN(2)/25)*Calculateur!V156*Calculateur!X156*VLOOKUP('Données projet'!$B$9,Paramètres!$A$1:$I$89,3,0)*0.475*44/12</f>
        <v>0.42744949905564655</v>
      </c>
      <c r="AB156" s="23">
        <f>EXP(-LN(2)/2)*AB155+(1-EXP(-LN(2)/2))/(LN(2)/2)*V156*Y156*VLOOKUP('Données projet'!$B$9,Paramètres!$A$1:$I$89,3,0)*0.475*44/12</f>
        <v>1.0327520882759916E-18</v>
      </c>
      <c r="AC156" s="24">
        <f t="shared" si="163"/>
        <v>2.1958361381792866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-5.6843418860808015E-13</v>
      </c>
      <c r="AJ156" s="14">
        <f>AI156*VLOOKUP('Données projet'!$B$10,Paramètres!$A$1:$I$89,3,0)*VLOOKUP('Données projet'!$B$10,Paramètres!$A$1:$I$89,5,0)</f>
        <v>-2.8080648917239157E-13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476.32595424393645</v>
      </c>
      <c r="AO156" s="62">
        <f t="shared" si="144"/>
        <v>36.065940605453875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-2.2737367544323206E-13</v>
      </c>
      <c r="BE156" s="14">
        <f>BD156*VLOOKUP('Données projet'!$B$11,Paramètres!$A$1:$I$89,3,0)*VLOOKUP('Données projet'!$B$11,Paramètres!$A$1:$I$89,5,0)</f>
        <v>-1.8089849618263545E-13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225.02590532358471</v>
      </c>
      <c r="BJ156" s="62">
        <f t="shared" si="146"/>
        <v>224.00025638752402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0.22845484249778539</v>
      </c>
      <c r="BQ156" s="23">
        <f>EXP(-LN(2)/25)*BQ155+(1-EXP(-LN(2)/25))/(LN(2)/25)*Calculateur!BL156*Calculateur!BN156*VLOOKUP('Données projet'!$B$11,Paramètres!$A$1:$I$89,3,0)*0.475*44/12</f>
        <v>0.30051333560783877</v>
      </c>
      <c r="BR156" s="23">
        <f>EXP(-LN(2)/2)*BR155+(1-EXP(-LN(2)/2))/(LN(2)/2)*BL156*BO156*VLOOKUP('Données projet'!$B$11,Paramètres!$A$1:$I$89,3,0)*0.475*44/12</f>
        <v>4.7312236997536805E-18</v>
      </c>
      <c r="BS156" s="24">
        <f t="shared" si="169"/>
        <v>0.52896817810562413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projet'!$B$9,Paramètres!$A$1:$I$89,3,0)*VLOOKUP('Données projet'!$B$9,Paramètres!$A$1:$I$89,5,0)</f>
        <v>-1.2710188457276673E-13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395.89088353191511</v>
      </c>
      <c r="T157" s="62">
        <f t="shared" si="142"/>
        <v>322.63468857063492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1.7337096557397718</v>
      </c>
      <c r="AA157" s="23">
        <f>EXP(-LN(2)/25)*AA156+(1-EXP(-LN(2)/25))/(LN(2)/25)*Calculateur!V157*Calculateur!X157*VLOOKUP('Données projet'!$B$9,Paramètres!$A$1:$I$89,3,0)*0.475*44/12</f>
        <v>0.4157608700253777</v>
      </c>
      <c r="AB157" s="23">
        <f>EXP(-LN(2)/2)*AB156+(1-EXP(-LN(2)/2))/(LN(2)/2)*V157*Y157*VLOOKUP('Données projet'!$B$9,Paramètres!$A$1:$I$89,3,0)*0.475*44/12</f>
        <v>7.3026600490452159E-19</v>
      </c>
      <c r="AC157" s="24">
        <f t="shared" si="163"/>
        <v>2.1494705257651496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-5.6843418860808015E-13</v>
      </c>
      <c r="AJ157" s="14">
        <f>AI157*VLOOKUP('Données projet'!$B$10,Paramètres!$A$1:$I$89,3,0)*VLOOKUP('Données projet'!$B$10,Paramètres!$A$1:$I$89,5,0)</f>
        <v>-2.8080648917239157E-13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476.32595424393645</v>
      </c>
      <c r="AO157" s="62">
        <f t="shared" si="144"/>
        <v>36.065940605453875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-2.2737367544323206E-13</v>
      </c>
      <c r="BE157" s="14">
        <f>BD157*VLOOKUP('Données projet'!$B$11,Paramètres!$A$1:$I$89,3,0)*VLOOKUP('Données projet'!$B$11,Paramètres!$A$1:$I$89,5,0)</f>
        <v>-1.8089849618263545E-13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225.02590532358471</v>
      </c>
      <c r="BJ157" s="62">
        <f t="shared" si="146"/>
        <v>224.00025638752402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0.22397498238009869</v>
      </c>
      <c r="BQ157" s="23">
        <f>EXP(-LN(2)/25)*BQ156+(1-EXP(-LN(2)/25))/(LN(2)/25)*Calculateur!BL157*Calculateur!BN157*VLOOKUP('Données projet'!$B$11,Paramètres!$A$1:$I$89,3,0)*0.475*44/12</f>
        <v>0.29229578264233291</v>
      </c>
      <c r="BR157" s="23">
        <f>EXP(-LN(2)/2)*BR156+(1-EXP(-LN(2)/2))/(LN(2)/2)*BL157*BO157*VLOOKUP('Données projet'!$B$11,Paramètres!$A$1:$I$89,3,0)*0.475*44/12</f>
        <v>3.3454803614063336E-18</v>
      </c>
      <c r="BS157" s="24">
        <f t="shared" si="169"/>
        <v>0.51627076502243163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projet'!$B$9,Paramètres!$A$1:$I$89,3,0)*VLOOKUP('Données projet'!$B$9,Paramètres!$A$1:$I$89,5,0)</f>
        <v>-1.2710188457276673E-13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395.89088353191511</v>
      </c>
      <c r="T158" s="62">
        <f t="shared" si="142"/>
        <v>322.63468857063492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1.6997126668491895</v>
      </c>
      <c r="AA158" s="23">
        <f>EXP(-LN(2)/25)*AA157+(1-EXP(-LN(2)/25))/(LN(2)/25)*Calculateur!V158*Calculateur!X158*VLOOKUP('Données projet'!$B$9,Paramètres!$A$1:$I$89,3,0)*0.475*44/12</f>
        <v>0.40439186717061981</v>
      </c>
      <c r="AB158" s="23">
        <f>EXP(-LN(2)/2)*AB157+(1-EXP(-LN(2)/2))/(LN(2)/2)*V158*Y158*VLOOKUP('Données projet'!$B$9,Paramètres!$A$1:$I$89,3,0)*0.475*44/12</f>
        <v>5.1637604413799578E-19</v>
      </c>
      <c r="AC158" s="24">
        <f t="shared" si="163"/>
        <v>2.1041045340198092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-5.6843418860808015E-13</v>
      </c>
      <c r="AJ158" s="14">
        <f>AI158*VLOOKUP('Données projet'!$B$10,Paramètres!$A$1:$I$89,3,0)*VLOOKUP('Données projet'!$B$10,Paramètres!$A$1:$I$89,5,0)</f>
        <v>-2.8080648917239157E-13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476.32595424393645</v>
      </c>
      <c r="AO158" s="62">
        <f t="shared" si="144"/>
        <v>36.065940605453875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-2.2737367544323206E-13</v>
      </c>
      <c r="BE158" s="14">
        <f>BD158*VLOOKUP('Données projet'!$B$11,Paramètres!$A$1:$I$89,3,0)*VLOOKUP('Données projet'!$B$11,Paramètres!$A$1:$I$89,5,0)</f>
        <v>-1.8089849618263545E-13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225.02590532358471</v>
      </c>
      <c r="BJ158" s="62">
        <f t="shared" si="146"/>
        <v>224.00025638752402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0.21958296958687495</v>
      </c>
      <c r="BQ158" s="23">
        <f>EXP(-LN(2)/25)*BQ157+(1-EXP(-LN(2)/25))/(LN(2)/25)*Calculateur!BL158*Calculateur!BN158*VLOOKUP('Données projet'!$B$11,Paramètres!$A$1:$I$89,3,0)*0.475*44/12</f>
        <v>0.28430293909481114</v>
      </c>
      <c r="BR158" s="23">
        <f>EXP(-LN(2)/2)*BR157+(1-EXP(-LN(2)/2))/(LN(2)/2)*BL158*BO158*VLOOKUP('Données projet'!$B$11,Paramètres!$A$1:$I$89,3,0)*0.475*44/12</f>
        <v>2.3656118498768403E-18</v>
      </c>
      <c r="BS158" s="24">
        <f t="shared" si="169"/>
        <v>0.50388590868168603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projet'!$B$9,Paramètres!$A$1:$I$89,3,0)*VLOOKUP('Données projet'!$B$9,Paramètres!$A$1:$I$89,5,0)</f>
        <v>-1.2710188457276673E-13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395.89088353191511</v>
      </c>
      <c r="T159" s="62">
        <f t="shared" si="142"/>
        <v>322.63468857063492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1.6663823381746359</v>
      </c>
      <c r="AA159" s="23">
        <f>EXP(-LN(2)/25)*AA158+(1-EXP(-LN(2)/25))/(LN(2)/25)*Calculateur!V159*Calculateur!X159*VLOOKUP('Données projet'!$B$9,Paramètres!$A$1:$I$89,3,0)*0.475*44/12</f>
        <v>0.39333375029679518</v>
      </c>
      <c r="AB159" s="23">
        <f>EXP(-LN(2)/2)*AB158+(1-EXP(-LN(2)/2))/(LN(2)/2)*V159*Y159*VLOOKUP('Données projet'!$B$9,Paramètres!$A$1:$I$89,3,0)*0.475*44/12</f>
        <v>3.651330024522608E-19</v>
      </c>
      <c r="AC159" s="24">
        <f t="shared" si="163"/>
        <v>2.059716088471431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-5.6843418860808015E-13</v>
      </c>
      <c r="AJ159" s="14">
        <f>AI159*VLOOKUP('Données projet'!$B$10,Paramètres!$A$1:$I$89,3,0)*VLOOKUP('Données projet'!$B$10,Paramètres!$A$1:$I$89,5,0)</f>
        <v>-2.8080648917239157E-13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476.32595424393645</v>
      </c>
      <c r="AO159" s="62">
        <f t="shared" si="144"/>
        <v>36.065940605453875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-2.2737367544323206E-13</v>
      </c>
      <c r="BE159" s="14">
        <f>BD159*VLOOKUP('Données projet'!$B$11,Paramètres!$A$1:$I$89,3,0)*VLOOKUP('Données projet'!$B$11,Paramètres!$A$1:$I$89,5,0)</f>
        <v>-1.8089849618263545E-13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225.02590532358471</v>
      </c>
      <c r="BJ159" s="62">
        <f t="shared" si="146"/>
        <v>224.00025638752402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0.21527708148566305</v>
      </c>
      <c r="BQ159" s="23">
        <f>EXP(-LN(2)/25)*BQ158+(1-EXP(-LN(2)/25))/(LN(2)/25)*Calculateur!BL159*Calculateur!BN159*VLOOKUP('Données projet'!$B$11,Paramètres!$A$1:$I$89,3,0)*0.475*44/12</f>
        <v>0.27652866027442174</v>
      </c>
      <c r="BR159" s="23">
        <f>EXP(-LN(2)/2)*BR158+(1-EXP(-LN(2)/2))/(LN(2)/2)*BL159*BO159*VLOOKUP('Données projet'!$B$11,Paramètres!$A$1:$I$89,3,0)*0.475*44/12</f>
        <v>1.6727401807031668E-18</v>
      </c>
      <c r="BS159" s="24">
        <f t="shared" si="169"/>
        <v>0.49180574176008479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projet'!$B$9,Paramètres!$A$1:$I$89,3,0)*VLOOKUP('Données projet'!$B$9,Paramètres!$A$1:$I$89,5,0)</f>
        <v>-1.2710188457276673E-13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395.89088353191511</v>
      </c>
      <c r="T160" s="62">
        <f t="shared" si="142"/>
        <v>322.63468857063492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1.6337055969158971</v>
      </c>
      <c r="AA160" s="23">
        <f>EXP(-LN(2)/25)*AA159+(1-EXP(-LN(2)/25))/(LN(2)/25)*Calculateur!V160*Calculateur!X160*VLOOKUP('Données projet'!$B$9,Paramètres!$A$1:$I$89,3,0)*0.475*44/12</f>
        <v>0.38257801821040638</v>
      </c>
      <c r="AB160" s="23">
        <f>EXP(-LN(2)/2)*AB159+(1-EXP(-LN(2)/2))/(LN(2)/2)*V160*Y160*VLOOKUP('Données projet'!$B$9,Paramètres!$A$1:$I$89,3,0)*0.475*44/12</f>
        <v>2.5818802206899789E-19</v>
      </c>
      <c r="AC160" s="24">
        <f t="shared" si="163"/>
        <v>2.0162836151263033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-5.6843418860808015E-13</v>
      </c>
      <c r="AJ160" s="14">
        <f>AI160*VLOOKUP('Données projet'!$B$10,Paramètres!$A$1:$I$89,3,0)*VLOOKUP('Données projet'!$B$10,Paramètres!$A$1:$I$89,5,0)</f>
        <v>-2.8080648917239157E-13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476.32595424393645</v>
      </c>
      <c r="AO160" s="62">
        <f t="shared" si="144"/>
        <v>36.065940605453875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-2.2737367544323206E-13</v>
      </c>
      <c r="BE160" s="14">
        <f>BD160*VLOOKUP('Données projet'!$B$11,Paramètres!$A$1:$I$89,3,0)*VLOOKUP('Données projet'!$B$11,Paramètres!$A$1:$I$89,5,0)</f>
        <v>-1.8089849618263545E-13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225.02590532358471</v>
      </c>
      <c r="BJ160" s="62">
        <f t="shared" si="146"/>
        <v>224.00025638752402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0.21105562922378351</v>
      </c>
      <c r="BQ160" s="23">
        <f>EXP(-LN(2)/25)*BQ159+(1-EXP(-LN(2)/25))/(LN(2)/25)*Calculateur!BL160*Calculateur!BN160*VLOOKUP('Données projet'!$B$11,Paramètres!$A$1:$I$89,3,0)*0.475*44/12</f>
        <v>0.26896696951720744</v>
      </c>
      <c r="BR160" s="23">
        <f>EXP(-LN(2)/2)*BR159+(1-EXP(-LN(2)/2))/(LN(2)/2)*BL160*BO160*VLOOKUP('Données projet'!$B$11,Paramètres!$A$1:$I$89,3,0)*0.475*44/12</f>
        <v>1.1828059249384201E-18</v>
      </c>
      <c r="BS160" s="24">
        <f t="shared" si="169"/>
        <v>0.48002259874099096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projet'!$B$9,Paramètres!$A$1:$I$89,3,0)*VLOOKUP('Données projet'!$B$9,Paramètres!$A$1:$I$89,5,0)</f>
        <v>-1.2710188457276673E-13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395.89088353191511</v>
      </c>
      <c r="T161" s="62">
        <f t="shared" si="142"/>
        <v>322.63468857063492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1.601669626622398</v>
      </c>
      <c r="AA161" s="23">
        <f>EXP(-LN(2)/25)*AA160+(1-EXP(-LN(2)/25))/(LN(2)/25)*Calculateur!V161*Calculateur!X161*VLOOKUP('Données projet'!$B$9,Paramètres!$A$1:$I$89,3,0)*0.475*44/12</f>
        <v>0.37211640218353925</v>
      </c>
      <c r="AB161" s="23">
        <f>EXP(-LN(2)/2)*AB160+(1-EXP(-LN(2)/2))/(LN(2)/2)*V161*Y161*VLOOKUP('Données projet'!$B$9,Paramètres!$A$1:$I$89,3,0)*0.475*44/12</f>
        <v>1.825665012261304E-19</v>
      </c>
      <c r="AC161" s="24">
        <f t="shared" si="163"/>
        <v>1.9737860288059372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-5.6843418860808015E-13</v>
      </c>
      <c r="AJ161" s="14">
        <f>AI161*VLOOKUP('Données projet'!$B$10,Paramètres!$A$1:$I$89,3,0)*VLOOKUP('Données projet'!$B$10,Paramètres!$A$1:$I$89,5,0)</f>
        <v>-2.8080648917239157E-13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476.32595424393645</v>
      </c>
      <c r="AO161" s="62">
        <f t="shared" si="144"/>
        <v>36.065940605453875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-2.2737367544323206E-13</v>
      </c>
      <c r="BE161" s="14">
        <f>BD161*VLOOKUP('Données projet'!$B$11,Paramètres!$A$1:$I$89,3,0)*VLOOKUP('Données projet'!$B$11,Paramètres!$A$1:$I$89,5,0)</f>
        <v>-1.8089849618263545E-13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225.02590532358471</v>
      </c>
      <c r="BJ161" s="62">
        <f t="shared" si="146"/>
        <v>224.00025638752402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0.2069169570659278</v>
      </c>
      <c r="BQ161" s="23">
        <f>EXP(-LN(2)/25)*BQ160+(1-EXP(-LN(2)/25))/(LN(2)/25)*Calculateur!BL161*Calculateur!BN161*VLOOKUP('Données projet'!$B$11,Paramètres!$A$1:$I$89,3,0)*0.475*44/12</f>
        <v>0.26161205359140122</v>
      </c>
      <c r="BR161" s="23">
        <f>EXP(-LN(2)/2)*BR160+(1-EXP(-LN(2)/2))/(LN(2)/2)*BL161*BO161*VLOOKUP('Données projet'!$B$11,Paramètres!$A$1:$I$89,3,0)*0.475*44/12</f>
        <v>8.3637009035158341E-19</v>
      </c>
      <c r="BS161" s="24">
        <f t="shared" si="169"/>
        <v>0.46852901065732899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projet'!$B$9,Paramètres!$A$1:$I$89,3,0)*VLOOKUP('Données projet'!$B$9,Paramètres!$A$1:$I$89,5,0)</f>
        <v>-1.2710188457276673E-13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395.89088353191511</v>
      </c>
      <c r="T162" s="62">
        <f t="shared" si="142"/>
        <v>322.63468857063492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1.570261862166342</v>
      </c>
      <c r="AA162" s="23">
        <f>EXP(-LN(2)/25)*AA161+(1-EXP(-LN(2)/25))/(LN(2)/25)*Calculateur!V162*Calculateur!X162*VLOOKUP('Données projet'!$B$9,Paramètres!$A$1:$I$89,3,0)*0.475*44/12</f>
        <v>0.36194085959707928</v>
      </c>
      <c r="AB162" s="23">
        <f>EXP(-LN(2)/2)*AB161+(1-EXP(-LN(2)/2))/(LN(2)/2)*V162*Y162*VLOOKUP('Données projet'!$B$9,Paramètres!$A$1:$I$89,3,0)*0.475*44/12</f>
        <v>1.2909401103449895E-19</v>
      </c>
      <c r="AC162" s="24">
        <f t="shared" si="163"/>
        <v>1.9322027217634212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-5.6843418860808015E-13</v>
      </c>
      <c r="AJ162" s="14">
        <f>AI162*VLOOKUP('Données projet'!$B$10,Paramètres!$A$1:$I$89,3,0)*VLOOKUP('Données projet'!$B$10,Paramètres!$A$1:$I$89,5,0)</f>
        <v>-2.8080648917239157E-13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476.32595424393645</v>
      </c>
      <c r="AO162" s="62">
        <f t="shared" si="144"/>
        <v>36.065940605453875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-2.2737367544323206E-13</v>
      </c>
      <c r="BE162" s="14">
        <f>BD162*VLOOKUP('Données projet'!$B$11,Paramètres!$A$1:$I$89,3,0)*VLOOKUP('Données projet'!$B$11,Paramètres!$A$1:$I$89,5,0)</f>
        <v>-1.8089849618263545E-13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225.02590532358471</v>
      </c>
      <c r="BJ162" s="62">
        <f t="shared" si="146"/>
        <v>224.00025638752402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0.20285944174474688</v>
      </c>
      <c r="BQ162" s="23">
        <f>EXP(-LN(2)/25)*BQ161+(1-EXP(-LN(2)/25))/(LN(2)/25)*Calculateur!BL162*Calculateur!BN162*VLOOKUP('Données projet'!$B$11,Paramètres!$A$1:$I$89,3,0)*0.475*44/12</f>
        <v>0.25445825822836438</v>
      </c>
      <c r="BR162" s="23">
        <f>EXP(-LN(2)/2)*BR161+(1-EXP(-LN(2)/2))/(LN(2)/2)*BL162*BO162*VLOOKUP('Données projet'!$B$11,Paramètres!$A$1:$I$89,3,0)*0.475*44/12</f>
        <v>5.9140296246921007E-19</v>
      </c>
      <c r="BS162" s="24">
        <f t="shared" si="169"/>
        <v>0.45731769997311122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projet'!$B$9,Paramètres!$A$1:$I$89,3,0)*VLOOKUP('Données projet'!$B$9,Paramètres!$A$1:$I$89,5,0)</f>
        <v>-1.2710188457276673E-13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395.89088353191511</v>
      </c>
      <c r="T163" s="62">
        <f t="shared" si="142"/>
        <v>322.63468857063492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1.5394699848144244</v>
      </c>
      <c r="AA163" s="23">
        <f>EXP(-LN(2)/25)*AA162+(1-EXP(-LN(2)/25))/(LN(2)/25)*Calculateur!V163*Calculateur!X163*VLOOKUP('Données projet'!$B$9,Paramètres!$A$1:$I$89,3,0)*0.475*44/12</f>
        <v>0.35204356775775458</v>
      </c>
      <c r="AB163" s="23">
        <f>EXP(-LN(2)/2)*AB162+(1-EXP(-LN(2)/2))/(LN(2)/2)*V163*Y163*VLOOKUP('Données projet'!$B$9,Paramètres!$A$1:$I$89,3,0)*0.475*44/12</f>
        <v>9.1283250613065199E-20</v>
      </c>
      <c r="AC163" s="24">
        <f t="shared" si="163"/>
        <v>1.8915135525721789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-5.6843418860808015E-13</v>
      </c>
      <c r="AJ163" s="14">
        <f>AI163*VLOOKUP('Données projet'!$B$10,Paramètres!$A$1:$I$89,3,0)*VLOOKUP('Données projet'!$B$10,Paramètres!$A$1:$I$89,5,0)</f>
        <v>-2.8080648917239157E-13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476.32595424393645</v>
      </c>
      <c r="AO163" s="62">
        <f t="shared" si="144"/>
        <v>36.065940605453875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-2.2737367544323206E-13</v>
      </c>
      <c r="BE163" s="14">
        <f>BD163*VLOOKUP('Données projet'!$B$11,Paramètres!$A$1:$I$89,3,0)*VLOOKUP('Données projet'!$B$11,Paramètres!$A$1:$I$89,5,0)</f>
        <v>-1.8089849618263545E-13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225.02590532358471</v>
      </c>
      <c r="BJ163" s="62">
        <f t="shared" si="146"/>
        <v>224.00025638752402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0.19888149182417433</v>
      </c>
      <c r="BQ163" s="23">
        <f>EXP(-LN(2)/25)*BQ162+(1-EXP(-LN(2)/25))/(LN(2)/25)*Calculateur!BL163*Calculateur!BN163*VLOOKUP('Données projet'!$B$11,Paramètres!$A$1:$I$89,3,0)*0.475*44/12</f>
        <v>0.24750008377573152</v>
      </c>
      <c r="BR163" s="23">
        <f>EXP(-LN(2)/2)*BR162+(1-EXP(-LN(2)/2))/(LN(2)/2)*BL163*BO163*VLOOKUP('Données projet'!$B$11,Paramètres!$A$1:$I$89,3,0)*0.475*44/12</f>
        <v>4.1818504517579171E-19</v>
      </c>
      <c r="BS163" s="24">
        <f t="shared" si="169"/>
        <v>0.44638157559990588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projet'!$B$9,Paramètres!$A$1:$I$89,3,0)*VLOOKUP('Données projet'!$B$9,Paramètres!$A$1:$I$89,5,0)</f>
        <v>-1.2710188457276673E-13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395.89088353191511</v>
      </c>
      <c r="T164" s="62">
        <f t="shared" si="142"/>
        <v>322.63468857063492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1.5092819173961873</v>
      </c>
      <c r="AA164" s="23">
        <f>EXP(-LN(2)/25)*AA163+(1-EXP(-LN(2)/25))/(LN(2)/25)*Calculateur!V164*Calculateur!X164*VLOOKUP('Données projet'!$B$9,Paramètres!$A$1:$I$89,3,0)*0.475*44/12</f>
        <v>0.34241691788425216</v>
      </c>
      <c r="AB164" s="23">
        <f>EXP(-LN(2)/2)*AB163+(1-EXP(-LN(2)/2))/(LN(2)/2)*V164*Y164*VLOOKUP('Données projet'!$B$9,Paramètres!$A$1:$I$89,3,0)*0.475*44/12</f>
        <v>6.4547005517249473E-20</v>
      </c>
      <c r="AC164" s="24">
        <f t="shared" si="163"/>
        <v>1.8516988352804395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-5.6843418860808015E-13</v>
      </c>
      <c r="AJ164" s="14">
        <f>AI164*VLOOKUP('Données projet'!$B$10,Paramètres!$A$1:$I$89,3,0)*VLOOKUP('Données projet'!$B$10,Paramètres!$A$1:$I$89,5,0)</f>
        <v>-2.8080648917239157E-13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476.32595424393645</v>
      </c>
      <c r="AO164" s="62">
        <f t="shared" si="144"/>
        <v>36.065940605453875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-2.2737367544323206E-13</v>
      </c>
      <c r="BE164" s="14">
        <f>BD164*VLOOKUP('Données projet'!$B$11,Paramètres!$A$1:$I$89,3,0)*VLOOKUP('Données projet'!$B$11,Paramètres!$A$1:$I$89,5,0)</f>
        <v>-1.8089849618263545E-13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225.02590532358471</v>
      </c>
      <c r="BJ164" s="62">
        <f t="shared" si="146"/>
        <v>224.00025638752402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0.19498154707523435</v>
      </c>
      <c r="BQ164" s="23">
        <f>EXP(-LN(2)/25)*BQ163+(1-EXP(-LN(2)/25))/(LN(2)/25)*Calculateur!BL164*Calculateur!BN164*VLOOKUP('Données projet'!$B$11,Paramètres!$A$1:$I$89,3,0)*0.475*44/12</f>
        <v>0.2407321809694204</v>
      </c>
      <c r="BR164" s="23">
        <f>EXP(-LN(2)/2)*BR163+(1-EXP(-LN(2)/2))/(LN(2)/2)*BL164*BO164*VLOOKUP('Données projet'!$B$11,Paramètres!$A$1:$I$89,3,0)*0.475*44/12</f>
        <v>2.9570148123460503E-19</v>
      </c>
      <c r="BS164" s="24">
        <f t="shared" si="169"/>
        <v>0.43571372804465475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projet'!$B$9,Paramètres!$A$1:$I$89,3,0)*VLOOKUP('Données projet'!$B$9,Paramètres!$A$1:$I$89,5,0)</f>
        <v>-1.2710188457276673E-13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395.89088353191511</v>
      </c>
      <c r="T165" s="62">
        <f t="shared" si="142"/>
        <v>322.63468857063492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1.479685819567119</v>
      </c>
      <c r="AA165" s="23">
        <f>EXP(-LN(2)/25)*AA164+(1-EXP(-LN(2)/25))/(LN(2)/25)*Calculateur!V165*Calculateur!X165*VLOOKUP('Données projet'!$B$9,Paramètres!$A$1:$I$89,3,0)*0.475*44/12</f>
        <v>0.33305350925778415</v>
      </c>
      <c r="AB165" s="23">
        <f>EXP(-LN(2)/2)*AB164+(1-EXP(-LN(2)/2))/(LN(2)/2)*V165*Y165*VLOOKUP('Données projet'!$B$9,Paramètres!$A$1:$I$89,3,0)*0.475*44/12</f>
        <v>4.56416253065326E-20</v>
      </c>
      <c r="AC165" s="24">
        <f t="shared" si="163"/>
        <v>1.8127393288249032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-5.6843418860808015E-13</v>
      </c>
      <c r="AJ165" s="14">
        <f>AI165*VLOOKUP('Données projet'!$B$10,Paramètres!$A$1:$I$89,3,0)*VLOOKUP('Données projet'!$B$10,Paramètres!$A$1:$I$89,5,0)</f>
        <v>-2.8080648917239157E-13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476.32595424393645</v>
      </c>
      <c r="AO165" s="62">
        <f t="shared" si="144"/>
        <v>36.065940605453875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-2.2737367544323206E-13</v>
      </c>
      <c r="BE165" s="14">
        <f>BD165*VLOOKUP('Données projet'!$B$11,Paramètres!$A$1:$I$89,3,0)*VLOOKUP('Données projet'!$B$11,Paramètres!$A$1:$I$89,5,0)</f>
        <v>-1.8089849618263545E-13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225.02590532358471</v>
      </c>
      <c r="BJ165" s="62">
        <f t="shared" si="146"/>
        <v>224.00025638752402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0.19115807786408964</v>
      </c>
      <c r="BQ165" s="23">
        <f>EXP(-LN(2)/25)*BQ164+(1-EXP(-LN(2)/25))/(LN(2)/25)*Calculateur!BL165*Calculateur!BN165*VLOOKUP('Données projet'!$B$11,Paramètres!$A$1:$I$89,3,0)*0.475*44/12</f>
        <v>0.2341493468212564</v>
      </c>
      <c r="BR165" s="23">
        <f>EXP(-LN(2)/2)*BR164+(1-EXP(-LN(2)/2))/(LN(2)/2)*BL165*BO165*VLOOKUP('Données projet'!$B$11,Paramètres!$A$1:$I$89,3,0)*0.475*44/12</f>
        <v>2.0909252258789585E-19</v>
      </c>
      <c r="BS165" s="24">
        <f t="shared" si="169"/>
        <v>0.42530742468534605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projet'!$B$9,Paramètres!$A$1:$I$89,3,0)*VLOOKUP('Données projet'!$B$9,Paramètres!$A$1:$I$89,5,0)</f>
        <v>-1.2710188457276673E-13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395.89088353191511</v>
      </c>
      <c r="T166" s="62">
        <f t="shared" si="142"/>
        <v>322.63468857063492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1.4506700831646413</v>
      </c>
      <c r="AA166" s="23">
        <f>EXP(-LN(2)/25)*AA165+(1-EXP(-LN(2)/25))/(LN(2)/25)*Calculateur!V166*Calculateur!X166*VLOOKUP('Données projet'!$B$9,Paramètres!$A$1:$I$89,3,0)*0.475*44/12</f>
        <v>0.3239461435326072</v>
      </c>
      <c r="AB166" s="23">
        <f>EXP(-LN(2)/2)*AB165+(1-EXP(-LN(2)/2))/(LN(2)/2)*V166*Y166*VLOOKUP('Données projet'!$B$9,Paramètres!$A$1:$I$89,3,0)*0.475*44/12</f>
        <v>3.2273502758624736E-20</v>
      </c>
      <c r="AC166" s="24">
        <f t="shared" si="163"/>
        <v>1.7746162266972485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-5.6843418860808015E-13</v>
      </c>
      <c r="AJ166" s="14">
        <f>AI166*VLOOKUP('Données projet'!$B$10,Paramètres!$A$1:$I$89,3,0)*VLOOKUP('Données projet'!$B$10,Paramètres!$A$1:$I$89,5,0)</f>
        <v>-2.8080648917239157E-13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476.32595424393645</v>
      </c>
      <c r="AO166" s="62">
        <f t="shared" si="144"/>
        <v>36.065940605453875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-2.2737367544323206E-13</v>
      </c>
      <c r="BE166" s="14">
        <f>BD166*VLOOKUP('Données projet'!$B$11,Paramètres!$A$1:$I$89,3,0)*VLOOKUP('Données projet'!$B$11,Paramètres!$A$1:$I$89,5,0)</f>
        <v>-1.8089849618263545E-13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225.02590532358471</v>
      </c>
      <c r="BJ166" s="62">
        <f t="shared" si="146"/>
        <v>224.00025638752402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0.18740958455208956</v>
      </c>
      <c r="BQ166" s="23">
        <f>EXP(-LN(2)/25)*BQ165+(1-EXP(-LN(2)/25))/(LN(2)/25)*Calculateur!BL166*Calculateur!BN166*VLOOKUP('Données projet'!$B$11,Paramètres!$A$1:$I$89,3,0)*0.475*44/12</f>
        <v>0.22774652061905015</v>
      </c>
      <c r="BR166" s="23">
        <f>EXP(-LN(2)/2)*BR165+(1-EXP(-LN(2)/2))/(LN(2)/2)*BL166*BO166*VLOOKUP('Données projet'!$B$11,Paramètres!$A$1:$I$89,3,0)*0.475*44/12</f>
        <v>1.4785074061730252E-19</v>
      </c>
      <c r="BS166" s="24">
        <f t="shared" si="169"/>
        <v>0.41515610517113971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projet'!$B$9,Paramètres!$A$1:$I$89,3,0)*VLOOKUP('Données projet'!$B$9,Paramètres!$A$1:$I$89,5,0)</f>
        <v>-1.2710188457276673E-13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395.89088353191511</v>
      </c>
      <c r="T167" s="62">
        <f t="shared" si="142"/>
        <v>322.63468857063492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1.4222233276551646</v>
      </c>
      <c r="AA167" s="23">
        <f>EXP(-LN(2)/25)*AA166+(1-EXP(-LN(2)/25))/(LN(2)/25)*Calculateur!V167*Calculateur!X167*VLOOKUP('Données projet'!$B$9,Paramètres!$A$1:$I$89,3,0)*0.475*44/12</f>
        <v>0.31508781920212076</v>
      </c>
      <c r="AB167" s="23">
        <f>EXP(-LN(2)/2)*AB166+(1-EXP(-LN(2)/2))/(LN(2)/2)*V167*Y167*VLOOKUP('Données projet'!$B$9,Paramètres!$A$1:$I$89,3,0)*0.475*44/12</f>
        <v>2.28208126532663E-20</v>
      </c>
      <c r="AC167" s="24">
        <f t="shared" si="163"/>
        <v>1.7373111468572853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-5.6843418860808015E-13</v>
      </c>
      <c r="AJ167" s="14">
        <f>AI167*VLOOKUP('Données projet'!$B$10,Paramètres!$A$1:$I$89,3,0)*VLOOKUP('Données projet'!$B$10,Paramètres!$A$1:$I$89,5,0)</f>
        <v>-2.8080648917239157E-13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476.32595424393645</v>
      </c>
      <c r="AO167" s="62">
        <f t="shared" si="144"/>
        <v>36.065940605453875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-2.2737367544323206E-13</v>
      </c>
      <c r="BE167" s="14">
        <f>BD167*VLOOKUP('Données projet'!$B$11,Paramètres!$A$1:$I$89,3,0)*VLOOKUP('Données projet'!$B$11,Paramètres!$A$1:$I$89,5,0)</f>
        <v>-1.8089849618263545E-13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225.02590532358471</v>
      </c>
      <c r="BJ167" s="62">
        <f t="shared" si="146"/>
        <v>224.00025638752402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0.18373459690758262</v>
      </c>
      <c r="BQ167" s="23">
        <f>EXP(-LN(2)/25)*BQ166+(1-EXP(-LN(2)/25))/(LN(2)/25)*Calculateur!BL167*Calculateur!BN167*VLOOKUP('Données projet'!$B$11,Paramètres!$A$1:$I$89,3,0)*0.475*44/12</f>
        <v>0.22151878003605321</v>
      </c>
      <c r="BR167" s="23">
        <f>EXP(-LN(2)/2)*BR166+(1-EXP(-LN(2)/2))/(LN(2)/2)*BL167*BO167*VLOOKUP('Données projet'!$B$11,Paramètres!$A$1:$I$89,3,0)*0.475*44/12</f>
        <v>1.0454626129394793E-19</v>
      </c>
      <c r="BS167" s="24">
        <f t="shared" si="169"/>
        <v>0.40525337694363583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projet'!$B$9,Paramètres!$A$1:$I$89,3,0)*VLOOKUP('Données projet'!$B$9,Paramètres!$A$1:$I$89,5,0)</f>
        <v>-1.2710188457276673E-13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395.89088353191511</v>
      </c>
      <c r="T168" s="62">
        <f t="shared" si="142"/>
        <v>322.63468857063492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1.3943343956704211</v>
      </c>
      <c r="AA168" s="23">
        <f>EXP(-LN(2)/25)*AA167+(1-EXP(-LN(2)/25))/(LN(2)/25)*Calculateur!V168*Calculateur!X168*VLOOKUP('Données projet'!$B$9,Paramètres!$A$1:$I$89,3,0)*0.475*44/12</f>
        <v>0.30647172621629049</v>
      </c>
      <c r="AB168" s="23">
        <f>EXP(-LN(2)/2)*AB167+(1-EXP(-LN(2)/2))/(LN(2)/2)*V168*Y168*VLOOKUP('Données projet'!$B$9,Paramètres!$A$1:$I$89,3,0)*0.475*44/12</f>
        <v>1.6136751379312368E-20</v>
      </c>
      <c r="AC168" s="24">
        <f t="shared" si="163"/>
        <v>1.7008061218867114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-5.6843418860808015E-13</v>
      </c>
      <c r="AJ168" s="14">
        <f>AI168*VLOOKUP('Données projet'!$B$10,Paramètres!$A$1:$I$89,3,0)*VLOOKUP('Données projet'!$B$10,Paramètres!$A$1:$I$89,5,0)</f>
        <v>-2.8080648917239157E-13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476.32595424393645</v>
      </c>
      <c r="AO168" s="62">
        <f t="shared" si="144"/>
        <v>36.065940605453875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-2.2737367544323206E-13</v>
      </c>
      <c r="BE168" s="14">
        <f>BD168*VLOOKUP('Données projet'!$B$11,Paramètres!$A$1:$I$89,3,0)*VLOOKUP('Données projet'!$B$11,Paramètres!$A$1:$I$89,5,0)</f>
        <v>-1.8089849618263545E-13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225.02590532358471</v>
      </c>
      <c r="BJ168" s="62">
        <f t="shared" si="146"/>
        <v>224.00025638752402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0.18013167352926335</v>
      </c>
      <c r="BQ168" s="23">
        <f>EXP(-LN(2)/25)*BQ167+(1-EXP(-LN(2)/25))/(LN(2)/25)*Calculateur!BL168*Calculateur!BN168*VLOOKUP('Données projet'!$B$11,Paramètres!$A$1:$I$89,3,0)*0.475*44/12</f>
        <v>0.21546133734680098</v>
      </c>
      <c r="BR168" s="23">
        <f>EXP(-LN(2)/2)*BR167+(1-EXP(-LN(2)/2))/(LN(2)/2)*BL168*BO168*VLOOKUP('Données projet'!$B$11,Paramètres!$A$1:$I$89,3,0)*0.475*44/12</f>
        <v>7.3925370308651258E-20</v>
      </c>
      <c r="BS168" s="24">
        <f t="shared" si="169"/>
        <v>0.39559301087606435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projet'!$B$9,Paramètres!$A$1:$I$89,3,0)*VLOOKUP('Données projet'!$B$9,Paramètres!$A$1:$I$89,5,0)</f>
        <v>-1.2710188457276673E-13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395.89088353191511</v>
      </c>
      <c r="T169" s="62">
        <f t="shared" si="142"/>
        <v>322.63468857063492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1.3669923486313296</v>
      </c>
      <c r="AA169" s="23">
        <f>EXP(-LN(2)/25)*AA168+(1-EXP(-LN(2)/25))/(LN(2)/25)*Calculateur!V169*Calculateur!X169*VLOOKUP('Données projet'!$B$9,Paramètres!$A$1:$I$89,3,0)*0.475*44/12</f>
        <v>0.29809124074625837</v>
      </c>
      <c r="AB169" s="23">
        <f>EXP(-LN(2)/2)*AB168+(1-EXP(-LN(2)/2))/(LN(2)/2)*V169*Y169*VLOOKUP('Données projet'!$B$9,Paramètres!$A$1:$I$89,3,0)*0.475*44/12</f>
        <v>1.141040632663315E-20</v>
      </c>
      <c r="AC169" s="24">
        <f t="shared" si="163"/>
        <v>1.6650835893775879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-5.6843418860808015E-13</v>
      </c>
      <c r="AJ169" s="14">
        <f>AI169*VLOOKUP('Données projet'!$B$10,Paramètres!$A$1:$I$89,3,0)*VLOOKUP('Données projet'!$B$10,Paramètres!$A$1:$I$89,5,0)</f>
        <v>-2.8080648917239157E-13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476.32595424393645</v>
      </c>
      <c r="AO169" s="62">
        <f t="shared" si="144"/>
        <v>36.065940605453875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-2.2737367544323206E-13</v>
      </c>
      <c r="BE169" s="14">
        <f>BD169*VLOOKUP('Données projet'!$B$11,Paramètres!$A$1:$I$89,3,0)*VLOOKUP('Données projet'!$B$11,Paramètres!$A$1:$I$89,5,0)</f>
        <v>-1.8089849618263545E-13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225.02590532358471</v>
      </c>
      <c r="BJ169" s="62">
        <f t="shared" si="146"/>
        <v>224.00025638752402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0.17659940128082663</v>
      </c>
      <c r="BQ169" s="23">
        <f>EXP(-LN(2)/25)*BQ168+(1-EXP(-LN(2)/25))/(LN(2)/25)*Calculateur!BL169*Calculateur!BN169*VLOOKUP('Données projet'!$B$11,Paramètres!$A$1:$I$89,3,0)*0.475*44/12</f>
        <v>0.20956953574643342</v>
      </c>
      <c r="BR169" s="23">
        <f>EXP(-LN(2)/2)*BR168+(1-EXP(-LN(2)/2))/(LN(2)/2)*BL169*BO169*VLOOKUP('Données projet'!$B$11,Paramètres!$A$1:$I$89,3,0)*0.475*44/12</f>
        <v>5.2273130646973963E-20</v>
      </c>
      <c r="BS169" s="24">
        <f t="shared" si="169"/>
        <v>0.38616893702726007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projet'!$B$9,Paramètres!$A$1:$I$89,3,0)*VLOOKUP('Données projet'!$B$9,Paramètres!$A$1:$I$89,5,0)</f>
        <v>-1.2710188457276673E-13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395.89088353191511</v>
      </c>
      <c r="T170" s="62">
        <f t="shared" si="142"/>
        <v>322.63468857063492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1.3401864624576727</v>
      </c>
      <c r="AA170" s="23">
        <f>EXP(-LN(2)/25)*AA169+(1-EXP(-LN(2)/25))/(LN(2)/25)*Calculateur!V170*Calculateur!X170*VLOOKUP('Données projet'!$B$9,Paramètres!$A$1:$I$89,3,0)*0.475*44/12</f>
        <v>0.28993992009211489</v>
      </c>
      <c r="AB170" s="23">
        <f>EXP(-LN(2)/2)*AB169+(1-EXP(-LN(2)/2))/(LN(2)/2)*V170*Y170*VLOOKUP('Données projet'!$B$9,Paramètres!$A$1:$I$89,3,0)*0.475*44/12</f>
        <v>8.0683756896561841E-21</v>
      </c>
      <c r="AC170" s="24">
        <f t="shared" si="163"/>
        <v>1.6301263825497876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-5.6843418860808015E-13</v>
      </c>
      <c r="AJ170" s="14">
        <f>AI170*VLOOKUP('Données projet'!$B$10,Paramètres!$A$1:$I$89,3,0)*VLOOKUP('Données projet'!$B$10,Paramètres!$A$1:$I$89,5,0)</f>
        <v>-2.8080648917239157E-13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476.32595424393645</v>
      </c>
      <c r="AO170" s="62">
        <f t="shared" si="144"/>
        <v>36.065940605453875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-2.2737367544323206E-13</v>
      </c>
      <c r="BE170" s="14">
        <f>BD170*VLOOKUP('Données projet'!$B$11,Paramètres!$A$1:$I$89,3,0)*VLOOKUP('Données projet'!$B$11,Paramètres!$A$1:$I$89,5,0)</f>
        <v>-1.8089849618263545E-13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225.02590532358471</v>
      </c>
      <c r="BJ170" s="62">
        <f t="shared" si="146"/>
        <v>224.00025638752402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0.17313639473670842</v>
      </c>
      <c r="BQ170" s="23">
        <f>EXP(-LN(2)/25)*BQ169+(1-EXP(-LN(2)/25))/(LN(2)/25)*Calculateur!BL170*Calculateur!BN170*VLOOKUP('Données projet'!$B$11,Paramètres!$A$1:$I$89,3,0)*0.475*44/12</f>
        <v>0.2038388457706643</v>
      </c>
      <c r="BR170" s="23">
        <f>EXP(-LN(2)/2)*BR169+(1-EXP(-LN(2)/2))/(LN(2)/2)*BL170*BO170*VLOOKUP('Données projet'!$B$11,Paramètres!$A$1:$I$89,3,0)*0.475*44/12</f>
        <v>3.6962685154325629E-20</v>
      </c>
      <c r="BS170" s="24">
        <f t="shared" si="169"/>
        <v>0.37697524050737274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projet'!$B$9,Paramètres!$A$1:$I$89,3,0)*VLOOKUP('Données projet'!$B$9,Paramètres!$A$1:$I$89,5,0)</f>
        <v>-1.2710188457276673E-13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395.89088353191511</v>
      </c>
      <c r="T171" s="62">
        <f t="shared" si="142"/>
        <v>322.63468857063492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1.313906223361905</v>
      </c>
      <c r="AA171" s="23">
        <f>EXP(-LN(2)/25)*AA170+(1-EXP(-LN(2)/25))/(LN(2)/25)*Calculateur!V171*Calculateur!X171*VLOOKUP('Données projet'!$B$9,Paramètres!$A$1:$I$89,3,0)*0.475*44/12</f>
        <v>0.28201149772991829</v>
      </c>
      <c r="AB171" s="23">
        <f>EXP(-LN(2)/2)*AB170+(1-EXP(-LN(2)/2))/(LN(2)/2)*V171*Y171*VLOOKUP('Données projet'!$B$9,Paramètres!$A$1:$I$89,3,0)*0.475*44/12</f>
        <v>5.705203163316575E-21</v>
      </c>
      <c r="AC171" s="24">
        <f t="shared" si="163"/>
        <v>1.5959177210918232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-5.6843418860808015E-13</v>
      </c>
      <c r="AJ171" s="14">
        <f>AI171*VLOOKUP('Données projet'!$B$10,Paramètres!$A$1:$I$89,3,0)*VLOOKUP('Données projet'!$B$10,Paramètres!$A$1:$I$89,5,0)</f>
        <v>-2.8080648917239157E-13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476.32595424393645</v>
      </c>
      <c r="AO171" s="62">
        <f t="shared" si="144"/>
        <v>36.065940605453875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-2.2737367544323206E-13</v>
      </c>
      <c r="BE171" s="14">
        <f>BD171*VLOOKUP('Données projet'!$B$11,Paramètres!$A$1:$I$89,3,0)*VLOOKUP('Données projet'!$B$11,Paramètres!$A$1:$I$89,5,0)</f>
        <v>-1.8089849618263545E-13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225.02590532358471</v>
      </c>
      <c r="BJ171" s="62">
        <f t="shared" si="146"/>
        <v>224.00025638752402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0.16974129563869494</v>
      </c>
      <c r="BQ171" s="23">
        <f>EXP(-LN(2)/25)*BQ170+(1-EXP(-LN(2)/25))/(LN(2)/25)*Calculateur!BL171*Calculateur!BN171*VLOOKUP('Données projet'!$B$11,Paramètres!$A$1:$I$89,3,0)*0.475*44/12</f>
        <v>0.19826486181364647</v>
      </c>
      <c r="BR171" s="23">
        <f>EXP(-LN(2)/2)*BR170+(1-EXP(-LN(2)/2))/(LN(2)/2)*BL171*BO171*VLOOKUP('Données projet'!$B$11,Paramètres!$A$1:$I$89,3,0)*0.475*44/12</f>
        <v>2.6136565323486982E-20</v>
      </c>
      <c r="BS171" s="24">
        <f t="shared" si="169"/>
        <v>0.36800615745234144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projet'!$B$9,Paramètres!$A$1:$I$89,3,0)*VLOOKUP('Données projet'!$B$9,Paramètres!$A$1:$I$89,5,0)</f>
        <v>-1.2710188457276673E-13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395.89088353191511</v>
      </c>
      <c r="T172" s="62">
        <f t="shared" si="142"/>
        <v>322.63468857063492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1.2881413237254422</v>
      </c>
      <c r="AA172" s="23">
        <f>EXP(-LN(2)/25)*AA171+(1-EXP(-LN(2)/25))/(LN(2)/25)*Calculateur!V172*Calculateur!X172*VLOOKUP('Données projet'!$B$9,Paramètres!$A$1:$I$89,3,0)*0.475*44/12</f>
        <v>0.27429987849415355</v>
      </c>
      <c r="AB172" s="23">
        <f>EXP(-LN(2)/2)*AB171+(1-EXP(-LN(2)/2))/(LN(2)/2)*V172*Y172*VLOOKUP('Données projet'!$B$9,Paramètres!$A$1:$I$89,3,0)*0.475*44/12</f>
        <v>4.0341878448280921E-21</v>
      </c>
      <c r="AC172" s="24">
        <f t="shared" si="163"/>
        <v>1.5624412022195957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-5.6843418860808015E-13</v>
      </c>
      <c r="AJ172" s="14">
        <f>AI172*VLOOKUP('Données projet'!$B$10,Paramètres!$A$1:$I$89,3,0)*VLOOKUP('Données projet'!$B$10,Paramètres!$A$1:$I$89,5,0)</f>
        <v>-2.8080648917239157E-13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476.32595424393645</v>
      </c>
      <c r="AO172" s="62">
        <f t="shared" si="144"/>
        <v>36.065940605453875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-2.2737367544323206E-13</v>
      </c>
      <c r="BE172" s="14">
        <f>BD172*VLOOKUP('Données projet'!$B$11,Paramètres!$A$1:$I$89,3,0)*VLOOKUP('Données projet'!$B$11,Paramètres!$A$1:$I$89,5,0)</f>
        <v>-1.8089849618263545E-13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225.02590532358471</v>
      </c>
      <c r="BJ172" s="62">
        <f t="shared" si="146"/>
        <v>224.00025638752402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0.16641277236318755</v>
      </c>
      <c r="BQ172" s="23">
        <f>EXP(-LN(2)/25)*BQ171+(1-EXP(-LN(2)/25))/(LN(2)/25)*Calculateur!BL172*Calculateur!BN172*VLOOKUP('Données projet'!$B$11,Paramètres!$A$1:$I$89,3,0)*0.475*44/12</f>
        <v>0.19284329874105635</v>
      </c>
      <c r="BR172" s="23">
        <f>EXP(-LN(2)/2)*BR171+(1-EXP(-LN(2)/2))/(LN(2)/2)*BL172*BO172*VLOOKUP('Données projet'!$B$11,Paramètres!$A$1:$I$89,3,0)*0.475*44/12</f>
        <v>1.8481342577162815E-20</v>
      </c>
      <c r="BS172" s="24">
        <f t="shared" si="169"/>
        <v>0.3592560711042439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projet'!$B$9,Paramètres!$A$1:$I$89,3,0)*VLOOKUP('Données projet'!$B$9,Paramètres!$A$1:$I$89,5,0)</f>
        <v>-1.2710188457276673E-13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395.89088353191511</v>
      </c>
      <c r="T173" s="62">
        <f t="shared" si="142"/>
        <v>322.63468857063492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1.2628816580558135</v>
      </c>
      <c r="AA173" s="23">
        <f>EXP(-LN(2)/25)*AA172+(1-EXP(-LN(2)/25))/(LN(2)/25)*Calculateur!V173*Calculateur!X173*VLOOKUP('Données projet'!$B$9,Paramètres!$A$1:$I$89,3,0)*0.475*44/12</f>
        <v>0.26679913389192722</v>
      </c>
      <c r="AB173" s="23">
        <f>EXP(-LN(2)/2)*AB172+(1-EXP(-LN(2)/2))/(LN(2)/2)*V173*Y173*VLOOKUP('Données projet'!$B$9,Paramètres!$A$1:$I$89,3,0)*0.475*44/12</f>
        <v>2.8526015816582875E-21</v>
      </c>
      <c r="AC173" s="24">
        <f t="shared" si="163"/>
        <v>1.5296807919477406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-5.6843418860808015E-13</v>
      </c>
      <c r="AJ173" s="14">
        <f>AI173*VLOOKUP('Données projet'!$B$10,Paramètres!$A$1:$I$89,3,0)*VLOOKUP('Données projet'!$B$10,Paramètres!$A$1:$I$89,5,0)</f>
        <v>-2.8080648917239157E-13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476.32595424393645</v>
      </c>
      <c r="AO173" s="62">
        <f t="shared" si="144"/>
        <v>36.065940605453875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-2.2737367544323206E-13</v>
      </c>
      <c r="BE173" s="14">
        <f>BD173*VLOOKUP('Données projet'!$B$11,Paramètres!$A$1:$I$89,3,0)*VLOOKUP('Données projet'!$B$11,Paramètres!$A$1:$I$89,5,0)</f>
        <v>-1.8089849618263545E-13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225.02590532358471</v>
      </c>
      <c r="BJ173" s="62">
        <f t="shared" si="146"/>
        <v>224.00025638752402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0.16314951939891412</v>
      </c>
      <c r="BQ173" s="23">
        <f>EXP(-LN(2)/25)*BQ172+(1-EXP(-LN(2)/25))/(LN(2)/25)*Calculateur!BL173*Calculateur!BN173*VLOOKUP('Données projet'!$B$11,Paramètres!$A$1:$I$89,3,0)*0.475*44/12</f>
        <v>0.18756998859579382</v>
      </c>
      <c r="BR173" s="23">
        <f>EXP(-LN(2)/2)*BR172+(1-EXP(-LN(2)/2))/(LN(2)/2)*BL173*BO173*VLOOKUP('Données projet'!$B$11,Paramètres!$A$1:$I$89,3,0)*0.475*44/12</f>
        <v>1.3068282661743491E-20</v>
      </c>
      <c r="BS173" s="24">
        <f t="shared" si="169"/>
        <v>0.35071950799470797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projet'!$B$9,Paramètres!$A$1:$I$89,3,0)*VLOOKUP('Données projet'!$B$9,Paramètres!$A$1:$I$89,5,0)</f>
        <v>-1.2710188457276673E-13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395.89088353191511</v>
      </c>
      <c r="T174" s="62">
        <f t="shared" si="142"/>
        <v>322.63468857063492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1.2381173190230914</v>
      </c>
      <c r="AA174" s="23">
        <f>EXP(-LN(2)/25)*AA173+(1-EXP(-LN(2)/25))/(LN(2)/25)*Calculateur!V174*Calculateur!X174*VLOOKUP('Données projet'!$B$9,Paramètres!$A$1:$I$89,3,0)*0.475*44/12</f>
        <v>0.25950349754529578</v>
      </c>
      <c r="AB174" s="23">
        <f>EXP(-LN(2)/2)*AB173+(1-EXP(-LN(2)/2))/(LN(2)/2)*V174*Y174*VLOOKUP('Données projet'!$B$9,Paramètres!$A$1:$I$89,3,0)*0.475*44/12</f>
        <v>2.017093922414046E-21</v>
      </c>
      <c r="AC174" s="24">
        <f t="shared" si="163"/>
        <v>1.4976208165683871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-5.6843418860808015E-13</v>
      </c>
      <c r="AJ174" s="14">
        <f>AI174*VLOOKUP('Données projet'!$B$10,Paramètres!$A$1:$I$89,3,0)*VLOOKUP('Données projet'!$B$10,Paramètres!$A$1:$I$89,5,0)</f>
        <v>-2.8080648917239157E-13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476.32595424393645</v>
      </c>
      <c r="AO174" s="62">
        <f t="shared" si="144"/>
        <v>36.065940605453875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-2.2737367544323206E-13</v>
      </c>
      <c r="BE174" s="14">
        <f>BD174*VLOOKUP('Données projet'!$B$11,Paramètres!$A$1:$I$89,3,0)*VLOOKUP('Données projet'!$B$11,Paramètres!$A$1:$I$89,5,0)</f>
        <v>-1.8089849618263545E-13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225.02590532358471</v>
      </c>
      <c r="BJ174" s="62">
        <f t="shared" si="146"/>
        <v>224.00025638752402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0.15995025683488232</v>
      </c>
      <c r="BQ174" s="23">
        <f>EXP(-LN(2)/25)*BQ173+(1-EXP(-LN(2)/25))/(LN(2)/25)*Calculateur!BL174*Calculateur!BN174*VLOOKUP('Données projet'!$B$11,Paramètres!$A$1:$I$89,3,0)*0.475*44/12</f>
        <v>0.18244087739376483</v>
      </c>
      <c r="BR174" s="23">
        <f>EXP(-LN(2)/2)*BR173+(1-EXP(-LN(2)/2))/(LN(2)/2)*BL174*BO174*VLOOKUP('Données projet'!$B$11,Paramètres!$A$1:$I$89,3,0)*0.475*44/12</f>
        <v>9.2406712885814073E-21</v>
      </c>
      <c r="BS174" s="24">
        <f t="shared" si="169"/>
        <v>0.34239113422864714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projet'!$B$9,Paramètres!$A$1:$I$89,3,0)*VLOOKUP('Données projet'!$B$9,Paramètres!$A$1:$I$89,5,0)</f>
        <v>-1.2710188457276673E-13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395.89088353191511</v>
      </c>
      <c r="T175" s="62">
        <f t="shared" si="142"/>
        <v>322.63468857063492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1.2138385935740457</v>
      </c>
      <c r="AA175" s="23">
        <f>EXP(-LN(2)/25)*AA174+(1-EXP(-LN(2)/25))/(LN(2)/25)*Calculateur!V175*Calculateur!X175*VLOOKUP('Données projet'!$B$9,Paramètres!$A$1:$I$89,3,0)*0.475*44/12</f>
        <v>0.25240736075822384</v>
      </c>
      <c r="AB175" s="23">
        <f>EXP(-LN(2)/2)*AB174+(1-EXP(-LN(2)/2))/(LN(2)/2)*V175*Y175*VLOOKUP('Données projet'!$B$9,Paramètres!$A$1:$I$89,3,0)*0.475*44/12</f>
        <v>1.4263007908291437E-21</v>
      </c>
      <c r="AC175" s="24">
        <f t="shared" si="163"/>
        <v>1.4662459543322695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-5.6843418860808015E-13</v>
      </c>
      <c r="AJ175" s="14">
        <f>AI175*VLOOKUP('Données projet'!$B$10,Paramètres!$A$1:$I$89,3,0)*VLOOKUP('Données projet'!$B$10,Paramètres!$A$1:$I$89,5,0)</f>
        <v>-2.8080648917239157E-13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476.32595424393645</v>
      </c>
      <c r="AO175" s="62">
        <f t="shared" si="144"/>
        <v>36.065940605453875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-2.2737367544323206E-13</v>
      </c>
      <c r="BE175" s="14">
        <f>BD175*VLOOKUP('Données projet'!$B$11,Paramètres!$A$1:$I$89,3,0)*VLOOKUP('Données projet'!$B$11,Paramètres!$A$1:$I$89,5,0)</f>
        <v>-1.8089849618263545E-13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225.02590532358471</v>
      </c>
      <c r="BJ175" s="62">
        <f t="shared" si="146"/>
        <v>224.00025638752402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0.15681372985837369</v>
      </c>
      <c r="BQ175" s="23">
        <f>EXP(-LN(2)/25)*BQ174+(1-EXP(-LN(2)/25))/(LN(2)/25)*Calculateur!BL175*Calculateur!BN175*VLOOKUP('Données projet'!$B$11,Paramètres!$A$1:$I$89,3,0)*0.475*44/12</f>
        <v>0.17745202200728355</v>
      </c>
      <c r="BR175" s="23">
        <f>EXP(-LN(2)/2)*BR174+(1-EXP(-LN(2)/2))/(LN(2)/2)*BL175*BO175*VLOOKUP('Données projet'!$B$11,Paramètres!$A$1:$I$89,3,0)*0.475*44/12</f>
        <v>6.5341413308717454E-21</v>
      </c>
      <c r="BS175" s="24">
        <f t="shared" si="169"/>
        <v>0.33426575186565721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projet'!$B$9,Paramètres!$A$1:$I$89,3,0)*VLOOKUP('Données projet'!$B$9,Paramètres!$A$1:$I$89,5,0)</f>
        <v>-1.2710188457276673E-13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395.89088353191511</v>
      </c>
      <c r="T176" s="62">
        <f t="shared" si="142"/>
        <v>322.63468857063492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1.1900359591224954</v>
      </c>
      <c r="AA176" s="23">
        <f>EXP(-LN(2)/25)*AA175+(1-EXP(-LN(2)/25))/(LN(2)/25)*Calculateur!V176*Calculateur!X176*VLOOKUP('Données projet'!$B$9,Paramètres!$A$1:$I$89,3,0)*0.475*44/12</f>
        <v>0.24550526820476398</v>
      </c>
      <c r="AB176" s="23">
        <f>EXP(-LN(2)/2)*AB175+(1-EXP(-LN(2)/2))/(LN(2)/2)*V176*Y176*VLOOKUP('Données projet'!$B$9,Paramètres!$A$1:$I$89,3,0)*0.475*44/12</f>
        <v>1.008546961207023E-21</v>
      </c>
      <c r="AC176" s="24">
        <f t="shared" si="163"/>
        <v>1.4355412273272594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-5.6843418860808015E-13</v>
      </c>
      <c r="AJ176" s="14">
        <f>AI176*VLOOKUP('Données projet'!$B$10,Paramètres!$A$1:$I$89,3,0)*VLOOKUP('Données projet'!$B$10,Paramètres!$A$1:$I$89,5,0)</f>
        <v>-2.8080648917239157E-13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476.32595424393645</v>
      </c>
      <c r="AO176" s="62">
        <f t="shared" si="144"/>
        <v>36.065940605453875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-2.2737367544323206E-13</v>
      </c>
      <c r="BE176" s="14">
        <f>BD176*VLOOKUP('Données projet'!$B$11,Paramètres!$A$1:$I$89,3,0)*VLOOKUP('Données projet'!$B$11,Paramètres!$A$1:$I$89,5,0)</f>
        <v>-1.8089849618263545E-13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225.02590532358471</v>
      </c>
      <c r="BJ176" s="62">
        <f t="shared" si="146"/>
        <v>224.00025638752402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0.15373870826278185</v>
      </c>
      <c r="BQ176" s="23">
        <f>EXP(-LN(2)/25)*BQ175+(1-EXP(-LN(2)/25))/(LN(2)/25)*Calculateur!BL176*Calculateur!BN176*VLOOKUP('Données projet'!$B$11,Paramètres!$A$1:$I$89,3,0)*0.475*44/12</f>
        <v>0.17259958713369811</v>
      </c>
      <c r="BR176" s="23">
        <f>EXP(-LN(2)/2)*BR175+(1-EXP(-LN(2)/2))/(LN(2)/2)*BL176*BO176*VLOOKUP('Données projet'!$B$11,Paramètres!$A$1:$I$89,3,0)*0.475*44/12</f>
        <v>4.6203356442907037E-21</v>
      </c>
      <c r="BS176" s="24">
        <f t="shared" si="169"/>
        <v>0.32633829539647996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projet'!$B$9,Paramètres!$A$1:$I$89,3,0)*VLOOKUP('Données projet'!$B$9,Paramètres!$A$1:$I$89,5,0)</f>
        <v>-1.2710188457276673E-13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395.89088353191511</v>
      </c>
      <c r="T177" s="62">
        <f t="shared" si="142"/>
        <v>322.63468857063492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1.1667000798143665</v>
      </c>
      <c r="AA177" s="23">
        <f>EXP(-LN(2)/25)*AA176+(1-EXP(-LN(2)/25))/(LN(2)/25)*Calculateur!V177*Calculateur!X177*VLOOKUP('Données projet'!$B$9,Paramètres!$A$1:$I$89,3,0)*0.475*44/12</f>
        <v>0.23879191373514377</v>
      </c>
      <c r="AB177" s="23">
        <f>EXP(-LN(2)/2)*AB176+(1-EXP(-LN(2)/2))/(LN(2)/2)*V177*Y177*VLOOKUP('Données projet'!$B$9,Paramètres!$A$1:$I$89,3,0)*0.475*44/12</f>
        <v>7.1315039541457187E-22</v>
      </c>
      <c r="AC177" s="24">
        <f t="shared" si="163"/>
        <v>1.4054919935495103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-5.6843418860808015E-13</v>
      </c>
      <c r="AJ177" s="14">
        <f>AI177*VLOOKUP('Données projet'!$B$10,Paramètres!$A$1:$I$89,3,0)*VLOOKUP('Données projet'!$B$10,Paramètres!$A$1:$I$89,5,0)</f>
        <v>-2.8080648917239157E-13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476.32595424393645</v>
      </c>
      <c r="AO177" s="62">
        <f t="shared" si="144"/>
        <v>36.065940605453875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-2.2737367544323206E-13</v>
      </c>
      <c r="BE177" s="14">
        <f>BD177*VLOOKUP('Données projet'!$B$11,Paramètres!$A$1:$I$89,3,0)*VLOOKUP('Données projet'!$B$11,Paramètres!$A$1:$I$89,5,0)</f>
        <v>-1.8089849618263545E-13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225.02590532358471</v>
      </c>
      <c r="BJ177" s="62">
        <f t="shared" si="146"/>
        <v>224.00025638752402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0.15072398596510159</v>
      </c>
      <c r="BQ177" s="23">
        <f>EXP(-LN(2)/25)*BQ176+(1-EXP(-LN(2)/25))/(LN(2)/25)*Calculateur!BL177*Calculateur!BN177*VLOOKUP('Données projet'!$B$11,Paramètres!$A$1:$I$89,3,0)*0.475*44/12</f>
        <v>0.16787984234690934</v>
      </c>
      <c r="BR177" s="23">
        <f>EXP(-LN(2)/2)*BR176+(1-EXP(-LN(2)/2))/(LN(2)/2)*BL177*BO177*VLOOKUP('Données projet'!$B$11,Paramètres!$A$1:$I$89,3,0)*0.475*44/12</f>
        <v>3.2670706654358727E-21</v>
      </c>
      <c r="BS177" s="24">
        <f t="shared" si="169"/>
        <v>0.31860382831201095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projet'!$B$9,Paramètres!$A$1:$I$89,3,0)*VLOOKUP('Données projet'!$B$9,Paramètres!$A$1:$I$89,5,0)</f>
        <v>-1.2710188457276673E-13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395.89088353191511</v>
      </c>
      <c r="T178" s="62">
        <f t="shared" si="142"/>
        <v>322.63468857063492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1.1438218028659892</v>
      </c>
      <c r="AA178" s="23">
        <f>EXP(-LN(2)/25)*AA177+(1-EXP(-LN(2)/25))/(LN(2)/25)*Calculateur!V178*Calculateur!X178*VLOOKUP('Données projet'!$B$9,Paramètres!$A$1:$I$89,3,0)*0.475*44/12</f>
        <v>0.23226213629653528</v>
      </c>
      <c r="AB178" s="23">
        <f>EXP(-LN(2)/2)*AB177+(1-EXP(-LN(2)/2))/(LN(2)/2)*V178*Y178*VLOOKUP('Données projet'!$B$9,Paramètres!$A$1:$I$89,3,0)*0.475*44/12</f>
        <v>5.0427348060351151E-22</v>
      </c>
      <c r="AC178" s="24">
        <f t="shared" si="163"/>
        <v>1.3760839391625246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-5.6843418860808015E-13</v>
      </c>
      <c r="AJ178" s="14">
        <f>AI178*VLOOKUP('Données projet'!$B$10,Paramètres!$A$1:$I$89,3,0)*VLOOKUP('Données projet'!$B$10,Paramètres!$A$1:$I$89,5,0)</f>
        <v>-2.8080648917239157E-13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476.32595424393645</v>
      </c>
      <c r="AO178" s="62">
        <f t="shared" si="144"/>
        <v>36.065940605453875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-2.2737367544323206E-13</v>
      </c>
      <c r="BE178" s="14">
        <f>BD178*VLOOKUP('Données projet'!$B$11,Paramètres!$A$1:$I$89,3,0)*VLOOKUP('Données projet'!$B$11,Paramètres!$A$1:$I$89,5,0)</f>
        <v>-1.8089849618263545E-13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225.02590532358471</v>
      </c>
      <c r="BJ178" s="62">
        <f t="shared" si="146"/>
        <v>224.00025638752402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0.1477683805328798</v>
      </c>
      <c r="BQ178" s="23">
        <f>EXP(-LN(2)/25)*BQ177+(1-EXP(-LN(2)/25))/(LN(2)/25)*Calculateur!BL178*Calculateur!BN178*VLOOKUP('Données projet'!$B$11,Paramètres!$A$1:$I$89,3,0)*0.475*44/12</f>
        <v>0.1632891592295159</v>
      </c>
      <c r="BR178" s="23">
        <f>EXP(-LN(2)/2)*BR177+(1-EXP(-LN(2)/2))/(LN(2)/2)*BL178*BO178*VLOOKUP('Données projet'!$B$11,Paramètres!$A$1:$I$89,3,0)*0.475*44/12</f>
        <v>2.3101678221453518E-21</v>
      </c>
      <c r="BS178" s="24">
        <f t="shared" si="169"/>
        <v>0.3110575397623957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projet'!$B$9,Paramètres!$A$1:$I$89,3,0)*VLOOKUP('Données projet'!$B$9,Paramètres!$A$1:$I$89,5,0)</f>
        <v>-1.2710188457276673E-13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395.89088353191511</v>
      </c>
      <c r="T179" s="62">
        <f t="shared" si="142"/>
        <v>322.63468857063492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1.1213921549741985</v>
      </c>
      <c r="AA179" s="23">
        <f>EXP(-LN(2)/25)*AA178+(1-EXP(-LN(2)/25))/(LN(2)/25)*Calculateur!V179*Calculateur!X179*VLOOKUP('Données projet'!$B$9,Paramètres!$A$1:$I$89,3,0)*0.475*44/12</f>
        <v>0.22591091596537161</v>
      </c>
      <c r="AB179" s="23">
        <f>EXP(-LN(2)/2)*AB178+(1-EXP(-LN(2)/2))/(LN(2)/2)*V179*Y179*VLOOKUP('Données projet'!$B$9,Paramètres!$A$1:$I$89,3,0)*0.475*44/12</f>
        <v>3.5657519770728593E-22</v>
      </c>
      <c r="AC179" s="24">
        <f t="shared" si="163"/>
        <v>1.3473030709395701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-5.6843418860808015E-13</v>
      </c>
      <c r="AJ179" s="14">
        <f>AI179*VLOOKUP('Données projet'!$B$10,Paramètres!$A$1:$I$89,3,0)*VLOOKUP('Données projet'!$B$10,Paramètres!$A$1:$I$89,5,0)</f>
        <v>-2.8080648917239157E-13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476.32595424393645</v>
      </c>
      <c r="AO179" s="62">
        <f t="shared" si="144"/>
        <v>36.065940605453875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-2.2737367544323206E-13</v>
      </c>
      <c r="BE179" s="14">
        <f>BD179*VLOOKUP('Données projet'!$B$11,Paramètres!$A$1:$I$89,3,0)*VLOOKUP('Données projet'!$B$11,Paramètres!$A$1:$I$89,5,0)</f>
        <v>-1.8089849618263545E-13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225.02590532358471</v>
      </c>
      <c r="BJ179" s="62">
        <f t="shared" si="146"/>
        <v>224.00025638752402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0.14487073272044257</v>
      </c>
      <c r="BQ179" s="23">
        <f>EXP(-LN(2)/25)*BQ178+(1-EXP(-LN(2)/25))/(LN(2)/25)*Calculateur!BL179*Calculateur!BN179*VLOOKUP('Données projet'!$B$11,Paramètres!$A$1:$I$89,3,0)*0.475*44/12</f>
        <v>0.15882400858338111</v>
      </c>
      <c r="BR179" s="23">
        <f>EXP(-LN(2)/2)*BR178+(1-EXP(-LN(2)/2))/(LN(2)/2)*BL179*BO179*VLOOKUP('Données projet'!$B$11,Paramètres!$A$1:$I$89,3,0)*0.475*44/12</f>
        <v>1.6335353327179364E-21</v>
      </c>
      <c r="BS179" s="24">
        <f t="shared" si="169"/>
        <v>0.30369474130382368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projet'!$B$9,Paramètres!$A$1:$I$89,3,0)*VLOOKUP('Données projet'!$B$9,Paramètres!$A$1:$I$89,5,0)</f>
        <v>-1.2710188457276673E-13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395.89088353191511</v>
      </c>
      <c r="T180" s="62">
        <f t="shared" si="142"/>
        <v>322.63468857063492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1.0994023387968315</v>
      </c>
      <c r="AA180" s="23">
        <f>EXP(-LN(2)/25)*AA179+(1-EXP(-LN(2)/25))/(LN(2)/25)*Calculateur!V180*Calculateur!X180*VLOOKUP('Données projet'!$B$9,Paramètres!$A$1:$I$89,3,0)*0.475*44/12</f>
        <v>0.21973337008815977</v>
      </c>
      <c r="AB180" s="23">
        <f>EXP(-LN(2)/2)*AB179+(1-EXP(-LN(2)/2))/(LN(2)/2)*V180*Y180*VLOOKUP('Données projet'!$B$9,Paramètres!$A$1:$I$89,3,0)*0.475*44/12</f>
        <v>2.5213674030175575E-22</v>
      </c>
      <c r="AC180" s="24">
        <f t="shared" si="163"/>
        <v>1.3191357088849913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-5.6843418860808015E-13</v>
      </c>
      <c r="AJ180" s="14">
        <f>AI180*VLOOKUP('Données projet'!$B$10,Paramètres!$A$1:$I$89,3,0)*VLOOKUP('Données projet'!$B$10,Paramètres!$A$1:$I$89,5,0)</f>
        <v>-2.8080648917239157E-13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476.32595424393645</v>
      </c>
      <c r="AO180" s="62">
        <f t="shared" si="144"/>
        <v>36.065940605453875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-2.2737367544323206E-13</v>
      </c>
      <c r="BE180" s="14">
        <f>BD180*VLOOKUP('Données projet'!$B$11,Paramètres!$A$1:$I$89,3,0)*VLOOKUP('Données projet'!$B$11,Paramètres!$A$1:$I$89,5,0)</f>
        <v>-1.8089849618263545E-13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225.02590532358471</v>
      </c>
      <c r="BJ180" s="62">
        <f t="shared" si="146"/>
        <v>224.00025638752402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0.14202990601421658</v>
      </c>
      <c r="BQ180" s="23">
        <f>EXP(-LN(2)/25)*BQ179+(1-EXP(-LN(2)/25))/(LN(2)/25)*Calculateur!BL180*Calculateur!BN180*VLOOKUP('Données projet'!$B$11,Paramètres!$A$1:$I$89,3,0)*0.475*44/12</f>
        <v>0.15448095771647694</v>
      </c>
      <c r="BR180" s="23">
        <f>EXP(-LN(2)/2)*BR179+(1-EXP(-LN(2)/2))/(LN(2)/2)*BL180*BO180*VLOOKUP('Données projet'!$B$11,Paramètres!$A$1:$I$89,3,0)*0.475*44/12</f>
        <v>1.1550839110726759E-21</v>
      </c>
      <c r="BS180" s="24">
        <f t="shared" si="169"/>
        <v>0.29651086373069352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projet'!$B$9,Paramètres!$A$1:$I$89,3,0)*VLOOKUP('Données projet'!$B$9,Paramètres!$A$1:$I$89,5,0)</f>
        <v>-1.2710188457276673E-13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395.89088353191511</v>
      </c>
      <c r="T181" s="62">
        <f t="shared" si="142"/>
        <v>322.63468857063492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1.0778437295022392</v>
      </c>
      <c r="AA181" s="23">
        <f>EXP(-LN(2)/25)*AA180+(1-EXP(-LN(2)/25))/(LN(2)/25)*Calculateur!V181*Calculateur!X181*VLOOKUP('Données projet'!$B$9,Paramètres!$A$1:$I$89,3,0)*0.475*44/12</f>
        <v>0.2137247495278233</v>
      </c>
      <c r="AB181" s="23">
        <f>EXP(-LN(2)/2)*AB180+(1-EXP(-LN(2)/2))/(LN(2)/2)*V181*Y181*VLOOKUP('Données projet'!$B$9,Paramètres!$A$1:$I$89,3,0)*0.475*44/12</f>
        <v>1.7828759885364297E-22</v>
      </c>
      <c r="AC181" s="24">
        <f t="shared" si="163"/>
        <v>1.2915684790300626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-5.6843418860808015E-13</v>
      </c>
      <c r="AJ181" s="14">
        <f>AI181*VLOOKUP('Données projet'!$B$10,Paramètres!$A$1:$I$89,3,0)*VLOOKUP('Données projet'!$B$10,Paramètres!$A$1:$I$89,5,0)</f>
        <v>-2.8080648917239157E-13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476.32595424393645</v>
      </c>
      <c r="AO181" s="62">
        <f t="shared" si="144"/>
        <v>36.065940605453875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-2.2737367544323206E-13</v>
      </c>
      <c r="BE181" s="14">
        <f>BD181*VLOOKUP('Données projet'!$B$11,Paramètres!$A$1:$I$89,3,0)*VLOOKUP('Données projet'!$B$11,Paramètres!$A$1:$I$89,5,0)</f>
        <v>-1.8089849618263545E-13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225.02590532358471</v>
      </c>
      <c r="BJ181" s="62">
        <f t="shared" si="146"/>
        <v>224.00025638752402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0.13924478618696651</v>
      </c>
      <c r="BQ181" s="23">
        <f>EXP(-LN(2)/25)*BQ180+(1-EXP(-LN(2)/25))/(LN(2)/25)*Calculateur!BL181*Calculateur!BN181*VLOOKUP('Données projet'!$B$11,Paramètres!$A$1:$I$89,3,0)*0.475*44/12</f>
        <v>0.15025666780391939</v>
      </c>
      <c r="BR181" s="23">
        <f>EXP(-LN(2)/2)*BR180+(1-EXP(-LN(2)/2))/(LN(2)/2)*BL181*BO181*VLOOKUP('Données projet'!$B$11,Paramètres!$A$1:$I$89,3,0)*0.475*44/12</f>
        <v>8.1676766635896818E-22</v>
      </c>
      <c r="BS181" s="24">
        <f t="shared" si="169"/>
        <v>0.28950145399088589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projet'!$B$9,Paramètres!$A$1:$I$89,3,0)*VLOOKUP('Données projet'!$B$9,Paramètres!$A$1:$I$89,5,0)</f>
        <v>-1.2710188457276673E-13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395.89088353191511</v>
      </c>
      <c r="T182" s="62">
        <f t="shared" si="142"/>
        <v>322.63468857063492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1.0567078713864604</v>
      </c>
      <c r="AA182" s="23">
        <f>EXP(-LN(2)/25)*AA181+(1-EXP(-LN(2)/25))/(LN(2)/25)*Calculateur!V182*Calculateur!X182*VLOOKUP('Données projet'!$B$9,Paramètres!$A$1:$I$89,3,0)*0.475*44/12</f>
        <v>0.20788043501268888</v>
      </c>
      <c r="AB182" s="23">
        <f>EXP(-LN(2)/2)*AB181+(1-EXP(-LN(2)/2))/(LN(2)/2)*V182*Y182*VLOOKUP('Données projet'!$B$9,Paramètres!$A$1:$I$89,3,0)*0.475*44/12</f>
        <v>1.2606837015087788E-22</v>
      </c>
      <c r="AC182" s="24">
        <f t="shared" si="163"/>
        <v>1.2645883063991492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-5.6843418860808015E-13</v>
      </c>
      <c r="AJ182" s="14">
        <f>AI182*VLOOKUP('Données projet'!$B$10,Paramètres!$A$1:$I$89,3,0)*VLOOKUP('Données projet'!$B$10,Paramètres!$A$1:$I$89,5,0)</f>
        <v>-2.8080648917239157E-13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476.32595424393645</v>
      </c>
      <c r="AO182" s="62">
        <f t="shared" si="144"/>
        <v>36.065940605453875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-2.2737367544323206E-13</v>
      </c>
      <c r="BE182" s="14">
        <f>BD182*VLOOKUP('Données projet'!$B$11,Paramètres!$A$1:$I$89,3,0)*VLOOKUP('Données projet'!$B$11,Paramètres!$A$1:$I$89,5,0)</f>
        <v>-1.8089849618263545E-13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225.02590532358471</v>
      </c>
      <c r="BJ182" s="62">
        <f t="shared" si="146"/>
        <v>224.00025638752402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0.13651428086077344</v>
      </c>
      <c r="BQ182" s="23">
        <f>EXP(-LN(2)/25)*BQ181+(1-EXP(-LN(2)/25))/(LN(2)/25)*Calculateur!BL182*Calculateur!BN182*VLOOKUP('Données projet'!$B$11,Paramètres!$A$1:$I$89,3,0)*0.475*44/12</f>
        <v>0.14614789132116646</v>
      </c>
      <c r="BR182" s="23">
        <f>EXP(-LN(2)/2)*BR181+(1-EXP(-LN(2)/2))/(LN(2)/2)*BL182*BO182*VLOOKUP('Données projet'!$B$11,Paramètres!$A$1:$I$89,3,0)*0.475*44/12</f>
        <v>5.7754195553633796E-22</v>
      </c>
      <c r="BS182" s="24">
        <f t="shared" si="169"/>
        <v>0.2826621721819399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projet'!$B$9,Paramètres!$A$1:$I$89,3,0)*VLOOKUP('Données projet'!$B$9,Paramètres!$A$1:$I$89,5,0)</f>
        <v>-1.2710188457276673E-13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395.89088353191511</v>
      </c>
      <c r="T183" s="62">
        <f t="shared" si="142"/>
        <v>322.63468857063492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1.0359864745567315</v>
      </c>
      <c r="AA183" s="23">
        <f>EXP(-LN(2)/25)*AA182+(1-EXP(-LN(2)/25))/(LN(2)/25)*Calculateur!V183*Calculateur!X183*VLOOKUP('Données projet'!$B$9,Paramètres!$A$1:$I$89,3,0)*0.475*44/12</f>
        <v>0.20219593358530993</v>
      </c>
      <c r="AB183" s="23">
        <f>EXP(-LN(2)/2)*AB182+(1-EXP(-LN(2)/2))/(LN(2)/2)*V183*Y183*VLOOKUP('Données projet'!$B$9,Paramètres!$A$1:$I$89,3,0)*0.475*44/12</f>
        <v>8.9143799426821484E-23</v>
      </c>
      <c r="AC183" s="24">
        <f t="shared" si="163"/>
        <v>1.2381824081420414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-5.6843418860808015E-13</v>
      </c>
      <c r="AJ183" s="14">
        <f>AI183*VLOOKUP('Données projet'!$B$10,Paramètres!$A$1:$I$89,3,0)*VLOOKUP('Données projet'!$B$10,Paramètres!$A$1:$I$89,5,0)</f>
        <v>-2.8080648917239157E-13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476.32595424393645</v>
      </c>
      <c r="AO183" s="62">
        <f t="shared" si="144"/>
        <v>36.065940605453875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-2.2737367544323206E-13</v>
      </c>
      <c r="BE183" s="14">
        <f>BD183*VLOOKUP('Données projet'!$B$11,Paramètres!$A$1:$I$89,3,0)*VLOOKUP('Données projet'!$B$11,Paramètres!$A$1:$I$89,5,0)</f>
        <v>-1.8089849618263545E-13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225.02590532358471</v>
      </c>
      <c r="BJ183" s="62">
        <f t="shared" si="146"/>
        <v>224.00025638752402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0.13383731907858321</v>
      </c>
      <c r="BQ183" s="23">
        <f>EXP(-LN(2)/25)*BQ182+(1-EXP(-LN(2)/25))/(LN(2)/25)*Calculateur!BL183*Calculateur!BN183*VLOOKUP('Données projet'!$B$11,Paramètres!$A$1:$I$89,3,0)*0.475*44/12</f>
        <v>0.14215146954740557</v>
      </c>
      <c r="BR183" s="23">
        <f>EXP(-LN(2)/2)*BR182+(1-EXP(-LN(2)/2))/(LN(2)/2)*BL183*BO183*VLOOKUP('Données projet'!$B$11,Paramètres!$A$1:$I$89,3,0)*0.475*44/12</f>
        <v>4.0838383317948409E-22</v>
      </c>
      <c r="BS183" s="24">
        <f t="shared" si="169"/>
        <v>0.27598878862598875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projet'!$B$9,Paramètres!$A$1:$I$89,3,0)*VLOOKUP('Données projet'!$B$9,Paramètres!$A$1:$I$89,5,0)</f>
        <v>-1.2710188457276673E-13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395.89088353191511</v>
      </c>
      <c r="T184" s="62">
        <f t="shared" si="142"/>
        <v>322.63468857063492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1.0156714116800296</v>
      </c>
      <c r="AA184" s="23">
        <f>EXP(-LN(2)/25)*AA183+(1-EXP(-LN(2)/25))/(LN(2)/25)*Calculateur!V184*Calculateur!X184*VLOOKUP('Données projet'!$B$9,Paramètres!$A$1:$I$89,3,0)*0.475*44/12</f>
        <v>0.19666687514839762</v>
      </c>
      <c r="AB184" s="23">
        <f>EXP(-LN(2)/2)*AB183+(1-EXP(-LN(2)/2))/(LN(2)/2)*V184*Y184*VLOOKUP('Données projet'!$B$9,Paramètres!$A$1:$I$89,3,0)*0.475*44/12</f>
        <v>6.3034185075438938E-23</v>
      </c>
      <c r="AC184" s="24">
        <f t="shared" si="163"/>
        <v>1.2123382868284271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-5.6843418860808015E-13</v>
      </c>
      <c r="AJ184" s="14">
        <f>AI184*VLOOKUP('Données projet'!$B$10,Paramètres!$A$1:$I$89,3,0)*VLOOKUP('Données projet'!$B$10,Paramètres!$A$1:$I$89,5,0)</f>
        <v>-2.8080648917239157E-13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476.32595424393645</v>
      </c>
      <c r="AO184" s="62">
        <f t="shared" si="144"/>
        <v>36.065940605453875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-2.2737367544323206E-13</v>
      </c>
      <c r="BE184" s="14">
        <f>BD184*VLOOKUP('Données projet'!$B$11,Paramètres!$A$1:$I$89,3,0)*VLOOKUP('Données projet'!$B$11,Paramètres!$A$1:$I$89,5,0)</f>
        <v>-1.8089849618263545E-13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225.02590532358471</v>
      </c>
      <c r="BJ184" s="62">
        <f t="shared" si="146"/>
        <v>224.00025638752402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0.13121285088415627</v>
      </c>
      <c r="BQ184" s="23">
        <f>EXP(-LN(2)/25)*BQ183+(1-EXP(-LN(2)/25))/(LN(2)/25)*Calculateur!BL184*Calculateur!BN184*VLOOKUP('Données projet'!$B$11,Paramètres!$A$1:$I$89,3,0)*0.475*44/12</f>
        <v>0.13826433013721087</v>
      </c>
      <c r="BR184" s="23">
        <f>EXP(-LN(2)/2)*BR183+(1-EXP(-LN(2)/2))/(LN(2)/2)*BL184*BO184*VLOOKUP('Données projet'!$B$11,Paramètres!$A$1:$I$89,3,0)*0.475*44/12</f>
        <v>2.8877097776816898E-22</v>
      </c>
      <c r="BS184" s="24">
        <f t="shared" si="169"/>
        <v>0.26947718102136714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projet'!$B$9,Paramètres!$A$1:$I$89,3,0)*VLOOKUP('Données projet'!$B$9,Paramètres!$A$1:$I$89,5,0)</f>
        <v>-1.2710188457276673E-13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395.89088353191511</v>
      </c>
      <c r="T185" s="62">
        <f t="shared" si="142"/>
        <v>322.63468857063492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0.99575471479537492</v>
      </c>
      <c r="AA185" s="23">
        <f>EXP(-LN(2)/25)*AA184+(1-EXP(-LN(2)/25))/(LN(2)/25)*Calculateur!V185*Calculateur!X185*VLOOKUP('Données projet'!$B$9,Paramètres!$A$1:$I$89,3,0)*0.475*44/12</f>
        <v>0.19128900910520322</v>
      </c>
      <c r="AB185" s="23">
        <f>EXP(-LN(2)/2)*AB184+(1-EXP(-LN(2)/2))/(LN(2)/2)*V185*Y185*VLOOKUP('Données projet'!$B$9,Paramètres!$A$1:$I$89,3,0)*0.475*44/12</f>
        <v>4.4571899713410742E-23</v>
      </c>
      <c r="AC185" s="24">
        <f t="shared" si="163"/>
        <v>1.1870437239005782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-5.6843418860808015E-13</v>
      </c>
      <c r="AJ185" s="14">
        <f>AI185*VLOOKUP('Données projet'!$B$10,Paramètres!$A$1:$I$89,3,0)*VLOOKUP('Données projet'!$B$10,Paramètres!$A$1:$I$89,5,0)</f>
        <v>-2.8080648917239157E-13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476.32595424393645</v>
      </c>
      <c r="AO185" s="62">
        <f t="shared" si="144"/>
        <v>36.065940605453875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-2.2737367544323206E-13</v>
      </c>
      <c r="BE185" s="14">
        <f>BD185*VLOOKUP('Données projet'!$B$11,Paramètres!$A$1:$I$89,3,0)*VLOOKUP('Données projet'!$B$11,Paramètres!$A$1:$I$89,5,0)</f>
        <v>-1.8089849618263545E-13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225.02590532358471</v>
      </c>
      <c r="BJ185" s="62">
        <f t="shared" si="146"/>
        <v>224.00025638752402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0.12863984691025451</v>
      </c>
      <c r="BQ185" s="23">
        <f>EXP(-LN(2)/25)*BQ184+(1-EXP(-LN(2)/25))/(LN(2)/25)*Calculateur!BL185*Calculateur!BN185*VLOOKUP('Données projet'!$B$11,Paramètres!$A$1:$I$89,3,0)*0.475*44/12</f>
        <v>0.13448348475860372</v>
      </c>
      <c r="BR185" s="23">
        <f>EXP(-LN(2)/2)*BR184+(1-EXP(-LN(2)/2))/(LN(2)/2)*BL185*BO185*VLOOKUP('Données projet'!$B$11,Paramètres!$A$1:$I$89,3,0)*0.475*44/12</f>
        <v>2.0419191658974204E-22</v>
      </c>
      <c r="BS185" s="24">
        <f t="shared" si="169"/>
        <v>0.26312333166885826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projet'!$B$9,Paramètres!$A$1:$I$89,3,0)*VLOOKUP('Données projet'!$B$9,Paramètres!$A$1:$I$89,5,0)</f>
        <v>-1.2710188457276673E-13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395.89088353191511</v>
      </c>
      <c r="T186" s="62">
        <f t="shared" si="142"/>
        <v>322.63468857063492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0.97622857218864278</v>
      </c>
      <c r="AA186" s="23">
        <f>EXP(-LN(2)/25)*AA185+(1-EXP(-LN(2)/25))/(LN(2)/25)*Calculateur!V186*Calculateur!X186*VLOOKUP('Données projet'!$B$9,Paramètres!$A$1:$I$89,3,0)*0.475*44/12</f>
        <v>0.18605820109176965</v>
      </c>
      <c r="AB186" s="23">
        <f>EXP(-LN(2)/2)*AB185+(1-EXP(-LN(2)/2))/(LN(2)/2)*V186*Y186*VLOOKUP('Données projet'!$B$9,Paramètres!$A$1:$I$89,3,0)*0.475*44/12</f>
        <v>3.1517092537719469E-23</v>
      </c>
      <c r="AC186" s="24">
        <f t="shared" si="163"/>
        <v>1.1622867732804125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-5.6843418860808015E-13</v>
      </c>
      <c r="AJ186" s="14">
        <f>AI186*VLOOKUP('Données projet'!$B$10,Paramètres!$A$1:$I$89,3,0)*VLOOKUP('Données projet'!$B$10,Paramètres!$A$1:$I$89,5,0)</f>
        <v>-2.8080648917239157E-13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476.32595424393645</v>
      </c>
      <c r="AO186" s="62">
        <f t="shared" si="144"/>
        <v>36.065940605453875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-2.2737367544323206E-13</v>
      </c>
      <c r="BE186" s="14">
        <f>BD186*VLOOKUP('Données projet'!$B$11,Paramètres!$A$1:$I$89,3,0)*VLOOKUP('Données projet'!$B$11,Paramètres!$A$1:$I$89,5,0)</f>
        <v>-1.8089849618263545E-13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225.02590532358471</v>
      </c>
      <c r="BJ186" s="62">
        <f t="shared" si="146"/>
        <v>224.00025638752402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0.12611729797490351</v>
      </c>
      <c r="BQ186" s="23">
        <f>EXP(-LN(2)/25)*BQ185+(1-EXP(-LN(2)/25))/(LN(2)/25)*Calculateur!BL186*Calculateur!BN186*VLOOKUP('Données projet'!$B$11,Paramètres!$A$1:$I$89,3,0)*0.475*44/12</f>
        <v>0.13080602679570061</v>
      </c>
      <c r="BR186" s="23">
        <f>EXP(-LN(2)/2)*BR185+(1-EXP(-LN(2)/2))/(LN(2)/2)*BL186*BO186*VLOOKUP('Données projet'!$B$11,Paramètres!$A$1:$I$89,3,0)*0.475*44/12</f>
        <v>1.4438548888408449E-22</v>
      </c>
      <c r="BS186" s="24">
        <f t="shared" si="169"/>
        <v>0.25692332477060409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projet'!$B$9,Paramètres!$A$1:$I$89,3,0)*VLOOKUP('Données projet'!$B$9,Paramètres!$A$1:$I$89,5,0)</f>
        <v>-1.2710188457276673E-13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395.89088353191511</v>
      </c>
      <c r="T187" s="62">
        <f t="shared" si="142"/>
        <v>322.63468857063492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0.95708532532865764</v>
      </c>
      <c r="AA187" s="23">
        <f>EXP(-LN(2)/25)*AA186+(1-EXP(-LN(2)/25))/(LN(2)/25)*Calculateur!V187*Calculateur!X187*VLOOKUP('Données projet'!$B$9,Paramètres!$A$1:$I$89,3,0)*0.475*44/12</f>
        <v>0.18097042979853967</v>
      </c>
      <c r="AB187" s="23">
        <f>EXP(-LN(2)/2)*AB186+(1-EXP(-LN(2)/2))/(LN(2)/2)*V187*Y187*VLOOKUP('Données projet'!$B$9,Paramètres!$A$1:$I$89,3,0)*0.475*44/12</f>
        <v>2.2285949856705371E-23</v>
      </c>
      <c r="AC187" s="24">
        <f t="shared" si="163"/>
        <v>1.1380557551271973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-5.6843418860808015E-13</v>
      </c>
      <c r="AJ187" s="14">
        <f>AI187*VLOOKUP('Données projet'!$B$10,Paramètres!$A$1:$I$89,3,0)*VLOOKUP('Données projet'!$B$10,Paramètres!$A$1:$I$89,5,0)</f>
        <v>-2.8080648917239157E-13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476.32595424393645</v>
      </c>
      <c r="AO187" s="62">
        <f t="shared" si="144"/>
        <v>36.065940605453875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-2.2737367544323206E-13</v>
      </c>
      <c r="BE187" s="14">
        <f>BD187*VLOOKUP('Données projet'!$B$11,Paramètres!$A$1:$I$89,3,0)*VLOOKUP('Données projet'!$B$11,Paramètres!$A$1:$I$89,5,0)</f>
        <v>-1.8089849618263545E-13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225.02590532358471</v>
      </c>
      <c r="BJ187" s="62">
        <f t="shared" si="146"/>
        <v>224.00025638752402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0.12364421468557181</v>
      </c>
      <c r="BQ187" s="23">
        <f>EXP(-LN(2)/25)*BQ186+(1-EXP(-LN(2)/25))/(LN(2)/25)*Calculateur!BL187*Calculateur!BN187*VLOOKUP('Données projet'!$B$11,Paramètres!$A$1:$I$89,3,0)*0.475*44/12</f>
        <v>0.12722912911418219</v>
      </c>
      <c r="BR187" s="23">
        <f>EXP(-LN(2)/2)*BR186+(1-EXP(-LN(2)/2))/(LN(2)/2)*BL187*BO187*VLOOKUP('Données projet'!$B$11,Paramètres!$A$1:$I$89,3,0)*0.475*44/12</f>
        <v>1.0209595829487102E-22</v>
      </c>
      <c r="BS187" s="24">
        <f t="shared" si="169"/>
        <v>0.25087334379975401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projet'!$B$9,Paramètres!$A$1:$I$89,3,0)*VLOOKUP('Données projet'!$B$9,Paramètres!$A$1:$I$89,5,0)</f>
        <v>-1.2710188457276673E-13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395.89088353191511</v>
      </c>
      <c r="T188" s="62">
        <f t="shared" si="142"/>
        <v>322.63468857063492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0.93831746586336917</v>
      </c>
      <c r="AA188" s="23">
        <f>EXP(-LN(2)/25)*AA187+(1-EXP(-LN(2)/25))/(LN(2)/25)*Calculateur!V188*Calculateur!X188*VLOOKUP('Données projet'!$B$9,Paramètres!$A$1:$I$89,3,0)*0.475*44/12</f>
        <v>0.17602178387887732</v>
      </c>
      <c r="AB188" s="23">
        <f>EXP(-LN(2)/2)*AB187+(1-EXP(-LN(2)/2))/(LN(2)/2)*V188*Y188*VLOOKUP('Données projet'!$B$9,Paramètres!$A$1:$I$89,3,0)*0.475*44/12</f>
        <v>1.5758546268859735E-23</v>
      </c>
      <c r="AC188" s="24">
        <f t="shared" si="163"/>
        <v>1.1143392497422464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-5.6843418860808015E-13</v>
      </c>
      <c r="AJ188" s="14">
        <f>AI188*VLOOKUP('Données projet'!$B$10,Paramètres!$A$1:$I$89,3,0)*VLOOKUP('Données projet'!$B$10,Paramètres!$A$1:$I$89,5,0)</f>
        <v>-2.8080648917239157E-13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476.32595424393645</v>
      </c>
      <c r="AO188" s="62">
        <f t="shared" si="144"/>
        <v>36.065940605453875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-2.2737367544323206E-13</v>
      </c>
      <c r="BE188" s="14">
        <f>BD188*VLOOKUP('Données projet'!$B$11,Paramètres!$A$1:$I$89,3,0)*VLOOKUP('Données projet'!$B$11,Paramètres!$A$1:$I$89,5,0)</f>
        <v>-1.8089849618263545E-13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225.02590532358471</v>
      </c>
      <c r="BJ188" s="62">
        <f t="shared" si="146"/>
        <v>224.00025638752402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0.12121962705111204</v>
      </c>
      <c r="BQ188" s="23">
        <f>EXP(-LN(2)/25)*BQ187+(1-EXP(-LN(2)/25))/(LN(2)/25)*Calculateur!BL188*Calculateur!BN188*VLOOKUP('Données projet'!$B$11,Paramètres!$A$1:$I$89,3,0)*0.475*44/12</f>
        <v>0.12375004188786576</v>
      </c>
      <c r="BR188" s="23">
        <f>EXP(-LN(2)/2)*BR187+(1-EXP(-LN(2)/2))/(LN(2)/2)*BL188*BO188*VLOOKUP('Données projet'!$B$11,Paramètres!$A$1:$I$89,3,0)*0.475*44/12</f>
        <v>7.2192744442042245E-23</v>
      </c>
      <c r="BS188" s="24">
        <f t="shared" si="169"/>
        <v>0.24496966893897781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projet'!$B$9,Paramètres!$A$1:$I$89,3,0)*VLOOKUP('Données projet'!$B$9,Paramètres!$A$1:$I$89,5,0)</f>
        <v>-1.2710188457276673E-13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395.89088353191511</v>
      </c>
      <c r="T189" s="62">
        <f t="shared" si="142"/>
        <v>322.63468857063492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0.9199176326749311</v>
      </c>
      <c r="AA189" s="23">
        <f>EXP(-LN(2)/25)*AA188+(1-EXP(-LN(2)/25))/(LN(2)/25)*Calculateur!V189*Calculateur!X189*VLOOKUP('Données projet'!$B$9,Paramètres!$A$1:$I$89,3,0)*0.475*44/12</f>
        <v>0.17120845894212611</v>
      </c>
      <c r="AB189" s="23">
        <f>EXP(-LN(2)/2)*AB188+(1-EXP(-LN(2)/2))/(LN(2)/2)*V189*Y189*VLOOKUP('Données projet'!$B$9,Paramètres!$A$1:$I$89,3,0)*0.475*44/12</f>
        <v>1.1142974928352685E-23</v>
      </c>
      <c r="AC189" s="24">
        <f t="shared" si="163"/>
        <v>1.0911260916170571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-5.6843418860808015E-13</v>
      </c>
      <c r="AJ189" s="14">
        <f>AI189*VLOOKUP('Données projet'!$B$10,Paramètres!$A$1:$I$89,3,0)*VLOOKUP('Données projet'!$B$10,Paramètres!$A$1:$I$89,5,0)</f>
        <v>-2.8080648917239157E-13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476.32595424393645</v>
      </c>
      <c r="AO189" s="62">
        <f t="shared" si="144"/>
        <v>36.065940605453875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-2.2737367544323206E-13</v>
      </c>
      <c r="BE189" s="14">
        <f>BD189*VLOOKUP('Données projet'!$B$11,Paramètres!$A$1:$I$89,3,0)*VLOOKUP('Données projet'!$B$11,Paramètres!$A$1:$I$89,5,0)</f>
        <v>-1.8089849618263545E-13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225.02590532358471</v>
      </c>
      <c r="BJ189" s="62">
        <f t="shared" si="146"/>
        <v>224.00025638752402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0.1188425841013116</v>
      </c>
      <c r="BQ189" s="23">
        <f>EXP(-LN(2)/25)*BQ188+(1-EXP(-LN(2)/25))/(LN(2)/25)*Calculateur!BL189*Calculateur!BN189*VLOOKUP('Données projet'!$B$11,Paramètres!$A$1:$I$89,3,0)*0.475*44/12</f>
        <v>0.1203660904847102</v>
      </c>
      <c r="BR189" s="23">
        <f>EXP(-LN(2)/2)*BR188+(1-EXP(-LN(2)/2))/(LN(2)/2)*BL189*BO189*VLOOKUP('Données projet'!$B$11,Paramètres!$A$1:$I$89,3,0)*0.475*44/12</f>
        <v>5.1047979147435511E-23</v>
      </c>
      <c r="BS189" s="24">
        <f t="shared" si="169"/>
        <v>0.2392086745860218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projet'!$B$9,Paramètres!$A$1:$I$89,3,0)*VLOOKUP('Données projet'!$B$9,Paramètres!$A$1:$I$89,5,0)</f>
        <v>-1.2710188457276673E-13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395.89088353191511</v>
      </c>
      <c r="T190" s="62">
        <f t="shared" si="142"/>
        <v>322.63468857063492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0.90187860899252814</v>
      </c>
      <c r="AA190" s="23">
        <f>EXP(-LN(2)/25)*AA189+(1-EXP(-LN(2)/25))/(LN(2)/25)*Calculateur!V190*Calculateur!X190*VLOOKUP('Données projet'!$B$9,Paramètres!$A$1:$I$89,3,0)*0.475*44/12</f>
        <v>0.1665267546288921</v>
      </c>
      <c r="AB190" s="23">
        <f>EXP(-LN(2)/2)*AB189+(1-EXP(-LN(2)/2))/(LN(2)/2)*V190*Y190*VLOOKUP('Données projet'!$B$9,Paramètres!$A$1:$I$89,3,0)*0.475*44/12</f>
        <v>7.8792731344298673E-24</v>
      </c>
      <c r="AC190" s="24">
        <f t="shared" si="163"/>
        <v>1.0684053636214204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-5.6843418860808015E-13</v>
      </c>
      <c r="AJ190" s="14">
        <f>AI190*VLOOKUP('Données projet'!$B$10,Paramètres!$A$1:$I$89,3,0)*VLOOKUP('Données projet'!$B$10,Paramètres!$A$1:$I$89,5,0)</f>
        <v>-2.8080648917239157E-13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476.32595424393645</v>
      </c>
      <c r="AO190" s="62">
        <f t="shared" si="144"/>
        <v>36.065940605453875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-2.2737367544323206E-13</v>
      </c>
      <c r="BE190" s="14">
        <f>BD190*VLOOKUP('Données projet'!$B$11,Paramètres!$A$1:$I$89,3,0)*VLOOKUP('Données projet'!$B$11,Paramètres!$A$1:$I$89,5,0)</f>
        <v>-1.8089849618263545E-13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225.02590532358471</v>
      </c>
      <c r="BJ190" s="62">
        <f t="shared" si="146"/>
        <v>224.00025638752402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0.1165121535139037</v>
      </c>
      <c r="BQ190" s="23">
        <f>EXP(-LN(2)/25)*BQ189+(1-EXP(-LN(2)/25))/(LN(2)/25)*Calculateur!BL190*Calculateur!BN190*VLOOKUP('Données projet'!$B$11,Paramètres!$A$1:$I$89,3,0)*0.475*44/12</f>
        <v>0.1170746734106282</v>
      </c>
      <c r="BR190" s="23">
        <f>EXP(-LN(2)/2)*BR189+(1-EXP(-LN(2)/2))/(LN(2)/2)*BL190*BO190*VLOOKUP('Données projet'!$B$11,Paramètres!$A$1:$I$89,3,0)*0.475*44/12</f>
        <v>3.6096372221021122E-23</v>
      </c>
      <c r="BS190" s="24">
        <f t="shared" si="169"/>
        <v>0.23358682692453192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projet'!$B$9,Paramètres!$A$1:$I$89,3,0)*VLOOKUP('Données projet'!$B$9,Paramètres!$A$1:$I$89,5,0)</f>
        <v>-1.2710188457276673E-13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395.89088353191511</v>
      </c>
      <c r="T191" s="62">
        <f t="shared" si="142"/>
        <v>322.63468857063492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0.88419331956181912</v>
      </c>
      <c r="AA191" s="23">
        <f>EXP(-LN(2)/25)*AA190+(1-EXP(-LN(2)/25))/(LN(2)/25)*Calculateur!V191*Calculateur!X191*VLOOKUP('Données projet'!$B$9,Paramètres!$A$1:$I$89,3,0)*0.475*44/12</f>
        <v>0.16197307176630363</v>
      </c>
      <c r="AB191" s="23">
        <f>EXP(-LN(2)/2)*AB190+(1-EXP(-LN(2)/2))/(LN(2)/2)*V191*Y191*VLOOKUP('Données projet'!$B$9,Paramètres!$A$1:$I$89,3,0)*0.475*44/12</f>
        <v>5.5714874641763427E-24</v>
      </c>
      <c r="AC191" s="24">
        <f t="shared" si="163"/>
        <v>1.0461663913281227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-5.6843418860808015E-13</v>
      </c>
      <c r="AJ191" s="14">
        <f>AI191*VLOOKUP('Données projet'!$B$10,Paramètres!$A$1:$I$89,3,0)*VLOOKUP('Données projet'!$B$10,Paramètres!$A$1:$I$89,5,0)</f>
        <v>-2.8080648917239157E-13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476.32595424393645</v>
      </c>
      <c r="AO191" s="62">
        <f t="shared" si="144"/>
        <v>36.065940605453875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-2.2737367544323206E-13</v>
      </c>
      <c r="BE191" s="14">
        <f>BD191*VLOOKUP('Données projet'!$B$11,Paramètres!$A$1:$I$89,3,0)*VLOOKUP('Données projet'!$B$11,Paramètres!$A$1:$I$89,5,0)</f>
        <v>-1.8089849618263545E-13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225.02590532358471</v>
      </c>
      <c r="BJ191" s="62">
        <f t="shared" si="146"/>
        <v>224.00025638752402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0.11422742124889257</v>
      </c>
      <c r="BQ191" s="23">
        <f>EXP(-LN(2)/25)*BQ190+(1-EXP(-LN(2)/25))/(LN(2)/25)*Calculateur!BL191*Calculateur!BN191*VLOOKUP('Données projet'!$B$11,Paramètres!$A$1:$I$89,3,0)*0.475*44/12</f>
        <v>0.11387326030952508</v>
      </c>
      <c r="BR191" s="23">
        <f>EXP(-LN(2)/2)*BR190+(1-EXP(-LN(2)/2))/(LN(2)/2)*BL191*BO191*VLOOKUP('Données projet'!$B$11,Paramètres!$A$1:$I$89,3,0)*0.475*44/12</f>
        <v>2.5523989573717756E-23</v>
      </c>
      <c r="BS191" s="24">
        <f t="shared" si="169"/>
        <v>0.22810068155841765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projet'!$B$9,Paramètres!$A$1:$I$89,3,0)*VLOOKUP('Données projet'!$B$9,Paramètres!$A$1:$I$89,5,0)</f>
        <v>-1.2710188457276673E-13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395.89088353191511</v>
      </c>
      <c r="T192" s="62">
        <f t="shared" si="142"/>
        <v>322.63468857063492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0.86685482786988488</v>
      </c>
      <c r="AA192" s="23">
        <f>EXP(-LN(2)/25)*AA191+(1-EXP(-LN(2)/25))/(LN(2)/25)*Calculateur!V192*Calculateur!X192*VLOOKUP('Données projet'!$B$9,Paramètres!$A$1:$I$89,3,0)*0.475*44/12</f>
        <v>0.15754390960106041</v>
      </c>
      <c r="AB192" s="23">
        <f>EXP(-LN(2)/2)*AB191+(1-EXP(-LN(2)/2))/(LN(2)/2)*V192*Y192*VLOOKUP('Données projet'!$B$9,Paramètres!$A$1:$I$89,3,0)*0.475*44/12</f>
        <v>3.9396365672149337E-24</v>
      </c>
      <c r="AC192" s="24">
        <f t="shared" si="163"/>
        <v>1.0243987374709453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-5.6843418860808015E-13</v>
      </c>
      <c r="AJ192" s="14">
        <f>AI192*VLOOKUP('Données projet'!$B$10,Paramètres!$A$1:$I$89,3,0)*VLOOKUP('Données projet'!$B$10,Paramètres!$A$1:$I$89,5,0)</f>
        <v>-2.8080648917239157E-13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476.32595424393645</v>
      </c>
      <c r="AO192" s="62">
        <f t="shared" si="144"/>
        <v>36.065940605453875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-2.2737367544323206E-13</v>
      </c>
      <c r="BE192" s="14">
        <f>BD192*VLOOKUP('Données projet'!$B$11,Paramètres!$A$1:$I$89,3,0)*VLOOKUP('Données projet'!$B$11,Paramètres!$A$1:$I$89,5,0)</f>
        <v>-1.8089849618263545E-13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225.02590532358471</v>
      </c>
      <c r="BJ192" s="62">
        <f t="shared" si="146"/>
        <v>224.00025638752402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0.11198749119004922</v>
      </c>
      <c r="BQ192" s="23">
        <f>EXP(-LN(2)/25)*BQ191+(1-EXP(-LN(2)/25))/(LN(2)/25)*Calculateur!BL192*Calculateur!BN192*VLOOKUP('Données projet'!$B$11,Paramètres!$A$1:$I$89,3,0)*0.475*44/12</f>
        <v>0.11075939001802661</v>
      </c>
      <c r="BR192" s="23">
        <f>EXP(-LN(2)/2)*BR191+(1-EXP(-LN(2)/2))/(LN(2)/2)*BL192*BO192*VLOOKUP('Données projet'!$B$11,Paramètres!$A$1:$I$89,3,0)*0.475*44/12</f>
        <v>1.8048186110510561E-23</v>
      </c>
      <c r="BS192" s="24">
        <f t="shared" si="169"/>
        <v>0.22274688120807584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projet'!$B$9,Paramètres!$A$1:$I$89,3,0)*VLOOKUP('Données projet'!$B$9,Paramètres!$A$1:$I$89,5,0)</f>
        <v>-1.2710188457276673E-13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395.89088353191511</v>
      </c>
      <c r="T193" s="62">
        <f t="shared" si="142"/>
        <v>322.63468857063492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0.84985633342459377</v>
      </c>
      <c r="AA193" s="23">
        <f>EXP(-LN(2)/25)*AA192+(1-EXP(-LN(2)/25))/(LN(2)/25)*Calculateur!V193*Calculateur!X193*VLOOKUP('Données projet'!$B$9,Paramètres!$A$1:$I$89,3,0)*0.475*44/12</f>
        <v>0.15323586310814527</v>
      </c>
      <c r="AB193" s="23">
        <f>EXP(-LN(2)/2)*AB192+(1-EXP(-LN(2)/2))/(LN(2)/2)*V193*Y193*VLOOKUP('Données projet'!$B$9,Paramètres!$A$1:$I$89,3,0)*0.475*44/12</f>
        <v>2.7857437320881714E-24</v>
      </c>
      <c r="AC193" s="24">
        <f t="shared" si="163"/>
        <v>1.0030921965327391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-5.6843418860808015E-13</v>
      </c>
      <c r="AJ193" s="14">
        <f>AI193*VLOOKUP('Données projet'!$B$10,Paramètres!$A$1:$I$89,3,0)*VLOOKUP('Données projet'!$B$10,Paramètres!$A$1:$I$89,5,0)</f>
        <v>-2.8080648917239157E-13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476.32595424393645</v>
      </c>
      <c r="AO193" s="62">
        <f t="shared" si="144"/>
        <v>36.065940605453875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-2.2737367544323206E-13</v>
      </c>
      <c r="BE193" s="14">
        <f>BD193*VLOOKUP('Données projet'!$B$11,Paramètres!$A$1:$I$89,3,0)*VLOOKUP('Données projet'!$B$11,Paramètres!$A$1:$I$89,5,0)</f>
        <v>-1.8089849618263545E-13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225.02590532358471</v>
      </c>
      <c r="BJ193" s="62">
        <f t="shared" si="146"/>
        <v>224.00025638752402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0.10979148479343737</v>
      </c>
      <c r="BQ193" s="23">
        <f>EXP(-LN(2)/25)*BQ192+(1-EXP(-LN(2)/25))/(LN(2)/25)*Calculateur!BL193*Calculateur!BN193*VLOOKUP('Données projet'!$B$11,Paramètres!$A$1:$I$89,3,0)*0.475*44/12</f>
        <v>0.10773066867340049</v>
      </c>
      <c r="BR193" s="23">
        <f>EXP(-LN(2)/2)*BR192+(1-EXP(-LN(2)/2))/(LN(2)/2)*BL193*BO193*VLOOKUP('Données projet'!$B$11,Paramètres!$A$1:$I$89,3,0)*0.475*44/12</f>
        <v>1.2761994786858878E-23</v>
      </c>
      <c r="BS193" s="24">
        <f t="shared" si="169"/>
        <v>0.21752215346683784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projet'!$B$9,Paramètres!$A$1:$I$89,3,0)*VLOOKUP('Données projet'!$B$9,Paramètres!$A$1:$I$89,5,0)</f>
        <v>-1.2710188457276673E-13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395.89088353191511</v>
      </c>
      <c r="T194" s="62">
        <f t="shared" si="142"/>
        <v>322.63468857063492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0.83319116908731694</v>
      </c>
      <c r="AA194" s="23">
        <f>EXP(-LN(2)/25)*AA193+(1-EXP(-LN(2)/25))/(LN(2)/25)*Calculateur!V194*Calculateur!X194*VLOOKUP('Données projet'!$B$9,Paramètres!$A$1:$I$89,3,0)*0.475*44/12</f>
        <v>0.14904562037312921</v>
      </c>
      <c r="AB194" s="23">
        <f>EXP(-LN(2)/2)*AB193+(1-EXP(-LN(2)/2))/(LN(2)/2)*V194*Y194*VLOOKUP('Données projet'!$B$9,Paramètres!$A$1:$I$89,3,0)*0.475*44/12</f>
        <v>1.9698182836074668E-24</v>
      </c>
      <c r="AC194" s="24">
        <f t="shared" si="163"/>
        <v>0.98223678946044612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-5.6843418860808015E-13</v>
      </c>
      <c r="AJ194" s="14">
        <f>AI194*VLOOKUP('Données projet'!$B$10,Paramètres!$A$1:$I$89,3,0)*VLOOKUP('Données projet'!$B$10,Paramètres!$A$1:$I$89,5,0)</f>
        <v>-2.8080648917239157E-13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476.32595424393645</v>
      </c>
      <c r="AO194" s="62">
        <f t="shared" si="144"/>
        <v>36.065940605453875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-2.2737367544323206E-13</v>
      </c>
      <c r="BE194" s="14">
        <f>BD194*VLOOKUP('Données projet'!$B$11,Paramètres!$A$1:$I$89,3,0)*VLOOKUP('Données projet'!$B$11,Paramètres!$A$1:$I$89,5,0)</f>
        <v>-1.8089849618263545E-13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225.02590532358471</v>
      </c>
      <c r="BJ194" s="62">
        <f t="shared" si="146"/>
        <v>224.00025638752402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0.10763854074283143</v>
      </c>
      <c r="BQ194" s="23">
        <f>EXP(-LN(2)/25)*BQ193+(1-EXP(-LN(2)/25))/(LN(2)/25)*Calculateur!BL194*Calculateur!BN194*VLOOKUP('Données projet'!$B$11,Paramètres!$A$1:$I$89,3,0)*0.475*44/12</f>
        <v>0.10478476787321671</v>
      </c>
      <c r="BR194" s="23">
        <f>EXP(-LN(2)/2)*BR193+(1-EXP(-LN(2)/2))/(LN(2)/2)*BL194*BO194*VLOOKUP('Données projet'!$B$11,Paramètres!$A$1:$I$89,3,0)*0.475*44/12</f>
        <v>9.0240930552552806E-24</v>
      </c>
      <c r="BS194" s="24">
        <f t="shared" si="169"/>
        <v>0.21242330861604813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projet'!$B$9,Paramètres!$A$1:$I$89,3,0)*VLOOKUP('Données projet'!$B$9,Paramètres!$A$1:$I$89,5,0)</f>
        <v>-1.2710188457276673E-13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395.89088353191511</v>
      </c>
      <c r="T195" s="62">
        <f t="shared" si="142"/>
        <v>322.63468857063492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0.81685279845794756</v>
      </c>
      <c r="AA195" s="23">
        <f>EXP(-LN(2)/25)*AA194+(1-EXP(-LN(2)/25))/(LN(2)/25)*Calculateur!V195*Calculateur!X195*VLOOKUP('Données projet'!$B$9,Paramètres!$A$1:$I$89,3,0)*0.475*44/12</f>
        <v>0.14496996004605747</v>
      </c>
      <c r="AB195" s="23">
        <f>EXP(-LN(2)/2)*AB194+(1-EXP(-LN(2)/2))/(LN(2)/2)*V195*Y195*VLOOKUP('Données projet'!$B$9,Paramètres!$A$1:$I$89,3,0)*0.475*44/12</f>
        <v>1.3928718660440857E-24</v>
      </c>
      <c r="AC195" s="24">
        <f t="shared" si="163"/>
        <v>0.961822758504005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-5.6843418860808015E-13</v>
      </c>
      <c r="AJ195" s="14">
        <f>AI195*VLOOKUP('Données projet'!$B$10,Paramètres!$A$1:$I$89,3,0)*VLOOKUP('Données projet'!$B$10,Paramètres!$A$1:$I$89,5,0)</f>
        <v>-2.8080648917239157E-13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476.32595424393645</v>
      </c>
      <c r="AO195" s="62">
        <f t="shared" si="144"/>
        <v>36.065940605453875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-2.2737367544323206E-13</v>
      </c>
      <c r="BE195" s="14">
        <f>BD195*VLOOKUP('Données projet'!$B$11,Paramètres!$A$1:$I$89,3,0)*VLOOKUP('Données projet'!$B$11,Paramètres!$A$1:$I$89,5,0)</f>
        <v>-1.8089849618263545E-13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225.02590532358471</v>
      </c>
      <c r="BJ195" s="62">
        <f t="shared" si="146"/>
        <v>224.00025638752402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0.10552781461189166</v>
      </c>
      <c r="BQ195" s="23">
        <f>EXP(-LN(2)/25)*BQ194+(1-EXP(-LN(2)/25))/(LN(2)/25)*Calculateur!BL195*Calculateur!BN195*VLOOKUP('Données projet'!$B$11,Paramètres!$A$1:$I$89,3,0)*0.475*44/12</f>
        <v>0.10191942288533215</v>
      </c>
      <c r="BR195" s="23">
        <f>EXP(-LN(2)/2)*BR194+(1-EXP(-LN(2)/2))/(LN(2)/2)*BL195*BO195*VLOOKUP('Données projet'!$B$11,Paramètres!$A$1:$I$89,3,0)*0.475*44/12</f>
        <v>6.3809973934294389E-24</v>
      </c>
      <c r="BS195" s="24">
        <f t="shared" si="169"/>
        <v>0.20744723749722382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projet'!$B$9,Paramètres!$A$1:$I$89,3,0)*VLOOKUP('Données projet'!$B$9,Paramètres!$A$1:$I$89,5,0)</f>
        <v>-1.2710188457276673E-13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395.89088353191511</v>
      </c>
      <c r="T196" s="62">
        <f t="shared" si="142"/>
        <v>322.63468857063492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0.80083481331119799</v>
      </c>
      <c r="AA196" s="23">
        <f>EXP(-LN(2)/25)*AA195+(1-EXP(-LN(2)/25))/(LN(2)/25)*Calculateur!V196*Calculateur!X196*VLOOKUP('Données projet'!$B$9,Paramètres!$A$1:$I$89,3,0)*0.475*44/12</f>
        <v>0.14100574886495917</v>
      </c>
      <c r="AB196" s="23">
        <f>EXP(-LN(2)/2)*AB195+(1-EXP(-LN(2)/2))/(LN(2)/2)*V196*Y196*VLOOKUP('Données projet'!$B$9,Paramètres!$A$1:$I$89,3,0)*0.475*44/12</f>
        <v>9.8490914180373341E-25</v>
      </c>
      <c r="AC196" s="24">
        <f t="shared" si="163"/>
        <v>0.94184056217615719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-5.6843418860808015E-13</v>
      </c>
      <c r="AJ196" s="14">
        <f>AI196*VLOOKUP('Données projet'!$B$10,Paramètres!$A$1:$I$89,3,0)*VLOOKUP('Données projet'!$B$10,Paramètres!$A$1:$I$89,5,0)</f>
        <v>-2.8080648917239157E-13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476.32595424393645</v>
      </c>
      <c r="AO196" s="62">
        <f t="shared" si="144"/>
        <v>36.065940605453875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-2.2737367544323206E-13</v>
      </c>
      <c r="BE196" s="14">
        <f>BD196*VLOOKUP('Données projet'!$B$11,Paramètres!$A$1:$I$89,3,0)*VLOOKUP('Données projet'!$B$11,Paramètres!$A$1:$I$89,5,0)</f>
        <v>-1.8089849618263545E-13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225.02590532358471</v>
      </c>
      <c r="BJ196" s="62">
        <f t="shared" si="146"/>
        <v>224.00025638752402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0.1034584785329638</v>
      </c>
      <c r="BQ196" s="23">
        <f>EXP(-LN(2)/25)*BQ195+(1-EXP(-LN(2)/25))/(LN(2)/25)*Calculateur!BL196*Calculateur!BN196*VLOOKUP('Données projet'!$B$11,Paramètres!$A$1:$I$89,3,0)*0.475*44/12</f>
        <v>9.9132430906823235E-2</v>
      </c>
      <c r="BR196" s="23">
        <f>EXP(-LN(2)/2)*BR195+(1-EXP(-LN(2)/2))/(LN(2)/2)*BL196*BO196*VLOOKUP('Données projet'!$B$11,Paramètres!$A$1:$I$89,3,0)*0.475*44/12</f>
        <v>4.5120465276276403E-24</v>
      </c>
      <c r="BS196" s="24">
        <f t="shared" si="169"/>
        <v>0.20259090943978703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projet'!$B$9,Paramètres!$A$1:$I$89,3,0)*VLOOKUP('Données projet'!$B$9,Paramètres!$A$1:$I$89,5,0)</f>
        <v>-1.2710188457276673E-13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395.89088353191511</v>
      </c>
      <c r="T197" s="62">
        <f t="shared" ref="T197:T203" si="204">$T$3</f>
        <v>322.63468857063492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0.78513093108317</v>
      </c>
      <c r="AA197" s="23">
        <f>EXP(-LN(2)/25)*AA196+(1-EXP(-LN(2)/25))/(LN(2)/25)*Calculateur!V197*Calculateur!X197*VLOOKUP('Données projet'!$B$9,Paramètres!$A$1:$I$89,3,0)*0.475*44/12</f>
        <v>0.1371499392470768</v>
      </c>
      <c r="AB197" s="23">
        <f>EXP(-LN(2)/2)*AB196+(1-EXP(-LN(2)/2))/(LN(2)/2)*V197*Y197*VLOOKUP('Données projet'!$B$9,Paramètres!$A$1:$I$89,3,0)*0.475*44/12</f>
        <v>6.9643593302204284E-25</v>
      </c>
      <c r="AC197" s="24">
        <f t="shared" si="163"/>
        <v>0.92228087033024675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-5.6843418860808015E-13</v>
      </c>
      <c r="AJ197" s="14">
        <f>AI197*VLOOKUP('Données projet'!$B$10,Paramètres!$A$1:$I$89,3,0)*VLOOKUP('Données projet'!$B$10,Paramètres!$A$1:$I$89,5,0)</f>
        <v>-2.8080648917239157E-13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476.32595424393645</v>
      </c>
      <c r="AO197" s="62">
        <f t="shared" ref="AO197:AO203" si="205">$AO$3</f>
        <v>36.065940605453875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-2.2737367544323206E-13</v>
      </c>
      <c r="BE197" s="14">
        <f>BD197*VLOOKUP('Données projet'!$B$11,Paramètres!$A$1:$I$89,3,0)*VLOOKUP('Données projet'!$B$11,Paramètres!$A$1:$I$89,5,0)</f>
        <v>-1.8089849618263545E-13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225.02590532358471</v>
      </c>
      <c r="BJ197" s="62">
        <f t="shared" ref="BJ197:BJ203" si="206">$BJ$3</f>
        <v>224.00025638752402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0.10142972087237334</v>
      </c>
      <c r="BQ197" s="23">
        <f>EXP(-LN(2)/25)*BQ196+(1-EXP(-LN(2)/25))/(LN(2)/25)*Calculateur!BL197*Calculateur!BN197*VLOOKUP('Données projet'!$B$11,Paramètres!$A$1:$I$89,3,0)*0.475*44/12</f>
        <v>9.6421649370528176E-2</v>
      </c>
      <c r="BR197" s="23">
        <f>EXP(-LN(2)/2)*BR196+(1-EXP(-LN(2)/2))/(LN(2)/2)*BL197*BO197*VLOOKUP('Données projet'!$B$11,Paramètres!$A$1:$I$89,3,0)*0.475*44/12</f>
        <v>3.1904986967147194E-24</v>
      </c>
      <c r="BS197" s="24">
        <f t="shared" si="169"/>
        <v>0.1978513702429015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projet'!$B$9,Paramètres!$A$1:$I$89,3,0)*VLOOKUP('Données projet'!$B$9,Paramètres!$A$1:$I$89,5,0)</f>
        <v>-1.2710188457276673E-13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395.89088353191511</v>
      </c>
      <c r="T198" s="62">
        <f t="shared" si="204"/>
        <v>322.63468857063492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0.76973499240721133</v>
      </c>
      <c r="AA198" s="23">
        <f>EXP(-LN(2)/25)*AA197+(1-EXP(-LN(2)/25))/(LN(2)/25)*Calculateur!V198*Calculateur!X198*VLOOKUP('Données projet'!$B$9,Paramètres!$A$1:$I$89,3,0)*0.475*44/12</f>
        <v>0.13339956694596364</v>
      </c>
      <c r="AB198" s="23">
        <f>EXP(-LN(2)/2)*AB197+(1-EXP(-LN(2)/2))/(LN(2)/2)*V198*Y198*VLOOKUP('Données projet'!$B$9,Paramètres!$A$1:$I$89,3,0)*0.475*44/12</f>
        <v>4.9245457090186671E-25</v>
      </c>
      <c r="AC198" s="24">
        <f t="shared" si="163"/>
        <v>0.90313455935317499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-5.6843418860808015E-13</v>
      </c>
      <c r="AJ198" s="14">
        <f>AI198*VLOOKUP('Données projet'!$B$10,Paramètres!$A$1:$I$89,3,0)*VLOOKUP('Données projet'!$B$10,Paramètres!$A$1:$I$89,5,0)</f>
        <v>-2.8080648917239157E-13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476.32595424393645</v>
      </c>
      <c r="AO198" s="62">
        <f t="shared" si="205"/>
        <v>36.065940605453875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-2.2737367544323206E-13</v>
      </c>
      <c r="BE198" s="14">
        <f>BD198*VLOOKUP('Données projet'!$B$11,Paramètres!$A$1:$I$89,3,0)*VLOOKUP('Données projet'!$B$11,Paramètres!$A$1:$I$89,5,0)</f>
        <v>-1.8089849618263545E-13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225.02590532358471</v>
      </c>
      <c r="BJ198" s="62">
        <f t="shared" si="206"/>
        <v>224.00025638752402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9.944074591208707E-2</v>
      </c>
      <c r="BQ198" s="23">
        <f>EXP(-LN(2)/25)*BQ197+(1-EXP(-LN(2)/25))/(LN(2)/25)*Calculateur!BL198*Calculateur!BN198*VLOOKUP('Données projet'!$B$11,Paramètres!$A$1:$I$89,3,0)*0.475*44/12</f>
        <v>9.3784994297896912E-2</v>
      </c>
      <c r="BR198" s="23">
        <f>EXP(-LN(2)/2)*BR197+(1-EXP(-LN(2)/2))/(LN(2)/2)*BL198*BO198*VLOOKUP('Données projet'!$B$11,Paramètres!$A$1:$I$89,3,0)*0.475*44/12</f>
        <v>2.2560232638138201E-24</v>
      </c>
      <c r="BS198" s="24">
        <f t="shared" si="169"/>
        <v>0.19322574020998398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projet'!$B$9,Paramètres!$A$1:$I$89,3,0)*VLOOKUP('Données projet'!$B$9,Paramètres!$A$1:$I$89,5,0)</f>
        <v>-1.2710188457276673E-13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395.89088353191511</v>
      </c>
      <c r="T199" s="62">
        <f t="shared" si="204"/>
        <v>322.63468857063492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0.75464095869809278</v>
      </c>
      <c r="AA199" s="23">
        <f>EXP(-LN(2)/25)*AA198+(1-EXP(-LN(2)/25))/(LN(2)/25)*Calculateur!V199*Calculateur!X199*VLOOKUP('Données projet'!$B$9,Paramètres!$A$1:$I$89,3,0)*0.475*44/12</f>
        <v>0.12975174877264792</v>
      </c>
      <c r="AB199" s="23">
        <f>EXP(-LN(2)/2)*AB198+(1-EXP(-LN(2)/2))/(LN(2)/2)*V199*Y199*VLOOKUP('Données projet'!$B$9,Paramètres!$A$1:$I$89,3,0)*0.475*44/12</f>
        <v>3.4821796651102142E-25</v>
      </c>
      <c r="AC199" s="24">
        <f t="shared" si="163"/>
        <v>0.88439270747074072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-5.6843418860808015E-13</v>
      </c>
      <c r="AJ199" s="14">
        <f>AI199*VLOOKUP('Données projet'!$B$10,Paramètres!$A$1:$I$89,3,0)*VLOOKUP('Données projet'!$B$10,Paramètres!$A$1:$I$89,5,0)</f>
        <v>-2.8080648917239157E-13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476.32595424393645</v>
      </c>
      <c r="AO199" s="62">
        <f t="shared" si="205"/>
        <v>36.065940605453875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-2.2737367544323206E-13</v>
      </c>
      <c r="BE199" s="14">
        <f>BD199*VLOOKUP('Données projet'!$B$11,Paramètres!$A$1:$I$89,3,0)*VLOOKUP('Données projet'!$B$11,Paramètres!$A$1:$I$89,5,0)</f>
        <v>-1.8089849618263545E-13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225.02590532358471</v>
      </c>
      <c r="BJ199" s="62">
        <f t="shared" si="206"/>
        <v>224.00025638752402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9.7490773537617079E-2</v>
      </c>
      <c r="BQ199" s="23">
        <f>EXP(-LN(2)/25)*BQ198+(1-EXP(-LN(2)/25))/(LN(2)/25)*Calculateur!BL199*Calculateur!BN199*VLOOKUP('Données projet'!$B$11,Paramètres!$A$1:$I$89,3,0)*0.475*44/12</f>
        <v>9.1220438696882414E-2</v>
      </c>
      <c r="BR199" s="23">
        <f>EXP(-LN(2)/2)*BR198+(1-EXP(-LN(2)/2))/(LN(2)/2)*BL199*BO199*VLOOKUP('Données projet'!$B$11,Paramètres!$A$1:$I$89,3,0)*0.475*44/12</f>
        <v>1.5952493483573597E-24</v>
      </c>
      <c r="BS199" s="24">
        <f t="shared" si="169"/>
        <v>0.18871121223449949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projet'!$B$9,Paramètres!$A$1:$I$89,3,0)*VLOOKUP('Données projet'!$B$9,Paramètres!$A$1:$I$89,5,0)</f>
        <v>-1.2710188457276673E-13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395.89088353191511</v>
      </c>
      <c r="T200" s="62">
        <f t="shared" si="204"/>
        <v>322.63468857063492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0.7398429097835586</v>
      </c>
      <c r="AA200" s="23">
        <f>EXP(-LN(2)/25)*AA199+(1-EXP(-LN(2)/25))/(LN(2)/25)*Calculateur!V200*Calculateur!X200*VLOOKUP('Données projet'!$B$9,Paramètres!$A$1:$I$89,3,0)*0.475*44/12</f>
        <v>0.12620368037911195</v>
      </c>
      <c r="AB200" s="23">
        <f>EXP(-LN(2)/2)*AB199+(1-EXP(-LN(2)/2))/(LN(2)/2)*V200*Y200*VLOOKUP('Données projet'!$B$9,Paramètres!$A$1:$I$89,3,0)*0.475*44/12</f>
        <v>2.4622728545093335E-25</v>
      </c>
      <c r="AC200" s="24">
        <f t="shared" si="163"/>
        <v>0.8660465901626706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-5.6843418860808015E-13</v>
      </c>
      <c r="AJ200" s="14">
        <f>AI200*VLOOKUP('Données projet'!$B$10,Paramètres!$A$1:$I$89,3,0)*VLOOKUP('Données projet'!$B$10,Paramètres!$A$1:$I$89,5,0)</f>
        <v>-2.8080648917239157E-13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476.32595424393645</v>
      </c>
      <c r="AO200" s="62">
        <f t="shared" si="205"/>
        <v>36.065940605453875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-2.2737367544323206E-13</v>
      </c>
      <c r="BE200" s="14">
        <f>BD200*VLOOKUP('Données projet'!$B$11,Paramètres!$A$1:$I$89,3,0)*VLOOKUP('Données projet'!$B$11,Paramètres!$A$1:$I$89,5,0)</f>
        <v>-1.8089849618263545E-13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225.02590532358471</v>
      </c>
      <c r="BJ200" s="62">
        <f t="shared" si="206"/>
        <v>224.00025638752402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9.5579038932044738E-2</v>
      </c>
      <c r="BQ200" s="23">
        <f>EXP(-LN(2)/25)*BQ199+(1-EXP(-LN(2)/25))/(LN(2)/25)*Calculateur!BL200*Calculateur!BN200*VLOOKUP('Données projet'!$B$11,Paramètres!$A$1:$I$89,3,0)*0.475*44/12</f>
        <v>8.8726011003641775E-2</v>
      </c>
      <c r="BR200" s="23">
        <f>EXP(-LN(2)/2)*BR199+(1-EXP(-LN(2)/2))/(LN(2)/2)*BL200*BO200*VLOOKUP('Données projet'!$B$11,Paramètres!$A$1:$I$89,3,0)*0.475*44/12</f>
        <v>1.1280116319069101E-24</v>
      </c>
      <c r="BS200" s="24">
        <f t="shared" si="169"/>
        <v>0.18430504993568653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projet'!$B$9,Paramètres!$A$1:$I$89,3,0)*VLOOKUP('Données projet'!$B$9,Paramètres!$A$1:$I$89,5,0)</f>
        <v>-1.2710188457276673E-13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395.89088353191511</v>
      </c>
      <c r="T201" s="62">
        <f t="shared" si="204"/>
        <v>322.63468857063492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0.72533504158231976</v>
      </c>
      <c r="AA201" s="23">
        <f>EXP(-LN(2)/25)*AA200+(1-EXP(-LN(2)/25))/(LN(2)/25)*Calculateur!V201*Calculateur!X201*VLOOKUP('Données projet'!$B$9,Paramètres!$A$1:$I$89,3,0)*0.475*44/12</f>
        <v>0.12275263410238202</v>
      </c>
      <c r="AB201" s="23">
        <f>EXP(-LN(2)/2)*AB200+(1-EXP(-LN(2)/2))/(LN(2)/2)*V201*Y201*VLOOKUP('Données projet'!$B$9,Paramètres!$A$1:$I$89,3,0)*0.475*44/12</f>
        <v>1.7410898325551071E-25</v>
      </c>
      <c r="AC201" s="24">
        <f t="shared" si="163"/>
        <v>0.84808767568470178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-5.6843418860808015E-13</v>
      </c>
      <c r="AJ201" s="14">
        <f>AI201*VLOOKUP('Données projet'!$B$10,Paramètres!$A$1:$I$89,3,0)*VLOOKUP('Données projet'!$B$10,Paramètres!$A$1:$I$89,5,0)</f>
        <v>-2.8080648917239157E-13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476.32595424393645</v>
      </c>
      <c r="AO201" s="62">
        <f t="shared" si="205"/>
        <v>36.065940605453875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-2.2737367544323206E-13</v>
      </c>
      <c r="BE201" s="14">
        <f>BD201*VLOOKUP('Données projet'!$B$11,Paramètres!$A$1:$I$89,3,0)*VLOOKUP('Données projet'!$B$11,Paramètres!$A$1:$I$89,5,0)</f>
        <v>-1.8089849618263545E-13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225.02590532358471</v>
      </c>
      <c r="BJ201" s="62">
        <f t="shared" si="206"/>
        <v>224.00025638752402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9.3704792276044696E-2</v>
      </c>
      <c r="BQ201" s="23">
        <f>EXP(-LN(2)/25)*BQ200+(1-EXP(-LN(2)/25))/(LN(2)/25)*Calculateur!BL201*Calculateur!BN201*VLOOKUP('Données projet'!$B$11,Paramètres!$A$1:$I$89,3,0)*0.475*44/12</f>
        <v>8.6299793566849053E-2</v>
      </c>
      <c r="BR201" s="23">
        <f>EXP(-LN(2)/2)*BR200+(1-EXP(-LN(2)/2))/(LN(2)/2)*BL201*BO201*VLOOKUP('Données projet'!$B$11,Paramètres!$A$1:$I$89,3,0)*0.475*44/12</f>
        <v>7.9762467417867986E-25</v>
      </c>
      <c r="BS201" s="24">
        <f t="shared" si="169"/>
        <v>0.18000458584289375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projet'!$B$9,Paramètres!$A$1:$I$89,3,0)*VLOOKUP('Données projet'!$B$9,Paramètres!$A$1:$I$89,5,0)</f>
        <v>-1.2710188457276673E-13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395.89088353191511</v>
      </c>
      <c r="T202" s="62">
        <f t="shared" si="204"/>
        <v>322.63468857063492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0.7111116638275814</v>
      </c>
      <c r="AA202" s="23">
        <f>EXP(-LN(2)/25)*AA201+(1-EXP(-LN(2)/25))/(LN(2)/25)*Calculateur!V202*Calculateur!X202*VLOOKUP('Données projet'!$B$9,Paramètres!$A$1:$I$89,3,0)*0.475*44/12</f>
        <v>0.11939595686757191</v>
      </c>
      <c r="AB202" s="23">
        <f>EXP(-LN(2)/2)*AB201+(1-EXP(-LN(2)/2))/(LN(2)/2)*V202*Y202*VLOOKUP('Données projet'!$B$9,Paramètres!$A$1:$I$89,3,0)*0.475*44/12</f>
        <v>1.2311364272546668E-25</v>
      </c>
      <c r="AC202" s="24">
        <f t="shared" si="163"/>
        <v>0.83050762069515327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-5.6843418860808015E-13</v>
      </c>
      <c r="AJ202" s="14">
        <f>AI202*VLOOKUP('Données projet'!$B$10,Paramètres!$A$1:$I$89,3,0)*VLOOKUP('Données projet'!$B$10,Paramètres!$A$1:$I$89,5,0)</f>
        <v>-2.8080648917239157E-13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476.32595424393645</v>
      </c>
      <c r="AO202" s="62">
        <f t="shared" si="205"/>
        <v>36.065940605453875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-2.2737367544323206E-13</v>
      </c>
      <c r="BE202" s="14">
        <f>BD202*VLOOKUP('Données projet'!$B$11,Paramètres!$A$1:$I$89,3,0)*VLOOKUP('Données projet'!$B$11,Paramètres!$A$1:$I$89,5,0)</f>
        <v>-1.8089849618263545E-13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225.02590532358471</v>
      </c>
      <c r="BJ202" s="62">
        <f t="shared" si="206"/>
        <v>224.00025638752402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9.1867298453791227E-2</v>
      </c>
      <c r="BQ202" s="23">
        <f>EXP(-LN(2)/25)*BQ201+(1-EXP(-LN(2)/25))/(LN(2)/25)*Calculateur!BL202*Calculateur!BN202*VLOOKUP('Données projet'!$B$11,Paramètres!$A$1:$I$89,3,0)*0.475*44/12</f>
        <v>8.3939921173454668E-2</v>
      </c>
      <c r="BR202" s="23">
        <f>EXP(-LN(2)/2)*BR201+(1-EXP(-LN(2)/2))/(LN(2)/2)*BL202*BO202*VLOOKUP('Données projet'!$B$11,Paramètres!$A$1:$I$89,3,0)*0.475*44/12</f>
        <v>5.6400581595345504E-25</v>
      </c>
      <c r="BS202" s="24">
        <f t="shared" si="169"/>
        <v>0.17580721962724588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projet'!$B$9,Paramètres!$A$1:$I$89,3,0)*VLOOKUP('Données projet'!$B$9,Paramètres!$A$1:$I$89,5,0)</f>
        <v>-1.2710188457276673E-13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395.89088353191511</v>
      </c>
      <c r="T203" s="62">
        <f t="shared" si="204"/>
        <v>322.63468857063492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0.69716719783520964</v>
      </c>
      <c r="AA203" s="23">
        <f>EXP(-LN(2)/25)*AA202+(1-EXP(-LN(2)/25))/(LN(2)/25)*Calculateur!V203*Calculateur!X203*VLOOKUP('Données projet'!$B$9,Paramètres!$A$1:$I$89,3,0)*0.475*44/12</f>
        <v>0.11613106814826767</v>
      </c>
      <c r="AB203" s="23">
        <f>EXP(-LN(2)/2)*AB202+(1-EXP(-LN(2)/2))/(LN(2)/2)*V203*Y203*VLOOKUP('Données projet'!$B$9,Paramètres!$A$1:$I$89,3,0)*0.475*44/12</f>
        <v>8.7054491627755355E-26</v>
      </c>
      <c r="AC203" s="24">
        <f t="shared" si="163"/>
        <v>0.81329826598347732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-5.6843418860808015E-13</v>
      </c>
      <c r="AJ203" s="14">
        <f>AI203*VLOOKUP('Données projet'!$B$10,Paramètres!$A$1:$I$89,3,0)*VLOOKUP('Données projet'!$B$10,Paramètres!$A$1:$I$89,5,0)</f>
        <v>-2.8080648917239157E-13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476.32595424393645</v>
      </c>
      <c r="AO203" s="62">
        <f t="shared" si="205"/>
        <v>36.065940605453875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-2.2737367544323206E-13</v>
      </c>
      <c r="BE203" s="14">
        <f>BD203*VLOOKUP('Données projet'!$B$11,Paramètres!$A$1:$I$89,3,0)*VLOOKUP('Données projet'!$B$11,Paramètres!$A$1:$I$89,5,0)</f>
        <v>-1.8089849618263545E-13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225.02590532358471</v>
      </c>
      <c r="BJ203" s="62">
        <f t="shared" si="206"/>
        <v>224.00025638752402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9.006583676463159E-2</v>
      </c>
      <c r="BQ203" s="23">
        <f>EXP(-LN(2)/25)*BQ202+(1-EXP(-LN(2)/25))/(LN(2)/25)*Calculateur!BL203*Calculateur!BN203*VLOOKUP('Données projet'!$B$11,Paramètres!$A$1:$I$89,3,0)*0.475*44/12</f>
        <v>8.1644579614757948E-2</v>
      </c>
      <c r="BR203" s="23">
        <f>EXP(-LN(2)/2)*BR202+(1-EXP(-LN(2)/2))/(LN(2)/2)*BL203*BO203*VLOOKUP('Données projet'!$B$11,Paramètres!$A$1:$I$89,3,0)*0.475*44/12</f>
        <v>3.9881233708933993E-25</v>
      </c>
      <c r="BS203" s="24">
        <f t="shared" si="169"/>
        <v>0.17171041637938955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1.3399403191028385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1.147391358270613</v>
      </c>
      <c r="BA205" s="88">
        <f>EXP(LN('Données projet'!B88)/'Données projet'!A88)</f>
        <v>1.2721747796233518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L36" sqref="L3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1.7097599999999999</v>
      </c>
      <c r="C6" s="156">
        <f ca="1">IF(OR('Données projet'!B9="",'Données projet'!C9="",'Données projet'!C9=0%),0,Calculateur!S3)</f>
        <v>395.89088353191511</v>
      </c>
      <c r="D6" s="156">
        <f>IF(OR('Données projet'!B9="",'Données projet'!C9="",'Données projet'!C9=0%),0,Calculateur!T3)</f>
        <v>322.63468857063492</v>
      </c>
      <c r="E6" s="156">
        <f ca="1">MIN(C6,D6)</f>
        <v>322.63468857063492</v>
      </c>
      <c r="F6" s="156">
        <f ca="1">E6*B6</f>
        <v>551.62788513052874</v>
      </c>
      <c r="G6" s="156">
        <f ca="1">F6*(100%-'Données projet'!$C$24)*(100%-'Données projet'!$C$25)*(100%-'Données projet'!$C$26)*(100%-'Données projet'!$C$27)</f>
        <v>446.81858695572828</v>
      </c>
      <c r="H6" s="157">
        <f>IF(OR('Données projet'!B9="",'Données projet'!C9="",'Données projet'!C9=0%),0,AVERAGE(Calculateur!$AC$3:$AC$33)*B6)</f>
        <v>18.21340681798576</v>
      </c>
      <c r="I6" s="158">
        <f>H6*(100%-'Données projet'!$C$24)*(100%-'Données projet'!$C$25)*(100%-'Données projet'!$C$26)*(100%-'Données projet'!$C$27)</f>
        <v>14.752859522568468</v>
      </c>
      <c r="J6" s="159">
        <f>IF(OR('Données projet'!B9="",'Données projet'!C9="",'Données projet'!C9=0%),0,SUM(Calculateur!$V$3:$V$33)*VLOOKUP('Données projet'!$B$9,Paramètres!$A$1:$I$89,9,0)*B6)</f>
        <v>93.369993600000001</v>
      </c>
      <c r="K6" s="160">
        <f>J6*(100%-'Données projet'!$C$24)*(100%-'Données projet'!$C$25)*(100%-'Données projet'!$C$26)*(100%-'Données projet'!$C$27)</f>
        <v>75.629694816000011</v>
      </c>
      <c r="L6" s="161">
        <f ca="1">G6+I6+K6</f>
        <v>537.2011412942968</v>
      </c>
      <c r="M6" s="25">
        <f ca="1">L6/B6</f>
        <v>314.19681200536729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Sapin pectiné</v>
      </c>
      <c r="B7" s="163">
        <f>'Données projet'!D10</f>
        <v>2.0798700000000001</v>
      </c>
      <c r="C7" s="156">
        <f ca="1">IF(OR('Données projet'!B10="",'Données projet'!C10="",'Données projet'!C10=0%),0,Calculateur!AN3)</f>
        <v>476.32595424393645</v>
      </c>
      <c r="D7" s="156">
        <f>IF(OR('Données projet'!B10="",'Données projet'!C10="",'Données projet'!C10=0%),0,Calculateur!AO3)</f>
        <v>36.065940605453875</v>
      </c>
      <c r="E7" s="156">
        <f t="shared" ref="E7:E15" ca="1" si="0">MIN(C7,D7)</f>
        <v>36.065940605453875</v>
      </c>
      <c r="F7" s="156">
        <f t="shared" ref="F7:F15" ca="1" si="1">E7*B7</f>
        <v>75.012467887065355</v>
      </c>
      <c r="G7" s="156">
        <f ca="1">F7*(100%-'Données projet'!$C$24)*(100%-'Données projet'!$C$25)*(100%-'Données projet'!$C$26)*(100%-'Données projet'!$C$27)</f>
        <v>60.760098988522934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60.760098988522934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Erable sycomore</v>
      </c>
      <c r="B8" s="163">
        <f>'Données projet'!D11</f>
        <v>0.10997999999999999</v>
      </c>
      <c r="C8" s="156">
        <f ca="1">IF(OR('Données projet'!B11="",'Données projet'!C11="",'Données projet'!C11=0%),0,Calculateur!BI3)</f>
        <v>225.02590532358471</v>
      </c>
      <c r="D8" s="156">
        <f>IF(OR('Données projet'!B11="",'Données projet'!C11="",'Données projet'!C11=0%),0,Calculateur!BJ3)</f>
        <v>224.00025638752402</v>
      </c>
      <c r="E8" s="156">
        <f t="shared" ca="1" si="0"/>
        <v>224.00025638752402</v>
      </c>
      <c r="F8" s="156">
        <f t="shared" ca="1" si="1"/>
        <v>24.63554819749989</v>
      </c>
      <c r="G8" s="156">
        <f ca="1">F8*(100%-'Données projet'!$C$24)*(100%-'Données projet'!$C$25)*(100%-'Données projet'!$C$26)*(100%-'Données projet'!$C$27)</f>
        <v>19.954794039974914</v>
      </c>
      <c r="H8" s="164">
        <f>IF(OR('Données projet'!B11="",'Données projet'!C11="",'Données projet'!C11=0%),0,AVERAGE(Calculateur!$BS$3:$BS$33)*B8)</f>
        <v>0.72399400532467306</v>
      </c>
      <c r="I8" s="158">
        <f>H8*(100%-'Données projet'!$C$24)*(100%-'Données projet'!$C$25)*(100%-'Données projet'!$C$26)*(100%-'Données projet'!$C$27)</f>
        <v>0.58643514431298516</v>
      </c>
      <c r="J8" s="159">
        <f>IF(OR('Données projet'!B11="",'Données projet'!C11="",'Données projet'!C11=0%),0,SUM(Calculateur!$BL$3:$BL$33)*VLOOKUP('Données projet'!$B$11,Paramètres!$A$1:$I$89,9,0)*B8)</f>
        <v>2.7220049999999998</v>
      </c>
      <c r="K8" s="160">
        <f>J8*(100%-'Données projet'!$C$24)*(100%-'Données projet'!$C$25)*(100%-'Données projet'!$C$26)*(100%-'Données projet'!$C$27)</f>
        <v>2.20482405</v>
      </c>
      <c r="L8" s="161">
        <f t="shared" ca="1" si="2"/>
        <v>22.746053234287899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651.275901215094</v>
      </c>
      <c r="G16" s="175">
        <f t="shared" ca="1" si="3"/>
        <v>527.53347998422612</v>
      </c>
      <c r="H16" s="176">
        <f t="shared" si="3"/>
        <v>18.937400823310433</v>
      </c>
      <c r="I16" s="176">
        <f t="shared" si="3"/>
        <v>15.339294666881452</v>
      </c>
      <c r="J16" s="177">
        <f t="shared" si="3"/>
        <v>96.091998599999997</v>
      </c>
      <c r="K16" s="177">
        <f t="shared" si="3"/>
        <v>77.83451886600001</v>
      </c>
      <c r="L16" s="178">
        <f t="shared" ca="1" si="3"/>
        <v>620.7072935171077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Sapin pectiné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Erable sycomore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5" zoomScale="90" zoomScaleNormal="90" workbookViewId="0">
      <selection activeCell="I22" sqref="I2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3068.0732832751037</v>
      </c>
      <c r="U10" s="190">
        <f>'Données projet'!D9</f>
        <v>1.7097599999999999</v>
      </c>
      <c r="V10" s="189">
        <f>U10*T10</f>
        <v>5245.6689768124415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Sapin pectiné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1852.5920327679362</v>
      </c>
      <c r="U11" s="190">
        <f>'Données projet'!D10</f>
        <v>2.0798700000000001</v>
      </c>
      <c r="V11" s="189">
        <f t="shared" ref="V11" si="0">U11*T11</f>
        <v>3853.1505911930476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Erable sycomore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699.10525966685691</v>
      </c>
      <c r="U12" s="190">
        <f>'Données projet'!D11</f>
        <v>0.10997999999999999</v>
      </c>
      <c r="V12" s="189">
        <f t="shared" ref="V12:V19" si="1">U12*T12</f>
        <v>76.887596458160914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>
        <v>60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60.000000000000085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>
        <v>35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2100.0000000000032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v>4168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1173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665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11</v>
      </c>
      <c r="B23" s="193">
        <f>'Données projet'!D36</f>
        <v>7</v>
      </c>
      <c r="C23" s="206"/>
      <c r="D23" s="194">
        <f>B23*C23</f>
        <v>0</v>
      </c>
      <c r="E23" s="206"/>
      <c r="F23" s="261"/>
      <c r="H23" s="203"/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-13832.141813352795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48</v>
      </c>
      <c r="C24" s="292">
        <v>15</v>
      </c>
      <c r="D24" s="194">
        <f t="shared" ref="D24:D42" si="2">B24*C24</f>
        <v>720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583.85697781926024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27</v>
      </c>
      <c r="B25" s="193">
        <f>'Données projet'!D38</f>
        <v>72</v>
      </c>
      <c r="C25" s="292">
        <v>20</v>
      </c>
      <c r="D25" s="194">
        <f t="shared" si="2"/>
        <v>1440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7">
        <f ca="1">T23-T24</f>
        <v>-14415.998791172055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38</v>
      </c>
      <c r="B26" s="193">
        <f>'Données projet'!D39</f>
        <v>90</v>
      </c>
      <c r="C26" s="292">
        <v>28</v>
      </c>
      <c r="D26" s="194">
        <f t="shared" si="2"/>
        <v>2520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50</v>
      </c>
      <c r="B27" s="193">
        <f>'Données projet'!D40</f>
        <v>82</v>
      </c>
      <c r="C27" s="292">
        <v>28</v>
      </c>
      <c r="D27" s="194">
        <f t="shared" si="2"/>
        <v>2296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64</v>
      </c>
      <c r="B28" s="193">
        <f>'Données projet'!D41</f>
        <v>333</v>
      </c>
      <c r="C28" s="292">
        <v>28</v>
      </c>
      <c r="D28" s="194">
        <f t="shared" si="2"/>
        <v>9324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67</v>
      </c>
      <c r="B29" s="193">
        <f>'Données projet'!D42</f>
        <v>184</v>
      </c>
      <c r="C29" s="292">
        <v>35</v>
      </c>
      <c r="D29" s="194">
        <f t="shared" si="2"/>
        <v>6440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70</v>
      </c>
      <c r="B30" s="193">
        <f>'Données projet'!D43</f>
        <v>424</v>
      </c>
      <c r="C30" s="292">
        <v>35</v>
      </c>
      <c r="D30" s="194">
        <f t="shared" si="2"/>
        <v>14840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92">
        <v>40</v>
      </c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92">
        <v>50</v>
      </c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92">
        <v>80</v>
      </c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Sapin pectiné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35</v>
      </c>
      <c r="B54" s="193">
        <f>'Données projet'!D62</f>
        <v>25</v>
      </c>
      <c r="C54" s="204">
        <v>12</v>
      </c>
      <c r="D54" s="191">
        <f>B54*C54</f>
        <v>300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42</v>
      </c>
      <c r="B55" s="193">
        <f>'Données projet'!D63</f>
        <v>50</v>
      </c>
      <c r="C55" s="204">
        <v>18</v>
      </c>
      <c r="D55" s="191">
        <f t="shared" ref="D55:D73" si="4">B55*C55</f>
        <v>900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49</v>
      </c>
      <c r="B56" s="193">
        <f>'Données projet'!D64</f>
        <v>75</v>
      </c>
      <c r="C56" s="204">
        <v>24</v>
      </c>
      <c r="D56" s="191">
        <f t="shared" si="4"/>
        <v>1800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56</v>
      </c>
      <c r="B57" s="193">
        <f>'Données projet'!D65</f>
        <v>100</v>
      </c>
      <c r="C57" s="204">
        <v>35</v>
      </c>
      <c r="D57" s="191">
        <f t="shared" si="4"/>
        <v>3500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65</v>
      </c>
      <c r="B58" s="193">
        <f>'Données projet'!D66</f>
        <v>100</v>
      </c>
      <c r="C58" s="204">
        <v>46</v>
      </c>
      <c r="D58" s="191">
        <f t="shared" si="4"/>
        <v>4600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74</v>
      </c>
      <c r="B59" s="193">
        <f>'Données projet'!D67</f>
        <v>100</v>
      </c>
      <c r="C59" s="204">
        <v>54</v>
      </c>
      <c r="D59" s="191">
        <f t="shared" si="4"/>
        <v>5400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83</v>
      </c>
      <c r="B60" s="193">
        <f>'Données projet'!D68</f>
        <v>100</v>
      </c>
      <c r="C60" s="204">
        <v>62</v>
      </c>
      <c r="D60" s="191">
        <f t="shared" si="4"/>
        <v>6200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92</v>
      </c>
      <c r="B61" s="193">
        <f>'Données projet'!D69</f>
        <v>100</v>
      </c>
      <c r="C61" s="204">
        <v>70</v>
      </c>
      <c r="D61" s="191">
        <f t="shared" si="4"/>
        <v>7000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101</v>
      </c>
      <c r="B62" s="193">
        <f>'Données projet'!D70</f>
        <v>100</v>
      </c>
      <c r="C62" s="204">
        <v>80</v>
      </c>
      <c r="D62" s="191">
        <f t="shared" si="4"/>
        <v>8000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110</v>
      </c>
      <c r="B63" s="193">
        <f>'Données projet'!D71</f>
        <v>100</v>
      </c>
      <c r="C63" s="204">
        <v>80</v>
      </c>
      <c r="D63" s="191">
        <f t="shared" si="4"/>
        <v>8000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119</v>
      </c>
      <c r="B64" s="193">
        <f>'Données projet'!D72</f>
        <v>100</v>
      </c>
      <c r="C64" s="204">
        <v>90</v>
      </c>
      <c r="D64" s="191">
        <f t="shared" si="4"/>
        <v>9000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128</v>
      </c>
      <c r="B65" s="193">
        <f>'Données projet'!D73</f>
        <v>907</v>
      </c>
      <c r="C65" s="204">
        <v>100</v>
      </c>
      <c r="D65" s="191">
        <f t="shared" si="4"/>
        <v>90700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Erable sycomore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15</v>
      </c>
      <c r="B85" s="193">
        <f>'Données projet'!D88</f>
        <v>15</v>
      </c>
      <c r="C85" s="292">
        <v>4</v>
      </c>
      <c r="D85" s="191">
        <f>B85*C85</f>
        <v>60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20</v>
      </c>
      <c r="B86" s="193">
        <f>'Données projet'!D89</f>
        <v>28</v>
      </c>
      <c r="C86" s="292">
        <v>8</v>
      </c>
      <c r="D86" s="191">
        <f t="shared" ref="D86:D104" si="6">B86*C86</f>
        <v>224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25</v>
      </c>
      <c r="B87" s="193">
        <f>'Données projet'!D90</f>
        <v>28</v>
      </c>
      <c r="C87" s="292">
        <v>10</v>
      </c>
      <c r="D87" s="191">
        <f t="shared" si="6"/>
        <v>280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28</v>
      </c>
      <c r="C88" s="292">
        <v>10</v>
      </c>
      <c r="D88" s="191">
        <f t="shared" si="6"/>
        <v>280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35</v>
      </c>
      <c r="B89" s="193">
        <f>'Données projet'!D92</f>
        <v>28</v>
      </c>
      <c r="C89" s="292">
        <v>10</v>
      </c>
      <c r="D89" s="191">
        <f t="shared" si="6"/>
        <v>280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40</v>
      </c>
      <c r="B90" s="193">
        <f>'Données projet'!D93</f>
        <v>28</v>
      </c>
      <c r="C90" s="292">
        <v>10</v>
      </c>
      <c r="D90" s="191">
        <f t="shared" si="6"/>
        <v>280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45</v>
      </c>
      <c r="B91" s="193">
        <f>'Données projet'!D94</f>
        <v>22</v>
      </c>
      <c r="C91" s="292">
        <v>15</v>
      </c>
      <c r="D91" s="191">
        <f t="shared" si="6"/>
        <v>330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50</v>
      </c>
      <c r="B92" s="193">
        <f>'Données projet'!D95</f>
        <v>17</v>
      </c>
      <c r="C92" s="292">
        <v>15</v>
      </c>
      <c r="D92" s="191">
        <f t="shared" si="6"/>
        <v>255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55</v>
      </c>
      <c r="B93" s="193">
        <f>'Données projet'!D96</f>
        <v>13</v>
      </c>
      <c r="C93" s="292">
        <v>15</v>
      </c>
      <c r="D93" s="191">
        <f t="shared" si="6"/>
        <v>195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60</v>
      </c>
      <c r="B94" s="193">
        <f>'Données projet'!D97</f>
        <v>12</v>
      </c>
      <c r="C94" s="292">
        <v>20</v>
      </c>
      <c r="D94" s="191">
        <f t="shared" si="6"/>
        <v>240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65</v>
      </c>
      <c r="B95" s="193">
        <f>'Données projet'!D98</f>
        <v>11</v>
      </c>
      <c r="C95" s="292">
        <v>20</v>
      </c>
      <c r="D95" s="191">
        <f t="shared" si="6"/>
        <v>220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70</v>
      </c>
      <c r="B96" s="193">
        <f>'Données projet'!D99</f>
        <v>10</v>
      </c>
      <c r="C96" s="292">
        <v>20</v>
      </c>
      <c r="D96" s="191">
        <f t="shared" si="6"/>
        <v>200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75</v>
      </c>
      <c r="B97" s="193">
        <f>'Données projet'!D100</f>
        <v>9</v>
      </c>
      <c r="C97" s="292">
        <v>20</v>
      </c>
      <c r="D97" s="191">
        <f t="shared" si="6"/>
        <v>180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80</v>
      </c>
      <c r="B98" s="193">
        <f>'Données projet'!D101</f>
        <v>275</v>
      </c>
      <c r="C98" s="292">
        <v>20</v>
      </c>
      <c r="D98" s="191">
        <f t="shared" si="6"/>
        <v>5500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92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92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str">
        <f>IF(O103+1&lt;=MIN('Données projet'!$E$9:$E$18),O103+1,"STOP")</f>
        <v>STOP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2024-11-18T15:20:24Z</dcterms:modified>
</cp:coreProperties>
</file>