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GOVEN (35) - IND CARDIN FERRE LEROUX\Dossier déposé 11032024\"/>
    </mc:Choice>
  </mc:AlternateContent>
  <xr:revisionPtr revIDLastSave="0" documentId="13_ncr:1_{704D4146-EB8A-4312-AAF4-7C0FF60A6F2B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HI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D192" i="2" s="1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7" i="2" a="1"/>
  <c r="BC7" i="2" s="1"/>
  <c r="BC151" i="2" a="1"/>
  <c r="BC15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37" i="2" l="1" a="1"/>
  <c r="CS137" i="2" s="1"/>
  <c r="CS129" i="2" a="1"/>
  <c r="CS129" i="2" s="1"/>
  <c r="CS114" i="2" a="1"/>
  <c r="CS114" i="2" s="1"/>
  <c r="CS120" i="2" a="1"/>
  <c r="CS120" i="2" s="1"/>
  <c r="CS116" i="2" a="1"/>
  <c r="CS116" i="2" s="1"/>
  <c r="CS66" i="2" a="1"/>
  <c r="CS66" i="2" s="1"/>
  <c r="CS72" i="2" a="1"/>
  <c r="CS72" i="2" s="1"/>
  <c r="CS56" i="2" a="1"/>
  <c r="CS56" i="2" s="1"/>
  <c r="CS38" i="2" a="1"/>
  <c r="CS38" i="2" s="1"/>
  <c r="FS203" i="2"/>
  <c r="CS134" i="2" a="1"/>
  <c r="CS134" i="2" s="1"/>
  <c r="CS185" i="2" a="1"/>
  <c r="CS185" i="2" s="1"/>
  <c r="CS105" i="2" a="1"/>
  <c r="CS105" i="2" s="1"/>
  <c r="CS24" i="2" a="1"/>
  <c r="CS24" i="2" s="1"/>
  <c r="CS161" i="2" a="1"/>
  <c r="CS161" i="2" s="1"/>
  <c r="CS77" i="2" a="1"/>
  <c r="CS77" i="2" s="1"/>
  <c r="AH199" i="2" a="1"/>
  <c r="AH199" i="2" s="1"/>
  <c r="AH166" i="2" a="1"/>
  <c r="AH166" i="2" s="1"/>
  <c r="AH19" i="2" a="1"/>
  <c r="AH19" i="2" s="1"/>
  <c r="BC82" i="2" a="1"/>
  <c r="BC82" i="2" s="1"/>
  <c r="BC55" i="2" a="1"/>
  <c r="BC55" i="2" s="1"/>
  <c r="BC126" i="2" a="1"/>
  <c r="BC126" i="2" s="1"/>
  <c r="BC47" i="2" a="1"/>
  <c r="BC47" i="2" s="1"/>
  <c r="BC18" i="2" a="1"/>
  <c r="BC18" i="2" s="1"/>
  <c r="BC143" i="2" a="1"/>
  <c r="BC143" i="2" s="1"/>
  <c r="BC32" i="2" a="1"/>
  <c r="BC32" i="2" s="1"/>
  <c r="BC181" i="2" a="1"/>
  <c r="BC181" i="2" s="1"/>
  <c r="BC185" i="2" a="1"/>
  <c r="BC185" i="2" s="1"/>
  <c r="BC58" i="2" a="1"/>
  <c r="BC58" i="2" s="1"/>
  <c r="BC34" i="2" a="1"/>
  <c r="BC34" i="2" s="1"/>
  <c r="BC31" i="2" a="1"/>
  <c r="BC31" i="2" s="1"/>
  <c r="BC84" i="2" a="1"/>
  <c r="BC84" i="2" s="1"/>
  <c r="AH151" i="2" a="1"/>
  <c r="AH151" i="2" s="1"/>
  <c r="AH62" i="2" a="1"/>
  <c r="AH62" i="2" s="1"/>
  <c r="AH163" i="2" a="1"/>
  <c r="AH163" i="2" s="1"/>
  <c r="AH92" i="2" a="1"/>
  <c r="AH92" i="2" s="1"/>
  <c r="BC117" i="2" a="1"/>
  <c r="BC117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176" i="2"/>
  <c r="CD144" i="2"/>
  <c r="CD163" i="2"/>
  <c r="CD63" i="2"/>
  <c r="CD20" i="2"/>
  <c r="CD52" i="2"/>
  <c r="CD40" i="2"/>
  <c r="CD22" i="2"/>
  <c r="CD152" i="2"/>
  <c r="CD43" i="2"/>
  <c r="CD187" i="2"/>
  <c r="CD141" i="2"/>
  <c r="CD67" i="2"/>
  <c r="CD93" i="2"/>
  <c r="CD183" i="2"/>
  <c r="CD85" i="2"/>
  <c r="CD15" i="2"/>
  <c r="CD117" i="2"/>
  <c r="CD14" i="2"/>
  <c r="CD135" i="2"/>
  <c r="CD51" i="2"/>
  <c r="CD27" i="2"/>
  <c r="CD17" i="2"/>
  <c r="CD76" i="2"/>
  <c r="CD5" i="2"/>
  <c r="CD18" i="2"/>
  <c r="CD164" i="2"/>
  <c r="CD137" i="2"/>
  <c r="CD161" i="2"/>
  <c r="CD174" i="2"/>
  <c r="CD123" i="2"/>
  <c r="CD118" i="2"/>
  <c r="CD125" i="2"/>
  <c r="CD88" i="2"/>
  <c r="CD196" i="2"/>
  <c r="CD199" i="2"/>
  <c r="CD46" i="2"/>
  <c r="CD59" i="2"/>
  <c r="CD24" i="2"/>
  <c r="CD153" i="2"/>
  <c r="CD83" i="2"/>
  <c r="CD9" i="2"/>
  <c r="CD106" i="2"/>
  <c r="CD98" i="2"/>
  <c r="CD186" i="2"/>
  <c r="CD36" i="2"/>
  <c r="CD25" i="2"/>
  <c r="CD190" i="2"/>
  <c r="CD66" i="2"/>
  <c r="CD173" i="2"/>
  <c r="CD31" i="2"/>
  <c r="CD109" i="2"/>
  <c r="CD62" i="2"/>
  <c r="CD90" i="2"/>
  <c r="CD131" i="2"/>
  <c r="CD35" i="2"/>
  <c r="CD53" i="2"/>
  <c r="CD194" i="2"/>
  <c r="CD48" i="2"/>
  <c r="CD136" i="2"/>
  <c r="CD191" i="2"/>
  <c r="CD64" i="2"/>
  <c r="CD167" i="2"/>
  <c r="CD19" i="2"/>
  <c r="CD82" i="2"/>
  <c r="CD28" i="2"/>
  <c r="CD126" i="2"/>
  <c r="CD97" i="2"/>
  <c r="CD105" i="2"/>
  <c r="CD61" i="2"/>
  <c r="CD184" i="2"/>
  <c r="CD70" i="2"/>
  <c r="CD87" i="2"/>
  <c r="CD170" i="2"/>
  <c r="CD138" i="2"/>
  <c r="CD77" i="2"/>
  <c r="CD134" i="2"/>
  <c r="CD7" i="2"/>
  <c r="CD12" i="2"/>
  <c r="CD74" i="2"/>
  <c r="CD140" i="2"/>
  <c r="CD185" i="2"/>
  <c r="CD71" i="2"/>
  <c r="CD148" i="2"/>
  <c r="CD56" i="2"/>
  <c r="CD189" i="2"/>
  <c r="CD127" i="2"/>
  <c r="CD78" i="2"/>
  <c r="CD110" i="2"/>
  <c r="CD107" i="2"/>
  <c r="CD34" i="2"/>
  <c r="CD38" i="2"/>
  <c r="CD37" i="2"/>
  <c r="CD155" i="2"/>
  <c r="CD168" i="2"/>
  <c r="CD10" i="2"/>
  <c r="CD13" i="2"/>
  <c r="CD99" i="2"/>
  <c r="CD182" i="2"/>
  <c r="CD65" i="2"/>
  <c r="CD55" i="2"/>
  <c r="CD129" i="2"/>
  <c r="CD94" i="2"/>
  <c r="CD41" i="2"/>
  <c r="CD92" i="2"/>
  <c r="CD57" i="2"/>
  <c r="CD202" i="2"/>
  <c r="CD115" i="2"/>
  <c r="CD160" i="2"/>
  <c r="CD95" i="2"/>
  <c r="CD3" i="2"/>
  <c r="C9" i="4" s="1"/>
  <c r="E9" i="4" s="1"/>
  <c r="F9" i="4" s="1"/>
  <c r="G9" i="4" s="1"/>
  <c r="L9" i="4" s="1"/>
  <c r="CD124" i="2"/>
  <c r="CD139" i="2"/>
  <c r="CD198" i="2"/>
  <c r="CD175" i="2"/>
  <c r="CD49" i="2"/>
  <c r="CD113" i="2"/>
  <c r="CD16" i="2"/>
  <c r="CD180" i="2"/>
  <c r="CD150" i="2"/>
  <c r="CD79" i="2"/>
  <c r="CD111" i="2"/>
  <c r="CD172" i="2"/>
  <c r="CD133" i="2"/>
  <c r="CD151" i="2"/>
  <c r="CD162" i="2"/>
  <c r="CD42" i="2"/>
  <c r="CD128" i="2"/>
  <c r="CD171" i="2"/>
  <c r="CD147" i="2"/>
  <c r="CD165" i="2"/>
  <c r="CD72" i="2"/>
  <c r="CD156" i="2"/>
  <c r="CD119" i="2"/>
  <c r="CD169" i="2"/>
  <c r="CD86" i="2"/>
  <c r="CD157" i="2"/>
  <c r="CD6" i="2"/>
  <c r="CD121" i="2"/>
  <c r="CD195" i="2"/>
  <c r="CD158" i="2"/>
  <c r="CD166" i="2"/>
  <c r="CD197" i="2"/>
  <c r="CD181" i="2"/>
  <c r="CD11" i="2"/>
  <c r="CD29" i="2"/>
  <c r="CD203" i="2"/>
  <c r="CD108" i="2"/>
  <c r="CD122" i="2"/>
  <c r="CD130" i="2"/>
  <c r="CD102" i="2"/>
  <c r="CD91" i="2"/>
  <c r="CD69" i="2"/>
  <c r="CD132" i="2"/>
  <c r="CD84" i="2"/>
  <c r="CD116" i="2"/>
  <c r="CD80" i="2"/>
  <c r="CD23" i="2"/>
  <c r="CD159" i="2"/>
  <c r="CD101" i="2"/>
  <c r="CD8" i="2"/>
  <c r="CD201" i="2"/>
  <c r="CD142" i="2"/>
  <c r="CD188" i="2"/>
  <c r="CD193" i="2"/>
  <c r="CD45" i="2"/>
  <c r="CD39" i="2"/>
  <c r="CD44" i="2"/>
  <c r="CD100" i="2"/>
  <c r="CD103" i="2"/>
  <c r="CD104" i="2"/>
  <c r="CD177" i="2"/>
  <c r="CD200" i="2"/>
  <c r="CD178" i="2"/>
  <c r="CD50" i="2"/>
  <c r="CD149" i="2"/>
  <c r="CD73" i="2"/>
  <c r="CD4" i="2"/>
  <c r="CD75" i="2"/>
  <c r="CD30" i="2"/>
  <c r="CD54" i="2"/>
  <c r="CD120" i="2"/>
  <c r="CD68" i="2"/>
  <c r="CD112" i="2"/>
  <c r="CD192" i="2"/>
  <c r="CD143" i="2"/>
  <c r="CD58" i="2"/>
  <c r="CD81" i="2"/>
  <c r="CD33" i="2"/>
  <c r="CD96" i="2"/>
  <c r="CD21" i="2"/>
  <c r="CD146" i="2"/>
  <c r="CD47" i="2"/>
  <c r="CD26" i="2"/>
  <c r="CD154" i="2"/>
  <c r="CD114" i="2"/>
  <c r="CD145" i="2"/>
  <c r="CD179" i="2"/>
  <c r="CD32" i="2"/>
  <c r="CD8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<sst xmlns="http://schemas.openxmlformats.org/spreadsheetml/2006/main" count="1172" uniqueCount="325">
  <si>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</si>
  <si>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</si>
  <si>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</si>
  <si>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</si>
  <si>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</si>
  <si>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</si>
  <si>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</si>
  <si>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</si>
  <si>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</si>
  <si>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</si>
  <si>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</si>
  <si>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</si>
  <si>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</si>
  <si>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</si>
  <si>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</si>
  <si>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</si>
  <si>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</si>
  <si>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</si>
  <si>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</si>
  <si>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</si>
  <si>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</si>
  <si>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</si>
  <si>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</si>
  <si>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</si>
  <si>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</si>
  <si>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</si>
  <si>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</si>
  <si>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</si>
  <si>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</si>
  <si>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</si>
  <si>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</si>
  <si>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</si>
  <si>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</si>
  <si>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</si>
  <si>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</si>
  <si>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</si>
  <si>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</si>
  <si>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</si>
  <si>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</si>
  <si>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</si>
  <si>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</si>
  <si>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</si>
  <si>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</si>
  <si>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</si>
  <si>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</si>
  <si>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</si>
  <si>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</si>
  <si>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</si>
  <si>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</si>
  <si>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</si>
  <si>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</si>
  <si>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</si>
  <si>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</si>
  <si>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</si>
  <si>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</si>
  <si>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</si>
  <si>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</si>
  <si>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</si>
  <si>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</si>
  <si>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</si>
  <si>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</si>
  <si>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</si>
  <si>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</si>
  <si>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</si>
  <si>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</si>
  <si>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</si>
  <si>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</si>
  <si>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</si>
  <si>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</si>
  <si>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</si>
  <si>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</si>
  <si>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</si>
  <si>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</si>
  <si>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</si>
  <si>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</si>
  <si>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</si>
  <si>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</si>
  <si>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</si>
  <si>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</si>
  <si>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</si>
  <si>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</si>
  <si>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</si>
  <si>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</si>
  <si>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</si>
  <si>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</si>
  <si>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</si>
  <si>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</si>
  <si>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</si>
  <si>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</si>
  <si>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</si>
  <si>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</si>
  <si>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</si>
  <si>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</si>
  <si>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</si>
  <si>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</si>
  <si>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</si>
  <si>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</si>
  <si>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</si>
  <si>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</si>
  <si>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</si>
  <si>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</si>
  <si>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</si>
  <si>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</si>
  <si>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</si>
  <si>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</si>
  <si>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</si>
  <si>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</si>
  <si>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</si>
  <si>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</si>
  <si>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</si>
  <si>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</si>
  <si>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</si>
  <si>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</si>
  <si>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</si>
  <si>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</si>
  <si>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</si>
  <si>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</si>
  <si>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</si>
  <si>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</si>
  <si>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</si>
  <si>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</si>
  <si>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</si>
  <si>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</si>
  <si>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</si>
  <si>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</si>
  <si>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</si>
  <si>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</si>
  <si>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</si>
  <si>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</si>
  <si>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</si>
  <si>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</si>
  <si>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</si>
  <si>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</si>
  <si>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</si>
  <si>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</si>
  <si>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</si>
  <si>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</si>
  <si>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</si>
  <si>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</si>
  <si>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</si>
  <si>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</si>
  <si>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</si>
  <si>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</si>
  <si>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</si>
  <si>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</si>
  <si>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</si>
  <si>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</si>
  <si>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</si>
  <si>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</si>
  <si>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</si>
  <si>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</si>
  <si>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</si>
  <si>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</si>
  <si>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</si>
  <si>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</si>
  <si>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</si>
  <si>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</si>
  <si>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</si>
  <si>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</si>
  <si>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</si>
  <si>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</si>
  <si>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</si>
  <si>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</si>
  <si>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</si>
  <si>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</si>
  <si>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</si>
  <si>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</si>
  <si>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</si>
  <si>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</si>
  <si>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</si>
  <si>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</si>
  <si>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</si>
  <si>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</si>
  <si>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</si>
  <si>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</si>
  <si>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</si>
  <si>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</si>
  <si>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</si>
  <si>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</si>
  <si>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</si>
  <si>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</si>
  <si>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</si>
  <si>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</si>
  <si>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</si>
  <si>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</si>
  <si>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</si>
  <si>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</si>
  <si>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</si>
  <si>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</si>
  <si>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</si>
  <si>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</si>
  <si>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</si>
  <si>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</si>
  <si>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</si>
  <si>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</si>
  <si>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</si>
  <si>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</si>
  <si>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</si>
  <si>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</si>
  <si>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</si>
  <si>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</si>
  <si>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</si>
  <si>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</si>
  <si>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</si>
  <si>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</si>
  <si>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</si>
  <si>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</si>
  <si>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</si>
  <si>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</si>
  <si>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</si>
  <si>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</si>
  <si>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</si>
  <si>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</si>
  <si>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</si>
  <si>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</si>
  <si>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</si>
  <si>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</si>
  <si>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</si>
  <si>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</si>
  <si>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</si>
  <si>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</si>
  <si>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</si>
  <si>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</si>
  <si>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</si>
  <si>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</si>
  <si>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</si>
  <si>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</si>
  <si>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</si>
  <si>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</si>
  <si>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</si>
  <si>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</si>
  <si>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</si>
  <si>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</si>
  <si>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</si>
  <si>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</si>
  <si>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</si>
  <si>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</si>
  <si>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</si>
  <si>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</si>
  <si>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</si>
  <si>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</si>
  <si>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</si>
  <si>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</si>
  <si>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</si>
  <si>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</si>
  <si>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</si>
  <si>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</si>
  <si>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</si>
  <si>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</si>
  <si>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</si>
  <si>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</si>
  <si>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</si>
  <si>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</si>
  <si>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</si>
  <si>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</si>
  <si>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</si>
  <si>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</si>
  <si>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</si>
  <si>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</si>
  <si>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</si>
  <si>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</si>
  <si>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</si>
  <si>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</si>
  <si>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</si>
  <si>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</si>
  <si>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</si>
  <si>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</si>
  <si>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</si>
  <si>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</si>
  <si>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</si>
  <si>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</si>
  <si>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</si>
  <si>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</si>
  <si>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</si>
  <si>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</si>
  <si>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</si>
  <si>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</si>
  <si>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</si>
  <si>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</si>
  <si>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</si>
  <si>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</si>
  <si>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</si>
  <si>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</si>
  <si>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</si>
  <si>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</si>
  <si>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</si>
  <si>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</si>
  <si>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</si>
  <si>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</si>
  <si>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</si>
  <si>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</si>
  <si>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</si>
  <si>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</si>
  <si>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</si>
  <si>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</si>
  <si>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</si>
  <si>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</si>
  <si>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</si>
  <si>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</si>
  <si>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</si>
  <si>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</si>
  <si>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</si>
  <si>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</si>
  <si>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</si>
  <si>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</si>
  <si>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</si>
  <si>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</si>
  <si>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</si>
  <si>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</si>
  <si>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</si>
  <si>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</si>
  <si>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</si>
  <si>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</si>
  <si>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</si>
  <si>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</si>
  <si>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</si>
  <si>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</si>
  <si>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</si>
  <si>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</si>
  <si>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</si>
  <si>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</si>
  <si>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</si>
  <si>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</si>
  <si>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</si>
  <si>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charme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</si>
</sst>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265.18224953636462</c:v>
                </c:pt>
                <c:pt idx="57">
                  <c:v>276.6217550466074</c:v>
                </c:pt>
                <c:pt idx="58">
                  <c:v>288.05064176968398</c:v>
                </c:pt>
                <c:pt idx="59">
                  <c:v>299.46939060089005</c:v>
                </c:pt>
                <c:pt idx="60">
                  <c:v>310.87844274943245</c:v>
                </c:pt>
                <c:pt idx="61">
                  <c:v>292.94560606300411</c:v>
                </c:pt>
                <c:pt idx="62">
                  <c:v>303.54514342437079</c:v>
                </c:pt>
                <c:pt idx="63">
                  <c:v>314.13644855888259</c:v>
                </c:pt>
                <c:pt idx="64">
                  <c:v>324.71983829084985</c:v>
                </c:pt>
                <c:pt idx="65">
                  <c:v>335.29560709579067</c:v>
                </c:pt>
                <c:pt idx="66">
                  <c:v>317.39370514042008</c:v>
                </c:pt>
                <c:pt idx="67">
                  <c:v>327.97471958208894</c:v>
                </c:pt>
                <c:pt idx="68">
                  <c:v>338.5481995642798</c:v>
                </c:pt>
                <c:pt idx="69">
                  <c:v>349.11441368138429</c:v>
                </c:pt>
                <c:pt idx="70">
                  <c:v>359.67361293503569</c:v>
                </c:pt>
                <c:pt idx="71">
                  <c:v>340.98719215689295</c:v>
                </c:pt>
                <c:pt idx="72">
                  <c:v>350.73935640199261</c:v>
                </c:pt>
                <c:pt idx="73">
                  <c:v>360.48557531469902</c:v>
                </c:pt>
                <c:pt idx="74">
                  <c:v>370.22603238018905</c:v>
                </c:pt>
                <c:pt idx="75">
                  <c:v>379.96090063618993</c:v>
                </c:pt>
                <c:pt idx="76">
                  <c:v>360.89154149553332</c:v>
                </c:pt>
                <c:pt idx="77">
                  <c:v>370.22603238018905</c:v>
                </c:pt>
                <c:pt idx="78">
                  <c:v>379.55539054654429</c:v>
                </c:pt>
                <c:pt idx="79">
                  <c:v>388.87976000894241</c:v>
                </c:pt>
                <c:pt idx="80">
                  <c:v>398.1992773085903</c:v>
                </c:pt>
                <c:pt idx="81">
                  <c:v>378.74434206791688</c:v>
                </c:pt>
                <c:pt idx="82">
                  <c:v>387.66381592151873</c:v>
                </c:pt>
                <c:pt idx="83">
                  <c:v>396.57883448700187</c:v>
                </c:pt>
                <c:pt idx="84">
                  <c:v>405.48951209335388</c:v>
                </c:pt>
                <c:pt idx="85">
                  <c:v>414.39595763230801</c:v>
                </c:pt>
                <c:pt idx="86">
                  <c:v>394.55307910081592</c:v>
                </c:pt>
                <c:pt idx="87">
                  <c:v>403.05975148729158</c:v>
                </c:pt>
                <c:pt idx="88">
                  <c:v>411.56254124269782</c:v>
                </c:pt>
                <c:pt idx="89">
                  <c:v>420.06153993571343</c:v>
                </c:pt>
                <c:pt idx="90">
                  <c:v>428.55683512546528</c:v>
                </c:pt>
                <c:pt idx="91">
                  <c:v>407.91895794657734</c:v>
                </c:pt>
                <c:pt idx="92">
                  <c:v>415.6101508216347</c:v>
                </c:pt>
                <c:pt idx="93">
                  <c:v>423.29827493076959</c:v>
                </c:pt>
                <c:pt idx="94">
                  <c:v>430.98339390471659</c:v>
                </c:pt>
                <c:pt idx="95">
                  <c:v>438.66556891849177</c:v>
                </c:pt>
                <c:pt idx="96">
                  <c:v>417.63363625997835</c:v>
                </c:pt>
                <c:pt idx="97">
                  <c:v>424.91644236173005</c:v>
                </c:pt>
                <c:pt idx="98">
                  <c:v>432.19656309026976</c:v>
                </c:pt>
                <c:pt idx="99">
                  <c:v>439.47405008772625</c:v>
                </c:pt>
                <c:pt idx="100">
                  <c:v>446.74895314532552</c:v>
                </c:pt>
                <c:pt idx="101">
                  <c:v>427.34344505663142</c:v>
                </c:pt>
                <c:pt idx="102">
                  <c:v>434.21834928171842</c:v>
                </c:pt>
                <c:pt idx="103">
                  <c:v>441.09091679699753</c:v>
                </c:pt>
                <c:pt idx="104">
                  <c:v>447.96118916963178</c:v>
                </c:pt>
                <c:pt idx="105">
                  <c:v>454.82920658695576</c:v>
                </c:pt>
                <c:pt idx="106">
                  <c:v>434.62268223024967</c:v>
                </c:pt>
                <c:pt idx="107">
                  <c:v>440.6867120524235</c:v>
                </c:pt>
                <c:pt idx="108">
                  <c:v>446.74895314532552</c:v>
                </c:pt>
                <c:pt idx="109">
                  <c:v>452.8094332235828</c:v>
                </c:pt>
                <c:pt idx="110">
                  <c:v>458.86817919889148</c:v>
                </c:pt>
                <c:pt idx="111">
                  <c:v>438.26131635086909</c:v>
                </c:pt>
                <c:pt idx="112">
                  <c:v>443.92012811747713</c:v>
                </c:pt>
                <c:pt idx="113">
                  <c:v>449.57739467471271</c:v>
                </c:pt>
                <c:pt idx="114">
                  <c:v>455.23313822520009</c:v>
                </c:pt>
                <c:pt idx="115">
                  <c:v>460.88738037445046</c:v>
                </c:pt>
                <c:pt idx="116">
                  <c:v>439.47405008772625</c:v>
                </c:pt>
                <c:pt idx="117">
                  <c:v>444.32426956358057</c:v>
                </c:pt>
                <c:pt idx="118">
                  <c:v>449.17335497371761</c:v>
                </c:pt>
                <c:pt idx="119">
                  <c:v>454.02132029945079</c:v>
                </c:pt>
                <c:pt idx="120">
                  <c:v>458.86817919889177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L128" sqref="L1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2.4300000000000002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0.25509999999999999</v>
      </c>
      <c r="D9" s="36">
        <f t="shared" ref="D9:D18" si="0">C9*$C$5</f>
        <v>0.61989300000000003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0.28000000000000003</v>
      </c>
      <c r="D10" s="36">
        <f t="shared" si="0"/>
        <v>0.68040000000000012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0.35260000000000002</v>
      </c>
      <c r="D11" s="36">
        <f t="shared" si="0"/>
        <v>0.85681800000000008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324</v>
      </c>
      <c r="C12" s="35">
        <v>7.0000000000000007E-2</v>
      </c>
      <c r="D12" s="36">
        <f>C12*$C$5</f>
        <v>0.17010000000000003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>C13*$C$5</f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0.9577</v>
      </c>
      <c r="D19" s="41">
        <f>SUM(D9:D18)</f>
        <v>2.3272110000000006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107</v>
      </c>
      <c r="C36" s="63">
        <v>1</v>
      </c>
      <c r="D36" s="63">
        <v>34</v>
      </c>
      <c r="E36" s="54"/>
      <c r="F36" s="54"/>
      <c r="G36" s="54"/>
      <c r="H36" s="54">
        <v>1</v>
      </c>
      <c r="I36" s="52">
        <f>IFERROR(B36/A36,"")</f>
        <v>7.1333333333333337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154</v>
      </c>
      <c r="C37" s="63">
        <v>2</v>
      </c>
      <c r="D37" s="63">
        <v>50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16.2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182</v>
      </c>
      <c r="C38" s="63">
        <v>3</v>
      </c>
      <c r="D38" s="63">
        <v>52</v>
      </c>
      <c r="E38" s="54"/>
      <c r="F38" s="54">
        <v>0.6</v>
      </c>
      <c r="G38" s="54">
        <v>0.4</v>
      </c>
      <c r="H38" s="54"/>
      <c r="I38" s="56">
        <f t="shared" si="1"/>
        <v>15.6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204</v>
      </c>
      <c r="C39" s="63">
        <v>4</v>
      </c>
      <c r="D39" s="63">
        <v>51</v>
      </c>
      <c r="E39" s="54"/>
      <c r="F39" s="54">
        <v>0.7</v>
      </c>
      <c r="G39" s="54">
        <v>0.3</v>
      </c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221</v>
      </c>
      <c r="C40" s="63">
        <v>5</v>
      </c>
      <c r="D40" s="63">
        <v>49</v>
      </c>
      <c r="E40" s="54"/>
      <c r="F40" s="54"/>
      <c r="G40" s="54"/>
      <c r="H40" s="54"/>
      <c r="I40" s="52">
        <f t="shared" si="1"/>
        <v>13.6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233</v>
      </c>
      <c r="C41" s="63">
        <v>6</v>
      </c>
      <c r="D41" s="63">
        <v>45</v>
      </c>
      <c r="E41" s="54"/>
      <c r="F41" s="54"/>
      <c r="G41" s="54"/>
      <c r="H41" s="54"/>
      <c r="I41" s="56">
        <f t="shared" si="1"/>
        <v>12.2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244</v>
      </c>
      <c r="C42" s="63">
        <v>7</v>
      </c>
      <c r="D42" s="63">
        <v>41</v>
      </c>
      <c r="E42" s="54"/>
      <c r="F42" s="54"/>
      <c r="G42" s="54"/>
      <c r="H42" s="54"/>
      <c r="I42" s="56">
        <f t="shared" si="1"/>
        <v>11.2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252</v>
      </c>
      <c r="C43" s="63">
        <v>8</v>
      </c>
      <c r="D43" s="63">
        <v>37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258</v>
      </c>
      <c r="C44" s="63">
        <v>9</v>
      </c>
      <c r="D44" s="63">
        <v>258</v>
      </c>
      <c r="E44" s="54"/>
      <c r="F44" s="54"/>
      <c r="G44" s="54"/>
      <c r="H44" s="54"/>
      <c r="I44" s="52">
        <f t="shared" si="1"/>
        <v>8.6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283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283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283</v>
      </c>
      <c r="C81" s="53">
        <v>20</v>
      </c>
      <c r="D81" s="53">
        <v>283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162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10.8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303</v>
      </c>
      <c r="C89" s="63">
        <v>2</v>
      </c>
      <c r="D89" s="63">
        <v>43</v>
      </c>
      <c r="E89" s="54">
        <v>0.1</v>
      </c>
      <c r="F89" s="54">
        <v>0.4</v>
      </c>
      <c r="G89" s="54">
        <v>0.5</v>
      </c>
      <c r="H89" s="93">
        <v>0</v>
      </c>
      <c r="I89" s="56">
        <f t="shared" ref="I89:I107" si="3">IF(A89&lt;&gt;0,(B89-(B88-D88))/(A89-A88),"")</f>
        <v>28.2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419</v>
      </c>
      <c r="C90" s="63">
        <v>3</v>
      </c>
      <c r="D90" s="63">
        <v>60</v>
      </c>
      <c r="E90" s="93">
        <v>0.4</v>
      </c>
      <c r="F90" s="93">
        <v>0.3</v>
      </c>
      <c r="G90" s="93">
        <v>0.3</v>
      </c>
      <c r="H90" s="93">
        <v>0</v>
      </c>
      <c r="I90" s="56">
        <f t="shared" si="3"/>
        <v>31.8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524</v>
      </c>
      <c r="C91" s="63">
        <v>4</v>
      </c>
      <c r="D91" s="63">
        <v>90</v>
      </c>
      <c r="E91" s="93">
        <v>0.5</v>
      </c>
      <c r="F91" s="93">
        <v>0.3</v>
      </c>
      <c r="G91" s="93">
        <v>0.2</v>
      </c>
      <c r="H91" s="93">
        <v>0</v>
      </c>
      <c r="I91" s="56">
        <f t="shared" si="3"/>
        <v>33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576</v>
      </c>
      <c r="C92" s="63">
        <v>5</v>
      </c>
      <c r="D92" s="63">
        <v>72</v>
      </c>
      <c r="E92" s="93"/>
      <c r="F92" s="93"/>
      <c r="G92" s="93"/>
      <c r="H92" s="93"/>
      <c r="I92" s="56">
        <f t="shared" si="3"/>
        <v>28.4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639</v>
      </c>
      <c r="C93" s="63">
        <v>6</v>
      </c>
      <c r="D93" s="63">
        <v>77</v>
      </c>
      <c r="E93" s="93"/>
      <c r="F93" s="93"/>
      <c r="G93" s="93"/>
      <c r="H93" s="93"/>
      <c r="I93" s="56">
        <f t="shared" si="3"/>
        <v>27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686</v>
      </c>
      <c r="C94" s="63">
        <v>7</v>
      </c>
      <c r="D94" s="63">
        <v>64</v>
      </c>
      <c r="E94" s="93"/>
      <c r="F94" s="93"/>
      <c r="G94" s="93"/>
      <c r="H94" s="93"/>
      <c r="I94" s="56">
        <f t="shared" si="3"/>
        <v>24.8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724</v>
      </c>
      <c r="C95" s="63">
        <v>8</v>
      </c>
      <c r="D95" s="63">
        <v>62</v>
      </c>
      <c r="E95" s="93"/>
      <c r="F95" s="93"/>
      <c r="G95" s="93"/>
      <c r="H95" s="93"/>
      <c r="I95" s="56">
        <f t="shared" si="3"/>
        <v>20.399999999999999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739</v>
      </c>
      <c r="C96" s="63">
        <v>9</v>
      </c>
      <c r="D96" s="63">
        <v>46</v>
      </c>
      <c r="E96" s="93"/>
      <c r="F96" s="93"/>
      <c r="G96" s="93"/>
      <c r="H96" s="93"/>
      <c r="I96" s="56">
        <f t="shared" si="3"/>
        <v>15.4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754</v>
      </c>
      <c r="C97" s="63">
        <v>10</v>
      </c>
      <c r="D97" s="63">
        <v>35</v>
      </c>
      <c r="E97" s="93"/>
      <c r="F97" s="93"/>
      <c r="G97" s="93"/>
      <c r="H97" s="93"/>
      <c r="I97" s="56">
        <f t="shared" si="3"/>
        <v>12.2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769</v>
      </c>
      <c r="C98" s="63">
        <v>11</v>
      </c>
      <c r="D98" s="63">
        <v>769</v>
      </c>
      <c r="E98" s="93"/>
      <c r="F98" s="93"/>
      <c r="G98" s="93"/>
      <c r="H98" s="93"/>
      <c r="I98" s="56">
        <f t="shared" si="3"/>
        <v>10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charme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6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63">
        <v>2</v>
      </c>
      <c r="D115" s="63">
        <v>0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79</v>
      </c>
      <c r="C116" s="63">
        <v>3</v>
      </c>
      <c r="D116" s="63">
        <v>13</v>
      </c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93</v>
      </c>
      <c r="C117" s="6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107</v>
      </c>
      <c r="C118" s="6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121</v>
      </c>
      <c r="C119" s="6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55</v>
      </c>
      <c r="B120" s="63">
        <v>135</v>
      </c>
      <c r="C120" s="63">
        <v>7</v>
      </c>
      <c r="D120" s="63">
        <v>14</v>
      </c>
      <c r="E120" s="54"/>
      <c r="F120" s="54"/>
      <c r="G120" s="54"/>
      <c r="H120" s="54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60</v>
      </c>
      <c r="B121" s="53">
        <v>149</v>
      </c>
      <c r="C121" s="53">
        <v>8</v>
      </c>
      <c r="D121" s="53">
        <v>14</v>
      </c>
      <c r="E121" s="54"/>
      <c r="F121" s="54"/>
      <c r="G121" s="54"/>
      <c r="H121" s="54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65</v>
      </c>
      <c r="B122" s="53">
        <v>161</v>
      </c>
      <c r="C122" s="53">
        <v>9</v>
      </c>
      <c r="D122" s="53">
        <v>14</v>
      </c>
      <c r="E122" s="54"/>
      <c r="F122" s="54"/>
      <c r="G122" s="54"/>
      <c r="H122" s="54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70</v>
      </c>
      <c r="B123" s="53">
        <v>173</v>
      </c>
      <c r="C123" s="53">
        <v>10</v>
      </c>
      <c r="D123" s="53">
        <v>14</v>
      </c>
      <c r="E123" s="54"/>
      <c r="F123" s="54"/>
      <c r="G123" s="54"/>
      <c r="H123" s="54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75</v>
      </c>
      <c r="B124" s="53">
        <v>183</v>
      </c>
      <c r="C124" s="53">
        <v>11</v>
      </c>
      <c r="D124" s="53">
        <v>14</v>
      </c>
      <c r="E124" s="54"/>
      <c r="F124" s="54"/>
      <c r="G124" s="54"/>
      <c r="H124" s="54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80</v>
      </c>
      <c r="B125" s="53">
        <v>192</v>
      </c>
      <c r="C125" s="53">
        <v>12</v>
      </c>
      <c r="D125" s="53">
        <v>14</v>
      </c>
      <c r="E125" s="54"/>
      <c r="F125" s="54"/>
      <c r="G125" s="54"/>
      <c r="H125" s="54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85</v>
      </c>
      <c r="B126" s="53">
        <v>200</v>
      </c>
      <c r="C126" s="53">
        <v>13</v>
      </c>
      <c r="D126" s="53">
        <v>14</v>
      </c>
      <c r="E126" s="54"/>
      <c r="F126" s="54"/>
      <c r="G126" s="54"/>
      <c r="H126" s="54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207</v>
      </c>
      <c r="C127" s="53">
        <v>14</v>
      </c>
      <c r="D127" s="53">
        <v>14</v>
      </c>
      <c r="E127" s="54"/>
      <c r="F127" s="54"/>
      <c r="G127" s="54"/>
      <c r="H127" s="54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212</v>
      </c>
      <c r="C128" s="53">
        <v>15</v>
      </c>
      <c r="D128" s="53">
        <v>14</v>
      </c>
      <c r="E128" s="54"/>
      <c r="F128" s="54"/>
      <c r="G128" s="54"/>
      <c r="H128" s="54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216</v>
      </c>
      <c r="C129" s="53">
        <v>16</v>
      </c>
      <c r="D129" s="53">
        <v>13</v>
      </c>
      <c r="E129" s="54"/>
      <c r="F129" s="54"/>
      <c r="G129" s="54"/>
      <c r="H129" s="54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220</v>
      </c>
      <c r="C130" s="53">
        <v>17</v>
      </c>
      <c r="D130" s="53">
        <v>13</v>
      </c>
      <c r="E130" s="54"/>
      <c r="F130" s="54"/>
      <c r="G130" s="54"/>
      <c r="H130" s="54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222</v>
      </c>
      <c r="C131" s="53">
        <v>18</v>
      </c>
      <c r="D131" s="53">
        <v>13</v>
      </c>
      <c r="E131" s="54"/>
      <c r="F131" s="54"/>
      <c r="G131" s="54"/>
      <c r="H131" s="54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223</v>
      </c>
      <c r="C132" s="53">
        <v>19</v>
      </c>
      <c r="D132" s="53">
        <v>13</v>
      </c>
      <c r="E132" s="54"/>
      <c r="F132" s="54"/>
      <c r="G132" s="54"/>
      <c r="H132" s="54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222</v>
      </c>
      <c r="C133" s="53">
        <v>20</v>
      </c>
      <c r="D133" s="53">
        <v>222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rouge d'Amérique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Douglas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charme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303.33040062722074</v>
      </c>
      <c r="T3" s="62">
        <f>IF('Données projet'!E9&gt;30,$R$33-$H$33,LOOKUP('Données projet'!$E$9,$A$3:$A$203,R3:R203)-LOOKUP('Données projet'!$E$9,$A$3:$A$203,$H$3:$H$203))</f>
        <v>425.30058672361548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371.75294069149942</v>
      </c>
      <c r="AO3" s="62">
        <f>IF('Données projet'!E10&gt;30,$AM$33-$H$33,LOOKUP('Données projet'!$E$10,$A$3:$A$203,AM3:AM203)-LOOKUP('Données projet'!$E$10,$A$3:$A$203,$H$3:$H$203))</f>
        <v>233.32640143610547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555.15881087162279</v>
      </c>
      <c r="BJ3" s="62">
        <f>IF('Données projet'!E11&gt;30,$BH$33-$H$33,LOOKUP('Données projet'!$E$11,$A$3:$A$203,BH3:BH203)-LOOKUP('Données projet'!$E$11,$A$3:$A$203,$H$3:$H$203))</f>
        <v>668.20427590250733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293.996396026019</v>
      </c>
      <c r="CE3" s="62">
        <f>IF('Données projet'!E12&gt;30,$CC$33-$H$33,LOOKUP('Données projet'!$E$12,$A$3:$A$203,CC3:CC203)-LOOKUP('Données projet'!$E$12,$A$3:$A$203,$H$3:$H$203))</f>
        <v>152.23954167722536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7.1333333333333337</v>
      </c>
      <c r="N4" s="14">
        <f>IF('Données projet'!$A$36&gt;35,N3+M4-V3,IF(A4&lt;'Données projet'!$A$36,$K$205^A4,IF(A4='Données projet'!$A$36,'Données projet'!$B$36,N3+M4-V3)))</f>
        <v>1.3655017210306359</v>
      </c>
      <c r="O4" s="14">
        <f>N4*VLOOKUP('Données projet'!$B$9,Paramètres!$A$1:$I$89,3,0)*VLOOKUP('Données projet'!$B$9,Paramètres!$A$1:$I$89,5,0)</f>
        <v>1.1929023034923638</v>
      </c>
      <c r="P4" s="14">
        <f>EXP(-1.0587+0.8836*LN(O4)+0.284)</f>
        <v>0.53856749022761552</v>
      </c>
      <c r="Q4" s="22">
        <f t="shared" ref="Q4:Q34" si="2">(O4+P4)*0.475*44/12</f>
        <v>3.015643224062297</v>
      </c>
      <c r="R4" s="62">
        <f t="shared" si="0"/>
        <v>260.90453211295113</v>
      </c>
      <c r="S4" s="62">
        <f ca="1">AVERAGE(OFFSET($R$3,0,0,'Données projet'!$E$9+1,1))-AVERAGE(OFFSET($H$3,0,0,'Données projet'!$E$9+1,1))</f>
        <v>303.33040062722074</v>
      </c>
      <c r="T4" s="62">
        <f>$T$3</f>
        <v>425.30058672361548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260.61190763210914</v>
      </c>
      <c r="AN4" s="62">
        <f ca="1">AVERAGE(OFFSET($AM$3,0,0,'Données projet'!$E$10+1,1))-AVERAGE(OFFSET($H$3,0,0,'Données projet'!$E$10+1,1))</f>
        <v>371.75294069149942</v>
      </c>
      <c r="AO4" s="62">
        <f>$AO$3</f>
        <v>233.32640143610547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10.8</v>
      </c>
      <c r="BD4" s="13">
        <f>IF('Données projet'!$A$88&gt;35,BD3+BC4-BL3,IF(A4&lt;'Données projet'!$A$88,$BA$205^A4,IF(A4='Données projet'!$A$88,'Données projet'!$B$88,BD3+BC4-BL3)))</f>
        <v>1.4037863041747067</v>
      </c>
      <c r="BE4" s="14">
        <f>BD4*VLOOKUP('Données projet'!$B$11,Paramètres!$A$1:$I$89,3,0)*VLOOKUP('Données projet'!$B$11,Paramètres!$A$1:$I$89,5,0)</f>
        <v>0.78471654403366109</v>
      </c>
      <c r="BF4" s="14">
        <f>EXP(-1.0587+0.8836*LN(BE4)+0.284)</f>
        <v>0.37198061042729702</v>
      </c>
      <c r="BG4" s="22">
        <f t="shared" ref="BG4:BG67" si="7">(BE4+BF4)*0.475*44/12</f>
        <v>2.0145808773528358</v>
      </c>
      <c r="BH4" s="62">
        <f t="shared" ref="BH4:BH67" si="8">BG4+(AY4+AZ4)*44/12</f>
        <v>259.9034697662417</v>
      </c>
      <c r="BI4" s="62">
        <f ca="1">AVERAGE(OFFSET($BH$3,0,0,'Données projet'!$E$11+1,1))-AVERAGE(OFFSET($H$3,0,0,'Données projet'!$E$11+1,1))</f>
        <v>555.15881087162279</v>
      </c>
      <c r="BJ4" s="62">
        <f>$BJ$3</f>
        <v>668.20427590250733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1.0902831080943671</v>
      </c>
      <c r="CA4" s="14">
        <f>EXP(-1.0587+0.8836*LN(BZ4)+0.284)</f>
        <v>0.49741831937112058</v>
      </c>
      <c r="CB4" s="22">
        <f t="shared" ref="CB4:CB67" si="10">(BZ4+CA4)*0.475*44/12</f>
        <v>2.7652466528357245</v>
      </c>
      <c r="CC4" s="62">
        <f t="shared" ref="CC4:CC67" si="11">CB4+(BT4+BU4)*44/12</f>
        <v>260.6541355417246</v>
      </c>
      <c r="CD4" s="62">
        <f ca="1">AVERAGE(OFFSET($CC$3,0,0,'Données projet'!$E$12+1,1))-AVERAGE(OFFSET($H$3,0,0,'Données projet'!$E$12+1,1))</f>
        <v>293.996396026019</v>
      </c>
      <c r="CE4" s="62">
        <f>$CE$3</f>
        <v>152.23954167722536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7.1333333333333337</v>
      </c>
      <c r="N5" s="14">
        <f>IF('Données projet'!$A$36&gt;35,N4+M5-V4,IF(A5&lt;'Données projet'!$A$36,$K$205^A5,IF(A5='Données projet'!$A$36,'Données projet'!$B$36,N4+M5-V4)))</f>
        <v>1.8645949501376287</v>
      </c>
      <c r="O5" s="14">
        <f>N5*VLOOKUP('Données projet'!$B$9,Paramètres!$A$1:$I$89,3,0)*VLOOKUP('Données projet'!$B$9,Paramètres!$A$1:$I$89,5,0)</f>
        <v>1.6289101484402326</v>
      </c>
      <c r="P5" s="14">
        <f t="shared" ref="P5:P68" si="33">EXP(-1.0587+0.8836*LN(O5)+0.284)</f>
        <v>0.70922554238821334</v>
      </c>
      <c r="Q5" s="22">
        <f t="shared" si="2"/>
        <v>4.0722529948595438</v>
      </c>
      <c r="R5" s="62">
        <f t="shared" si="0"/>
        <v>263.18336410597067</v>
      </c>
      <c r="S5" s="62">
        <f ca="1">AVERAGE(OFFSET($R$3,0,0,'Données projet'!$E$9+1,1))-AVERAGE(OFFSET($H$3,0,0,'Données projet'!$E$9+1,1))</f>
        <v>303.33040062722074</v>
      </c>
      <c r="T5" s="62">
        <f t="shared" ref="T5:T68" si="34">$T$3</f>
        <v>425.30058672361548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262.32044908771906</v>
      </c>
      <c r="AN5" s="62">
        <f ca="1">AVERAGE(OFFSET($AM$3,0,0,'Données projet'!$E$10+1,1))-AVERAGE(OFFSET($H$3,0,0,'Données projet'!$E$10+1,1))</f>
        <v>371.75294069149942</v>
      </c>
      <c r="AO5" s="62">
        <f t="shared" ref="AO5:AO68" si="36">$AO$3</f>
        <v>233.32640143610547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10.8</v>
      </c>
      <c r="BD5" s="13">
        <f>IF('Données projet'!$A$88&gt;35,BD4+BC5-BL4,IF(A5&lt;'Données projet'!$A$88,$BA$205^A5,IF(A5='Données projet'!$A$88,'Données projet'!$B$88,BD4+BC5-BL4)))</f>
        <v>1.9706159877884823</v>
      </c>
      <c r="BE5" s="14">
        <f>BD5*VLOOKUP('Données projet'!$B$11,Paramètres!$A$1:$I$89,3,0)*VLOOKUP('Données projet'!$B$11,Paramètres!$A$1:$I$89,5,0)</f>
        <v>1.1015743371737616</v>
      </c>
      <c r="BF5" s="14">
        <f t="shared" ref="BF5:BF68" si="37">EXP(-1.0587+0.8836*LN(BE5)+0.284)</f>
        <v>0.50196734705126034</v>
      </c>
      <c r="BG5" s="22">
        <f t="shared" si="7"/>
        <v>2.7928351000252465</v>
      </c>
      <c r="BH5" s="62">
        <f t="shared" si="8"/>
        <v>261.90394621113637</v>
      </c>
      <c r="BI5" s="62">
        <f ca="1">AVERAGE(OFFSET($BH$3,0,0,'Données projet'!$E$11+1,1))-AVERAGE(OFFSET($H$3,0,0,'Données projet'!$E$11+1,1))</f>
        <v>555.15881087162279</v>
      </c>
      <c r="BJ5" s="62">
        <f t="shared" ref="BJ5:BJ68" si="38">$BJ$3</f>
        <v>668.20427590250733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1.2491774440898626</v>
      </c>
      <c r="CA5" s="14">
        <f t="shared" ref="CA5:CA68" si="39">EXP(-1.0587+0.8836*LN(BZ5)+0.284)</f>
        <v>0.56095645444965547</v>
      </c>
      <c r="CB5" s="22">
        <f t="shared" si="10"/>
        <v>3.1526498732896608</v>
      </c>
      <c r="CC5" s="62">
        <f t="shared" si="11"/>
        <v>262.26376098440079</v>
      </c>
      <c r="CD5" s="62">
        <f ca="1">AVERAGE(OFFSET($CC$3,0,0,'Données projet'!$E$12+1,1))-AVERAGE(OFFSET($H$3,0,0,'Données projet'!$E$12+1,1))</f>
        <v>293.996396026019</v>
      </c>
      <c r="CE5" s="62">
        <f t="shared" ref="CE5:CE68" si="40">$CE$3</f>
        <v>152.23954167722536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7.1333333333333337</v>
      </c>
      <c r="N6" s="14">
        <f>IF('Données projet'!$A$36&gt;35,N5+M6-V5,IF(A6&lt;'Données projet'!$A$36,$K$205^A6,IF(A6='Données projet'!$A$36,'Données projet'!$B$36,N5+M6-V5)))</f>
        <v>2.5461076134379645</v>
      </c>
      <c r="O6" s="14">
        <f>N6*VLOOKUP('Données projet'!$B$9,Paramètres!$A$1:$I$89,3,0)*VLOOKUP('Données projet'!$B$9,Paramètres!$A$1:$I$89,5,0)</f>
        <v>2.2242796110994063</v>
      </c>
      <c r="P6" s="14">
        <f t="shared" si="33"/>
        <v>0.93396069963909534</v>
      </c>
      <c r="Q6" s="22">
        <f t="shared" si="2"/>
        <v>5.5006018745362235</v>
      </c>
      <c r="R6" s="62">
        <f t="shared" si="0"/>
        <v>265.83393520786956</v>
      </c>
      <c r="S6" s="62">
        <f ca="1">AVERAGE(OFFSET($R$3,0,0,'Données projet'!$E$9+1,1))-AVERAGE(OFFSET($H$3,0,0,'Données projet'!$E$9+1,1))</f>
        <v>303.33040062722074</v>
      </c>
      <c r="T6" s="62">
        <f t="shared" si="34"/>
        <v>425.30058672361548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264.1161634225117</v>
      </c>
      <c r="AN6" s="62">
        <f ca="1">AVERAGE(OFFSET($AM$3,0,0,'Données projet'!$E$10+1,1))-AVERAGE(OFFSET($H$3,0,0,'Données projet'!$E$10+1,1))</f>
        <v>371.75294069149942</v>
      </c>
      <c r="AO6" s="62">
        <f t="shared" si="36"/>
        <v>233.32640143610547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10.8</v>
      </c>
      <c r="BD6" s="13">
        <f>IF('Données projet'!$A$88&gt;35,BD5+BC6-BL5,IF(A6&lt;'Données projet'!$A$88,$BA$205^A6,IF(A6='Données projet'!$A$88,'Données projet'!$B$88,BD5+BC6-BL5)))</f>
        <v>2.7663237344451828</v>
      </c>
      <c r="BE6" s="14">
        <f>BD6*VLOOKUP('Données projet'!$B$11,Paramètres!$A$1:$I$89,3,0)*VLOOKUP('Données projet'!$B$11,Paramètres!$A$1:$I$89,5,0)</f>
        <v>1.5463749675548573</v>
      </c>
      <c r="BF6" s="14">
        <f t="shared" si="37"/>
        <v>0.6773772891448272</v>
      </c>
      <c r="BG6" s="22">
        <f t="shared" si="7"/>
        <v>3.8730351804186167</v>
      </c>
      <c r="BH6" s="62">
        <f t="shared" si="8"/>
        <v>264.20636851375195</v>
      </c>
      <c r="BI6" s="62">
        <f ca="1">AVERAGE(OFFSET($BH$3,0,0,'Données projet'!$E$11+1,1))-AVERAGE(OFFSET($H$3,0,0,'Données projet'!$E$11+1,1))</f>
        <v>555.15881087162279</v>
      </c>
      <c r="BJ6" s="62">
        <f t="shared" si="38"/>
        <v>668.20427590250733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1.4312285270110057</v>
      </c>
      <c r="CA6" s="14">
        <f t="shared" si="39"/>
        <v>0.63261068508004337</v>
      </c>
      <c r="CB6" s="22">
        <f t="shared" si="10"/>
        <v>3.5945199610585767</v>
      </c>
      <c r="CC6" s="62">
        <f t="shared" si="11"/>
        <v>263.92785329439187</v>
      </c>
      <c r="CD6" s="62">
        <f ca="1">AVERAGE(OFFSET($CC$3,0,0,'Données projet'!$E$12+1,1))-AVERAGE(OFFSET($H$3,0,0,'Données projet'!$E$12+1,1))</f>
        <v>293.996396026019</v>
      </c>
      <c r="CE6" s="62">
        <f t="shared" si="40"/>
        <v>152.23954167722536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7.1333333333333337</v>
      </c>
      <c r="N7" s="14">
        <f>IF('Données projet'!$A$36&gt;35,N6+M7-V6,IF(A7&lt;'Données projet'!$A$36,$K$205^A7,IF(A7='Données projet'!$A$36,'Données projet'!$B$36,N6+M7-V6)))</f>
        <v>3.4767143280787458</v>
      </c>
      <c r="O7" s="14">
        <f>N7*VLOOKUP('Données projet'!$B$9,Paramètres!$A$1:$I$89,3,0)*VLOOKUP('Données projet'!$B$9,Paramètres!$A$1:$I$89,5,0)</f>
        <v>3.0372576370095925</v>
      </c>
      <c r="P7" s="14">
        <f t="shared" si="33"/>
        <v>1.2299085923119242</v>
      </c>
      <c r="Q7" s="22">
        <f t="shared" si="2"/>
        <v>7.4319811827349751</v>
      </c>
      <c r="R7" s="62">
        <f t="shared" si="0"/>
        <v>268.98753673829054</v>
      </c>
      <c r="S7" s="62">
        <f ca="1">AVERAGE(OFFSET($R$3,0,0,'Données projet'!$E$9+1,1))-AVERAGE(OFFSET($H$3,0,0,'Données projet'!$E$9+1,1))</f>
        <v>303.33040062722074</v>
      </c>
      <c r="T7" s="62">
        <f t="shared" si="34"/>
        <v>425.30058672361548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266.01473029332345</v>
      </c>
      <c r="AN7" s="62">
        <f ca="1">AVERAGE(OFFSET($AM$3,0,0,'Données projet'!$E$10+1,1))-AVERAGE(OFFSET($H$3,0,0,'Données projet'!$E$10+1,1))</f>
        <v>371.75294069149942</v>
      </c>
      <c r="AO7" s="62">
        <f t="shared" si="36"/>
        <v>233.32640143610547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10.8</v>
      </c>
      <c r="BD7" s="13">
        <f>IF('Données projet'!$A$88&gt;35,BD6+BC7-BL6,IF(A7&lt;'Données projet'!$A$88,$BA$205^A7,IF(A7='Données projet'!$A$88,'Données projet'!$B$88,BD6+BC7-BL6)))</f>
        <v>3.8833273713275762</v>
      </c>
      <c r="BE7" s="14">
        <f>BD7*VLOOKUP('Données projet'!$B$11,Paramètres!$A$1:$I$89,3,0)*VLOOKUP('Données projet'!$B$11,Paramètres!$A$1:$I$89,5,0)</f>
        <v>2.170780000572115</v>
      </c>
      <c r="BF7" s="14">
        <f t="shared" si="37"/>
        <v>0.91408334535022773</v>
      </c>
      <c r="BG7" s="22">
        <f t="shared" si="7"/>
        <v>5.3728036608147471</v>
      </c>
      <c r="BH7" s="62">
        <f t="shared" si="8"/>
        <v>266.92835921637027</v>
      </c>
      <c r="BI7" s="62">
        <f ca="1">AVERAGE(OFFSET($BH$3,0,0,'Données projet'!$E$11+1,1))-AVERAGE(OFFSET($H$3,0,0,'Données projet'!$E$11+1,1))</f>
        <v>555.15881087162279</v>
      </c>
      <c r="BJ7" s="62">
        <f t="shared" si="38"/>
        <v>668.20427590250733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1.6398111463039953</v>
      </c>
      <c r="CA7" s="14">
        <f t="shared" si="39"/>
        <v>0.71341772735294995</v>
      </c>
      <c r="CB7" s="22">
        <f t="shared" si="10"/>
        <v>4.0985402882858457</v>
      </c>
      <c r="CC7" s="62">
        <f t="shared" si="11"/>
        <v>265.65409584384139</v>
      </c>
      <c r="CD7" s="62">
        <f ca="1">AVERAGE(OFFSET($CC$3,0,0,'Données projet'!$E$12+1,1))-AVERAGE(OFFSET($H$3,0,0,'Données projet'!$E$12+1,1))</f>
        <v>293.996396026019</v>
      </c>
      <c r="CE7" s="62">
        <f t="shared" si="40"/>
        <v>152.23954167722536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7.1333333333333337</v>
      </c>
      <c r="N8" s="14">
        <f>IF('Données projet'!$A$36&gt;35,N7+M8-V7,IF(A8&lt;'Données projet'!$A$36,$K$205^A8,IF(A8='Données projet'!$A$36,'Données projet'!$B$36,N7+M8-V7)))</f>
        <v>4.7474593985233984</v>
      </c>
      <c r="O8" s="14">
        <f>N8*VLOOKUP('Données projet'!$B$9,Paramètres!$A$1:$I$89,3,0)*VLOOKUP('Données projet'!$B$9,Paramètres!$A$1:$I$89,5,0)</f>
        <v>4.1473805305500413</v>
      </c>
      <c r="P8" s="14">
        <f t="shared" si="33"/>
        <v>1.6196346870133109</v>
      </c>
      <c r="Q8" s="22">
        <f t="shared" si="2"/>
        <v>10.044218170589504</v>
      </c>
      <c r="R8" s="62">
        <f t="shared" si="0"/>
        <v>272.82199594836726</v>
      </c>
      <c r="S8" s="62">
        <f ca="1">AVERAGE(OFFSET($R$3,0,0,'Données projet'!$E$9+1,1))-AVERAGE(OFFSET($H$3,0,0,'Données projet'!$E$9+1,1))</f>
        <v>303.33040062722074</v>
      </c>
      <c r="T8" s="62">
        <f t="shared" si="34"/>
        <v>425.30058672361548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268.03465872166612</v>
      </c>
      <c r="AN8" s="62">
        <f ca="1">AVERAGE(OFFSET($AM$3,0,0,'Données projet'!$E$10+1,1))-AVERAGE(OFFSET($H$3,0,0,'Données projet'!$E$10+1,1))</f>
        <v>371.75294069149942</v>
      </c>
      <c r="AO8" s="62">
        <f t="shared" si="36"/>
        <v>233.32640143610547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10.8</v>
      </c>
      <c r="BD8" s="13">
        <f>IF('Données projet'!$A$88&gt;35,BD7+BC8-BL7,IF(A8&lt;'Données projet'!$A$88,$BA$205^A8,IF(A8='Données projet'!$A$88,'Données projet'!$B$88,BD7+BC8-BL7)))</f>
        <v>5.451361778496417</v>
      </c>
      <c r="BE8" s="14">
        <f>BD8*VLOOKUP('Données projet'!$B$11,Paramètres!$A$1:$I$89,3,0)*VLOOKUP('Données projet'!$B$11,Paramètres!$A$1:$I$89,5,0)</f>
        <v>3.0473112341794972</v>
      </c>
      <c r="BF8" s="14">
        <f t="shared" si="37"/>
        <v>1.2335051316844765</v>
      </c>
      <c r="BG8" s="22">
        <f t="shared" si="7"/>
        <v>7.4557551705464205</v>
      </c>
      <c r="BH8" s="62">
        <f t="shared" si="8"/>
        <v>270.23353294832418</v>
      </c>
      <c r="BI8" s="62">
        <f ca="1">AVERAGE(OFFSET($BH$3,0,0,'Données projet'!$E$11+1,1))-AVERAGE(OFFSET($H$3,0,0,'Données projet'!$E$11+1,1))</f>
        <v>555.15881087162279</v>
      </c>
      <c r="BJ8" s="62">
        <f t="shared" si="38"/>
        <v>668.20427590250733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1.878791922320415</v>
      </c>
      <c r="CA8" s="14">
        <f t="shared" si="39"/>
        <v>0.8045467231351765</v>
      </c>
      <c r="CB8" s="22">
        <f t="shared" si="10"/>
        <v>4.6734814741684882</v>
      </c>
      <c r="CC8" s="62">
        <f t="shared" si="11"/>
        <v>267.45125925194628</v>
      </c>
      <c r="CD8" s="62">
        <f ca="1">AVERAGE(OFFSET($CC$3,0,0,'Données projet'!$E$12+1,1))-AVERAGE(OFFSET($H$3,0,0,'Données projet'!$E$12+1,1))</f>
        <v>293.996396026019</v>
      </c>
      <c r="CE8" s="62">
        <f t="shared" si="40"/>
        <v>152.23954167722536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7.1333333333333337</v>
      </c>
      <c r="N9" s="14">
        <f>IF('Données projet'!$A$36&gt;35,N8+M9-V8,IF(A9&lt;'Données projet'!$A$36,$K$205^A9,IF(A9='Données projet'!$A$36,'Données projet'!$B$36,N8+M9-V8)))</f>
        <v>6.4826639792067677</v>
      </c>
      <c r="O9" s="14">
        <f>N9*VLOOKUP('Données projet'!$B$9,Paramètres!$A$1:$I$89,3,0)*VLOOKUP('Données projet'!$B$9,Paramètres!$A$1:$I$89,5,0)</f>
        <v>5.6632552522350332</v>
      </c>
      <c r="P9" s="14">
        <f t="shared" si="33"/>
        <v>2.1328548607386395</v>
      </c>
      <c r="Q9" s="22">
        <f t="shared" si="2"/>
        <v>13.578225113429147</v>
      </c>
      <c r="R9" s="62">
        <f t="shared" si="0"/>
        <v>277.57822511342914</v>
      </c>
      <c r="S9" s="62">
        <f ca="1">AVERAGE(OFFSET($R$3,0,0,'Données projet'!$E$9+1,1))-AVERAGE(OFFSET($H$3,0,0,'Données projet'!$E$9+1,1))</f>
        <v>303.33040062722074</v>
      </c>
      <c r="T9" s="62">
        <f t="shared" si="34"/>
        <v>425.30058672361548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270.19779917460153</v>
      </c>
      <c r="AN9" s="62">
        <f ca="1">AVERAGE(OFFSET($AM$3,0,0,'Données projet'!$E$10+1,1))-AVERAGE(OFFSET($H$3,0,0,'Données projet'!$E$10+1,1))</f>
        <v>371.75294069149942</v>
      </c>
      <c r="AO9" s="62">
        <f t="shared" si="36"/>
        <v>233.32640143610547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10.8</v>
      </c>
      <c r="BD9" s="13">
        <f>IF('Données projet'!$A$88&gt;35,BD8+BC9-BL8,IF(A9&lt;'Données projet'!$A$88,$BA$205^A9,IF(A9='Données projet'!$A$88,'Données projet'!$B$88,BD8+BC9-BL8)))</f>
        <v>7.6525470037547425</v>
      </c>
      <c r="BE9" s="14">
        <f>BD9*VLOOKUP('Données projet'!$B$11,Paramètres!$A$1:$I$89,3,0)*VLOOKUP('Données projet'!$B$11,Paramètres!$A$1:$I$89,5,0)</f>
        <v>4.2777737750989013</v>
      </c>
      <c r="BF9" s="14">
        <f t="shared" si="37"/>
        <v>1.6645472402836166</v>
      </c>
      <c r="BG9" s="22">
        <f t="shared" si="7"/>
        <v>10.349542435124553</v>
      </c>
      <c r="BH9" s="62">
        <f t="shared" si="8"/>
        <v>274.34954243512453</v>
      </c>
      <c r="BI9" s="62">
        <f ca="1">AVERAGE(OFFSET($BH$3,0,0,'Données projet'!$E$11+1,1))-AVERAGE(OFFSET($H$3,0,0,'Données projet'!$E$11+1,1))</f>
        <v>555.15881087162279</v>
      </c>
      <c r="BJ9" s="62">
        <f t="shared" si="38"/>
        <v>668.20427590250733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2.1526009841636116</v>
      </c>
      <c r="CA9" s="14">
        <f t="shared" si="39"/>
        <v>0.90731615558427703</v>
      </c>
      <c r="CB9" s="22">
        <f t="shared" si="10"/>
        <v>5.3293556850609054</v>
      </c>
      <c r="CC9" s="62">
        <f t="shared" si="11"/>
        <v>269.32935568506093</v>
      </c>
      <c r="CD9" s="62">
        <f ca="1">AVERAGE(OFFSET($CC$3,0,0,'Données projet'!$E$12+1,1))-AVERAGE(OFFSET($H$3,0,0,'Données projet'!$E$12+1,1))</f>
        <v>293.996396026019</v>
      </c>
      <c r="CE9" s="62">
        <f t="shared" si="40"/>
        <v>152.23954167722536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7.1333333333333337</v>
      </c>
      <c r="N10" s="14">
        <f>IF('Données projet'!$A$36&gt;35,N9+M10-V9,IF(A10&lt;'Données projet'!$A$36,$K$205^A10,IF(A10='Données projet'!$A$36,'Données projet'!$B$36,N9+M10-V9)))</f>
        <v>8.8520888204701524</v>
      </c>
      <c r="O10" s="14">
        <f>N10*VLOOKUP('Données projet'!$B$9,Paramètres!$A$1:$I$89,3,0)*VLOOKUP('Données projet'!$B$9,Paramètres!$A$1:$I$89,5,0)</f>
        <v>7.7331847935627263</v>
      </c>
      <c r="P10" s="14">
        <f t="shared" si="33"/>
        <v>2.8087011802427866</v>
      </c>
      <c r="Q10" s="22">
        <f t="shared" si="2"/>
        <v>18.360451404377937</v>
      </c>
      <c r="R10" s="62">
        <f t="shared" si="0"/>
        <v>283.58267362660018</v>
      </c>
      <c r="S10" s="62">
        <f ca="1">AVERAGE(OFFSET($R$3,0,0,'Données projet'!$E$9+1,1))-AVERAGE(OFFSET($H$3,0,0,'Données projet'!$E$9+1,1))</f>
        <v>303.33040062722074</v>
      </c>
      <c r="T10" s="62">
        <f t="shared" si="34"/>
        <v>425.30058672361548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272.5299485819337</v>
      </c>
      <c r="AN10" s="62">
        <f ca="1">AVERAGE(OFFSET($AM$3,0,0,'Données projet'!$E$10+1,1))-AVERAGE(OFFSET($H$3,0,0,'Données projet'!$E$10+1,1))</f>
        <v>371.75294069149942</v>
      </c>
      <c r="AO10" s="62">
        <f t="shared" si="36"/>
        <v>233.32640143610547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10.8</v>
      </c>
      <c r="BD10" s="13">
        <f>IF('Données projet'!$A$88&gt;35,BD9+BC10-BL9,IF(A10&lt;'Données projet'!$A$88,$BA$205^A10,IF(A10='Données projet'!$A$88,'Données projet'!$B$88,BD9+BC10-BL9)))</f>
        <v>10.742540675924095</v>
      </c>
      <c r="BE10" s="14">
        <f>BD10*VLOOKUP('Données projet'!$B$11,Paramètres!$A$1:$I$89,3,0)*VLOOKUP('Données projet'!$B$11,Paramètres!$A$1:$I$89,5,0)</f>
        <v>6.0050802378415691</v>
      </c>
      <c r="BF10" s="14">
        <f t="shared" si="37"/>
        <v>2.2462148263235089</v>
      </c>
      <c r="BG10" s="22">
        <f t="shared" si="7"/>
        <v>14.37100557008751</v>
      </c>
      <c r="BH10" s="62">
        <f t="shared" si="8"/>
        <v>279.59322779230973</v>
      </c>
      <c r="BI10" s="62">
        <f ca="1">AVERAGE(OFFSET($BH$3,0,0,'Données projet'!$E$11+1,1))-AVERAGE(OFFSET($H$3,0,0,'Données projet'!$E$11+1,1))</f>
        <v>555.15881087162279</v>
      </c>
      <c r="BJ10" s="62">
        <f t="shared" si="38"/>
        <v>668.20427590250733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2.4663140936327195</v>
      </c>
      <c r="CA10" s="14">
        <f t="shared" si="39"/>
        <v>1.0232129253802424</v>
      </c>
      <c r="CB10" s="22">
        <f t="shared" si="10"/>
        <v>6.0775928914475736</v>
      </c>
      <c r="CC10" s="62">
        <f t="shared" si="11"/>
        <v>271.29981511366981</v>
      </c>
      <c r="CD10" s="62">
        <f ca="1">AVERAGE(OFFSET($CC$3,0,0,'Données projet'!$E$12+1,1))-AVERAGE(OFFSET($H$3,0,0,'Données projet'!$E$12+1,1))</f>
        <v>293.996396026019</v>
      </c>
      <c r="CE10" s="62">
        <f t="shared" si="40"/>
        <v>152.23954167722536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7.1333333333333337</v>
      </c>
      <c r="N11" s="14">
        <f>IF('Données projet'!$A$36&gt;35,N10+M11-V10,IF(A11&lt;'Données projet'!$A$36,$K$205^A11,IF(A11='Données projet'!$A$36,'Données projet'!$B$36,N10+M11-V10)))</f>
        <v>12.087542519068045</v>
      </c>
      <c r="O11" s="14">
        <f>N11*VLOOKUP('Données projet'!$B$9,Paramètres!$A$1:$I$89,3,0)*VLOOKUP('Données projet'!$B$9,Paramètres!$A$1:$I$89,5,0)</f>
        <v>10.559677144657845</v>
      </c>
      <c r="P11" s="14">
        <f t="shared" si="33"/>
        <v>3.6987056480557761</v>
      </c>
      <c r="Q11" s="22">
        <f t="shared" si="2"/>
        <v>24.83335003064289</v>
      </c>
      <c r="R11" s="62">
        <f t="shared" si="0"/>
        <v>291.27779447508738</v>
      </c>
      <c r="S11" s="62">
        <f ca="1">AVERAGE(OFFSET($R$3,0,0,'Données projet'!$E$9+1,1))-AVERAGE(OFFSET($H$3,0,0,'Données projet'!$E$9+1,1))</f>
        <v>303.33040062722074</v>
      </c>
      <c r="T11" s="62">
        <f t="shared" si="34"/>
        <v>425.30058672361548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275.06156519923923</v>
      </c>
      <c r="AN11" s="62">
        <f ca="1">AVERAGE(OFFSET($AM$3,0,0,'Données projet'!$E$10+1,1))-AVERAGE(OFFSET($H$3,0,0,'Données projet'!$E$10+1,1))</f>
        <v>371.75294069149942</v>
      </c>
      <c r="AO11" s="62">
        <f t="shared" si="36"/>
        <v>233.32640143610547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10.8</v>
      </c>
      <c r="BD11" s="13">
        <f>IF('Données projet'!$A$88&gt;35,BD10+BC11-BL10,IF(A11&lt;'Données projet'!$A$88,$BA$205^A11,IF(A11='Données projet'!$A$88,'Données projet'!$B$88,BD10+BC11-BL10)))</f>
        <v>15.080231472901943</v>
      </c>
      <c r="BE11" s="14">
        <f>BD11*VLOOKUP('Données projet'!$B$11,Paramètres!$A$1:$I$89,3,0)*VLOOKUP('Données projet'!$B$11,Paramètres!$A$1:$I$89,5,0)</f>
        <v>8.4298493933521872</v>
      </c>
      <c r="BF11" s="14">
        <f t="shared" si="37"/>
        <v>3.0311431985167756</v>
      </c>
      <c r="BG11" s="22">
        <f t="shared" si="7"/>
        <v>19.961228764171775</v>
      </c>
      <c r="BH11" s="62">
        <f t="shared" si="8"/>
        <v>286.40567320861624</v>
      </c>
      <c r="BI11" s="62">
        <f ca="1">AVERAGE(OFFSET($BH$3,0,0,'Données projet'!$E$11+1,1))-AVERAGE(OFFSET($H$3,0,0,'Données projet'!$E$11+1,1))</f>
        <v>555.15881087162279</v>
      </c>
      <c r="BJ11" s="62">
        <f t="shared" si="38"/>
        <v>668.20427590250733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2.8257467376448333</v>
      </c>
      <c r="CA11" s="14">
        <f t="shared" si="39"/>
        <v>1.1539138636752129</v>
      </c>
      <c r="CB11" s="22">
        <f t="shared" si="10"/>
        <v>6.9312422139657466</v>
      </c>
      <c r="CC11" s="62">
        <f t="shared" si="11"/>
        <v>273.37568665841019</v>
      </c>
      <c r="CD11" s="62">
        <f ca="1">AVERAGE(OFFSET($CC$3,0,0,'Données projet'!$E$12+1,1))-AVERAGE(OFFSET($H$3,0,0,'Données projet'!$E$12+1,1))</f>
        <v>293.996396026019</v>
      </c>
      <c r="CE11" s="62">
        <f t="shared" si="40"/>
        <v>152.23954167722536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7.1333333333333337</v>
      </c>
      <c r="N12" s="14">
        <f>IF('Données projet'!$A$36&gt;35,N11+M12-V11,IF(A12&lt;'Données projet'!$A$36,$K$205^A12,IF(A12='Données projet'!$A$36,'Données projet'!$B$36,N11+M12-V11)))</f>
        <v>16.505560112818404</v>
      </c>
      <c r="O12" s="14">
        <f>N12*VLOOKUP('Données projet'!$B$9,Paramètres!$A$1:$I$89,3,0)*VLOOKUP('Données projet'!$B$9,Paramètres!$A$1:$I$89,5,0)</f>
        <v>14.419257314558161</v>
      </c>
      <c r="P12" s="14">
        <f t="shared" si="33"/>
        <v>4.870729420129039</v>
      </c>
      <c r="Q12" s="22">
        <f t="shared" si="2"/>
        <v>33.596726896246878</v>
      </c>
      <c r="R12" s="62">
        <f t="shared" si="0"/>
        <v>301.26339356291356</v>
      </c>
      <c r="S12" s="62">
        <f ca="1">AVERAGE(OFFSET($R$3,0,0,'Données projet'!$E$9+1,1))-AVERAGE(OFFSET($H$3,0,0,'Données projet'!$E$9+1,1))</f>
        <v>303.33040062722074</v>
      </c>
      <c r="T12" s="62">
        <f t="shared" si="34"/>
        <v>425.30058672361548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277.8286133100172</v>
      </c>
      <c r="AN12" s="62">
        <f ca="1">AVERAGE(OFFSET($AM$3,0,0,'Données projet'!$E$10+1,1))-AVERAGE(OFFSET($H$3,0,0,'Données projet'!$E$10+1,1))</f>
        <v>371.75294069149942</v>
      </c>
      <c r="AO12" s="62">
        <f t="shared" si="36"/>
        <v>233.32640143610547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10.8</v>
      </c>
      <c r="BD12" s="13">
        <f>IF('Données projet'!$A$88&gt;35,BD11+BC12-BL11,IF(A12&lt;'Données projet'!$A$88,$BA$205^A12,IF(A12='Données projet'!$A$88,'Données projet'!$B$88,BD11+BC12-BL11)))</f>
        <v>21.169422405444113</v>
      </c>
      <c r="BE12" s="14">
        <f>BD12*VLOOKUP('Données projet'!$B$11,Paramètres!$A$1:$I$89,3,0)*VLOOKUP('Données projet'!$B$11,Paramètres!$A$1:$I$89,5,0)</f>
        <v>11.83370712464326</v>
      </c>
      <c r="BF12" s="14">
        <f t="shared" si="37"/>
        <v>4.0903608070972819</v>
      </c>
      <c r="BG12" s="22">
        <f t="shared" si="7"/>
        <v>27.734418314448106</v>
      </c>
      <c r="BH12" s="62">
        <f t="shared" si="8"/>
        <v>295.40108498111476</v>
      </c>
      <c r="BI12" s="62">
        <f ca="1">AVERAGE(OFFSET($BH$3,0,0,'Données projet'!$E$11+1,1))-AVERAGE(OFFSET($H$3,0,0,'Données projet'!$E$11+1,1))</f>
        <v>555.15881087162279</v>
      </c>
      <c r="BJ12" s="62">
        <f t="shared" si="38"/>
        <v>668.20427590250733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3.2375619333826471</v>
      </c>
      <c r="CA12" s="14">
        <f t="shared" si="39"/>
        <v>1.3013099930173813</v>
      </c>
      <c r="CB12" s="22">
        <f t="shared" si="10"/>
        <v>7.9052019384800483</v>
      </c>
      <c r="CC12" s="62">
        <f t="shared" si="11"/>
        <v>275.57186860514673</v>
      </c>
      <c r="CD12" s="62">
        <f ca="1">AVERAGE(OFFSET($CC$3,0,0,'Données projet'!$E$12+1,1))-AVERAGE(OFFSET($H$3,0,0,'Données projet'!$E$12+1,1))</f>
        <v>293.996396026019</v>
      </c>
      <c r="CE12" s="62">
        <f t="shared" si="40"/>
        <v>152.23954167722536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7.1333333333333337</v>
      </c>
      <c r="N13" s="14">
        <f>IF('Données projet'!$A$36&gt;35,N12+M13-V12,IF(A13&lt;'Données projet'!$A$36,$K$205^A13,IF(A13='Données projet'!$A$36,'Données projet'!$B$36,N12+M13-V12)))</f>
        <v>22.538370740628146</v>
      </c>
      <c r="O13" s="14">
        <f>N13*VLOOKUP('Données projet'!$B$9,Paramètres!$A$1:$I$89,3,0)*VLOOKUP('Données projet'!$B$9,Paramètres!$A$1:$I$89,5,0)</f>
        <v>19.689520679012752</v>
      </c>
      <c r="P13" s="14">
        <f t="shared" si="33"/>
        <v>6.414137090520053</v>
      </c>
      <c r="Q13" s="22">
        <f t="shared" si="2"/>
        <v>45.463870615269634</v>
      </c>
      <c r="R13" s="62">
        <f t="shared" si="0"/>
        <v>314.35275950415848</v>
      </c>
      <c r="S13" s="62">
        <f ca="1">AVERAGE(OFFSET($R$3,0,0,'Données projet'!$E$9+1,1))-AVERAGE(OFFSET($H$3,0,0,'Données projet'!$E$9+1,1))</f>
        <v>303.33040062722074</v>
      </c>
      <c r="T13" s="62">
        <f t="shared" si="34"/>
        <v>425.30058672361548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280.87356140756339</v>
      </c>
      <c r="AN13" s="62">
        <f ca="1">AVERAGE(OFFSET($AM$3,0,0,'Données projet'!$E$10+1,1))-AVERAGE(OFFSET($H$3,0,0,'Données projet'!$E$10+1,1))</f>
        <v>371.75294069149942</v>
      </c>
      <c r="AO13" s="62">
        <f t="shared" si="36"/>
        <v>233.32640143610547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10.8</v>
      </c>
      <c r="BD13" s="13">
        <f>IF('Données projet'!$A$88&gt;35,BD12+BC13-BL12,IF(A13&lt;'Données projet'!$A$88,$BA$205^A13,IF(A13='Données projet'!$A$88,'Données projet'!$B$88,BD12+BC13-BL12)))</f>
        <v>29.717345240051621</v>
      </c>
      <c r="BE13" s="14">
        <f>BD13*VLOOKUP('Données projet'!$B$11,Paramètres!$A$1:$I$89,3,0)*VLOOKUP('Données projet'!$B$11,Paramètres!$A$1:$I$89,5,0)</f>
        <v>16.611995989188856</v>
      </c>
      <c r="BF13" s="14">
        <f t="shared" si="37"/>
        <v>5.5197166337850669</v>
      </c>
      <c r="BG13" s="22">
        <f t="shared" si="7"/>
        <v>38.546066151679575</v>
      </c>
      <c r="BH13" s="62">
        <f t="shared" si="8"/>
        <v>307.43495504056841</v>
      </c>
      <c r="BI13" s="62">
        <f ca="1">AVERAGE(OFFSET($BH$3,0,0,'Données projet'!$E$11+1,1))-AVERAGE(OFFSET($H$3,0,0,'Données projet'!$E$11+1,1))</f>
        <v>555.15881087162279</v>
      </c>
      <c r="BJ13" s="62">
        <f t="shared" si="38"/>
        <v>668.20427590250733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3.7093937446158476</v>
      </c>
      <c r="CA13" s="14">
        <f t="shared" si="39"/>
        <v>1.4675338872638184</v>
      </c>
      <c r="CB13" s="22">
        <f t="shared" si="10"/>
        <v>9.0164822921904193</v>
      </c>
      <c r="CC13" s="62">
        <f t="shared" si="11"/>
        <v>277.90537118107926</v>
      </c>
      <c r="CD13" s="62">
        <f ca="1">AVERAGE(OFFSET($CC$3,0,0,'Données projet'!$E$12+1,1))-AVERAGE(OFFSET($H$3,0,0,'Données projet'!$E$12+1,1))</f>
        <v>293.996396026019</v>
      </c>
      <c r="CE13" s="62">
        <f t="shared" si="40"/>
        <v>152.23954167722536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7.1333333333333337</v>
      </c>
      <c r="N14" s="14">
        <f>IF('Données projet'!$A$36&gt;35,N13+M14-V13,IF(A14&lt;'Données projet'!$A$36,$K$205^A14,IF(A14='Données projet'!$A$36,'Données projet'!$B$36,N13+M14-V13)))</f>
        <v>30.776184035554262</v>
      </c>
      <c r="O14" s="14">
        <f>N14*VLOOKUP('Données projet'!$B$9,Paramètres!$A$1:$I$89,3,0)*VLOOKUP('Données projet'!$B$9,Paramètres!$A$1:$I$89,5,0)</f>
        <v>26.886074373460207</v>
      </c>
      <c r="P14" s="14">
        <f t="shared" si="33"/>
        <v>8.4466105725279856</v>
      </c>
      <c r="Q14" s="22">
        <f t="shared" si="2"/>
        <v>61.537759614262761</v>
      </c>
      <c r="R14" s="62">
        <f t="shared" si="0"/>
        <v>331.64887072537391</v>
      </c>
      <c r="S14" s="62">
        <f ca="1">AVERAGE(OFFSET($R$3,0,0,'Données projet'!$E$9+1,1))-AVERAGE(OFFSET($H$3,0,0,'Données projet'!$E$9+1,1))</f>
        <v>303.33040062722074</v>
      </c>
      <c r="T14" s="62">
        <f t="shared" si="34"/>
        <v>425.30058672361548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284.24656181124851</v>
      </c>
      <c r="AN14" s="62">
        <f ca="1">AVERAGE(OFFSET($AM$3,0,0,'Données projet'!$E$10+1,1))-AVERAGE(OFFSET($H$3,0,0,'Données projet'!$E$10+1,1))</f>
        <v>371.75294069149942</v>
      </c>
      <c r="AO14" s="62">
        <f t="shared" si="36"/>
        <v>233.32640143610547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41.716802244415881</v>
      </c>
      <c r="BE14" s="14">
        <f>BD14*VLOOKUP('Données projet'!$B$11,Paramètres!$A$1:$I$89,3,0)*VLOOKUP('Données projet'!$B$11,Paramètres!$A$1:$I$89,5,0)</f>
        <v>23.319692454628481</v>
      </c>
      <c r="BF14" s="14">
        <f t="shared" si="37"/>
        <v>7.4485536005574575</v>
      </c>
      <c r="BG14" s="22">
        <f t="shared" si="7"/>
        <v>53.58802854611551</v>
      </c>
      <c r="BH14" s="62">
        <f t="shared" si="8"/>
        <v>323.69913965722662</v>
      </c>
      <c r="BI14" s="62">
        <f ca="1">AVERAGE(OFFSET($BH$3,0,0,'Données projet'!$E$11+1,1))-AVERAGE(OFFSET($H$3,0,0,'Données projet'!$E$11+1,1))</f>
        <v>555.15881087162279</v>
      </c>
      <c r="BJ14" s="62">
        <f t="shared" si="38"/>
        <v>668.20427590250733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4.2499887988919385</v>
      </c>
      <c r="CA14" s="14">
        <f t="shared" si="39"/>
        <v>1.6549905263340952</v>
      </c>
      <c r="CB14" s="22">
        <f t="shared" si="10"/>
        <v>10.284505658102008</v>
      </c>
      <c r="CC14" s="62">
        <f t="shared" si="11"/>
        <v>280.39561676921318</v>
      </c>
      <c r="CD14" s="62">
        <f ca="1">AVERAGE(OFFSET($CC$3,0,0,'Données projet'!$E$12+1,1))-AVERAGE(OFFSET($H$3,0,0,'Données projet'!$E$12+1,1))</f>
        <v>293.996396026019</v>
      </c>
      <c r="CE14" s="62">
        <f t="shared" si="40"/>
        <v>152.23954167722536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7.1333333333333337</v>
      </c>
      <c r="N15" s="14">
        <f>IF('Données projet'!$A$36&gt;35,N14+M15-V14,IF(A15&lt;'Données projet'!$A$36,$K$205^A15,IF(A15='Données projet'!$A$36,'Données projet'!$B$36,N14+M15-V14)))</f>
        <v>42.024932267304926</v>
      </c>
      <c r="O15" s="14">
        <f>N15*VLOOKUP('Données projet'!$B$9,Paramètres!$A$1:$I$89,3,0)*VLOOKUP('Données projet'!$B$9,Paramètres!$A$1:$I$89,5,0)</f>
        <v>36.71298082871759</v>
      </c>
      <c r="P15" s="14">
        <f t="shared" si="33"/>
        <v>11.123122121818724</v>
      </c>
      <c r="Q15" s="22">
        <f t="shared" si="2"/>
        <v>83.314545972184078</v>
      </c>
      <c r="R15" s="62">
        <f t="shared" si="0"/>
        <v>354.64787930551739</v>
      </c>
      <c r="S15" s="62">
        <f ca="1">AVERAGE(OFFSET($R$3,0,0,'Données projet'!$E$9+1,1))-AVERAGE(OFFSET($H$3,0,0,'Données projet'!$E$9+1,1))</f>
        <v>303.33040062722074</v>
      </c>
      <c r="T15" s="62">
        <f t="shared" si="34"/>
        <v>425.30058672361548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288.00684477481775</v>
      </c>
      <c r="AN15" s="62">
        <f ca="1">AVERAGE(OFFSET($AM$3,0,0,'Données projet'!$E$10+1,1))-AVERAGE(OFFSET($H$3,0,0,'Données projet'!$E$10+1,1))</f>
        <v>371.75294069149942</v>
      </c>
      <c r="AO15" s="62">
        <f t="shared" si="36"/>
        <v>233.32640143610547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58.561475644675681</v>
      </c>
      <c r="BE15" s="14">
        <f>BD15*VLOOKUP('Données projet'!$B$11,Paramètres!$A$1:$I$89,3,0)*VLOOKUP('Données projet'!$B$11,Paramètres!$A$1:$I$89,5,0)</f>
        <v>32.735864885373708</v>
      </c>
      <c r="BF15" s="14">
        <f t="shared" si="37"/>
        <v>10.051412857100269</v>
      </c>
      <c r="BG15" s="22">
        <f t="shared" si="7"/>
        <v>74.521175401475503</v>
      </c>
      <c r="BH15" s="62">
        <f t="shared" si="8"/>
        <v>345.8545087348088</v>
      </c>
      <c r="BI15" s="62">
        <f ca="1">AVERAGE(OFFSET($BH$3,0,0,'Données projet'!$E$11+1,1))-AVERAGE(OFFSET($H$3,0,0,'Données projet'!$E$11+1,1))</f>
        <v>555.15881087162279</v>
      </c>
      <c r="BJ15" s="62">
        <f t="shared" si="38"/>
        <v>668.20427590250733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4.8693684289850241</v>
      </c>
      <c r="CA15" s="14">
        <f t="shared" si="39"/>
        <v>1.8663920922210482</v>
      </c>
      <c r="CB15" s="22">
        <f t="shared" si="10"/>
        <v>11.73144957443391</v>
      </c>
      <c r="CC15" s="62">
        <f t="shared" si="11"/>
        <v>283.06478290776721</v>
      </c>
      <c r="CD15" s="62">
        <f ca="1">AVERAGE(OFFSET($CC$3,0,0,'Données projet'!$E$12+1,1))-AVERAGE(OFFSET($H$3,0,0,'Données projet'!$E$12+1,1))</f>
        <v>293.996396026019</v>
      </c>
      <c r="CE15" s="62">
        <f t="shared" si="40"/>
        <v>152.23954167722536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7.1333333333333337</v>
      </c>
      <c r="N16" s="14">
        <f>IF('Données projet'!$A$36&gt;35,N15+M16-V15,IF(A16&lt;'Données projet'!$A$36,$K$205^A16,IF(A16='Données projet'!$A$36,'Données projet'!$B$36,N15+M16-V15)))</f>
        <v>57.385117337200782</v>
      </c>
      <c r="O16" s="14">
        <f>N16*VLOOKUP('Données projet'!$B$9,Paramètres!$A$1:$I$89,3,0)*VLOOKUP('Données projet'!$B$9,Paramètres!$A$1:$I$89,5,0)</f>
        <v>50.131638505778611</v>
      </c>
      <c r="P16" s="14">
        <f t="shared" si="33"/>
        <v>14.647750677567194</v>
      </c>
      <c r="Q16" s="22">
        <f t="shared" si="2"/>
        <v>112.82410282766058</v>
      </c>
      <c r="R16" s="62">
        <f t="shared" si="0"/>
        <v>385.37965838321611</v>
      </c>
      <c r="S16" s="62">
        <f ca="1">AVERAGE(OFFSET($R$3,0,0,'Données projet'!$E$9+1,1))-AVERAGE(OFFSET($H$3,0,0,'Données projet'!$E$9+1,1))</f>
        <v>303.33040062722074</v>
      </c>
      <c r="T16" s="62">
        <f t="shared" si="34"/>
        <v>425.30058672361548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292.22436618065581</v>
      </c>
      <c r="AN16" s="62">
        <f ca="1">AVERAGE(OFFSET($AM$3,0,0,'Données projet'!$E$10+1,1))-AVERAGE(OFFSET($H$3,0,0,'Données projet'!$E$10+1,1))</f>
        <v>371.75294069149942</v>
      </c>
      <c r="AO16" s="62">
        <f t="shared" si="36"/>
        <v>233.32640143610547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82.20779746225638</v>
      </c>
      <c r="BE16" s="14">
        <f>BD16*VLOOKUP('Données projet'!$B$11,Paramètres!$A$1:$I$89,3,0)*VLOOKUP('Données projet'!$B$11,Paramètres!$A$1:$I$89,5,0)</f>
        <v>45.954158781401318</v>
      </c>
      <c r="BF16" s="14">
        <f t="shared" si="37"/>
        <v>13.563828072113143</v>
      </c>
      <c r="BG16" s="22">
        <f t="shared" si="7"/>
        <v>103.66049376987102</v>
      </c>
      <c r="BH16" s="62">
        <f t="shared" si="8"/>
        <v>376.21604932542658</v>
      </c>
      <c r="BI16" s="62">
        <f ca="1">AVERAGE(OFFSET($BH$3,0,0,'Données projet'!$E$11+1,1))-AVERAGE(OFFSET($H$3,0,0,'Données projet'!$E$11+1,1))</f>
        <v>555.15881087162279</v>
      </c>
      <c r="BJ16" s="62">
        <f t="shared" si="38"/>
        <v>668.20427590250733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5.5790144443152343</v>
      </c>
      <c r="CA16" s="14">
        <f t="shared" si="39"/>
        <v>2.1047972096983822</v>
      </c>
      <c r="CB16" s="22">
        <f t="shared" si="10"/>
        <v>13.382638630740383</v>
      </c>
      <c r="CC16" s="62">
        <f t="shared" si="11"/>
        <v>285.9381941862959</v>
      </c>
      <c r="CD16" s="62">
        <f ca="1">AVERAGE(OFFSET($CC$3,0,0,'Données projet'!$E$12+1,1))-AVERAGE(OFFSET($H$3,0,0,'Données projet'!$E$12+1,1))</f>
        <v>293.996396026019</v>
      </c>
      <c r="CE16" s="62">
        <f t="shared" si="40"/>
        <v>152.23954167722536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7.1333333333333337</v>
      </c>
      <c r="N17" s="14">
        <f>IF('Données projet'!$A$36&gt;35,N16+M17-V16,IF(A17&lt;'Données projet'!$A$36,$K$205^A17,IF(A17='Données projet'!$A$36,'Données projet'!$B$36,N16+M17-V16)))</f>
        <v>78.35947648549265</v>
      </c>
      <c r="O17" s="14">
        <f>N17*VLOOKUP('Données projet'!$B$9,Paramètres!$A$1:$I$89,3,0)*VLOOKUP('Données projet'!$B$9,Paramètres!$A$1:$I$89,5,0)</f>
        <v>68.454838657726384</v>
      </c>
      <c r="P17" s="14">
        <f t="shared" si="33"/>
        <v>19.289242495261615</v>
      </c>
      <c r="Q17" s="22">
        <f t="shared" si="2"/>
        <v>152.8209413414541</v>
      </c>
      <c r="R17" s="62">
        <f t="shared" si="0"/>
        <v>426.59871911923187</v>
      </c>
      <c r="S17" s="62">
        <f ca="1">AVERAGE(OFFSET($R$3,0,0,'Données projet'!$E$9+1,1))-AVERAGE(OFFSET($H$3,0,0,'Données projet'!$E$9+1,1))</f>
        <v>303.33040062722074</v>
      </c>
      <c r="T17" s="62">
        <f t="shared" si="34"/>
        <v>425.30058672361548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296.98175505469334</v>
      </c>
      <c r="AN17" s="62">
        <f ca="1">AVERAGE(OFFSET($AM$3,0,0,'Données projet'!$E$10+1,1))-AVERAGE(OFFSET($H$3,0,0,'Données projet'!$E$10+1,1))</f>
        <v>371.75294069149942</v>
      </c>
      <c r="AO17" s="62">
        <f t="shared" si="36"/>
        <v>233.32640143610547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115.40218017388374</v>
      </c>
      <c r="BE17" s="14">
        <f>BD17*VLOOKUP('Données projet'!$B$11,Paramètres!$A$1:$I$89,3,0)*VLOOKUP('Données projet'!$B$11,Paramètres!$A$1:$I$89,5,0)</f>
        <v>64.509818717201014</v>
      </c>
      <c r="BF17" s="14">
        <f t="shared" si="37"/>
        <v>18.303638959560171</v>
      </c>
      <c r="BG17" s="22">
        <f t="shared" si="7"/>
        <v>144.23343878702573</v>
      </c>
      <c r="BH17" s="62">
        <f t="shared" si="8"/>
        <v>418.01121656480348</v>
      </c>
      <c r="BI17" s="62">
        <f ca="1">AVERAGE(OFFSET($BH$3,0,0,'Données projet'!$E$11+1,1))-AVERAGE(OFFSET($H$3,0,0,'Données projet'!$E$11+1,1))</f>
        <v>555.15881087162279</v>
      </c>
      <c r="BJ17" s="62">
        <f t="shared" si="38"/>
        <v>668.20427590250733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6.3920819760943495</v>
      </c>
      <c r="CA17" s="14">
        <f t="shared" si="39"/>
        <v>2.3736551994720978</v>
      </c>
      <c r="CB17" s="22">
        <f t="shared" si="10"/>
        <v>15.266992247444895</v>
      </c>
      <c r="CC17" s="62">
        <f t="shared" si="11"/>
        <v>289.04477002522265</v>
      </c>
      <c r="CD17" s="62">
        <f ca="1">AVERAGE(OFFSET($CC$3,0,0,'Données projet'!$E$12+1,1))-AVERAGE(OFFSET($H$3,0,0,'Données projet'!$E$12+1,1))</f>
        <v>293.996396026019</v>
      </c>
      <c r="CE17" s="62">
        <f t="shared" si="40"/>
        <v>152.23954167722536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107</v>
      </c>
      <c r="L18" s="13">
        <f>VLOOKUP(A18,'Données projet'!$A$35:$I$55,9,0)</f>
        <v>7.1333333333333337</v>
      </c>
      <c r="M18" s="13">
        <f t="array" ref="M18">INDEX(L:L,MIN(IF(ISNUMBER(L18:L214),ROW(L18:L214),"")))</f>
        <v>7.1333333333333337</v>
      </c>
      <c r="N18" s="14">
        <f>IF('Données projet'!$A$36&gt;35,N17+M18-V17,IF(A18&lt;'Données projet'!$A$36,$K$205^A18,IF(A18='Données projet'!$A$36,'Données projet'!$B$36,N17+M18-V17)))</f>
        <v>107</v>
      </c>
      <c r="O18" s="14">
        <f>N18*VLOOKUP('Données projet'!$B$9,Paramètres!$A$1:$I$89,3,0)*VLOOKUP('Données projet'!$B$9,Paramètres!$A$1:$I$89,5,0)</f>
        <v>93.475200000000015</v>
      </c>
      <c r="P18" s="14">
        <f t="shared" si="33"/>
        <v>25.401502539965662</v>
      </c>
      <c r="Q18" s="22">
        <f t="shared" si="2"/>
        <v>207.04359025710687</v>
      </c>
      <c r="R18" s="62">
        <f t="shared" si="0"/>
        <v>482.04359025710687</v>
      </c>
      <c r="S18" s="62">
        <f ca="1">AVERAGE(OFFSET($R$3,0,0,'Données projet'!$E$9+1,1))-AVERAGE(OFFSET($H$3,0,0,'Données projet'!$E$9+1,1))</f>
        <v>303.33040062722074</v>
      </c>
      <c r="T18" s="62">
        <f t="shared" si="34"/>
        <v>425.30058672361548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34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302.3766155842269</v>
      </c>
      <c r="AN18" s="62">
        <f ca="1">AVERAGE(OFFSET($AM$3,0,0,'Données projet'!$E$10+1,1))-AVERAGE(OFFSET($H$3,0,0,'Données projet'!$E$10+1,1))</f>
        <v>371.75294069149942</v>
      </c>
      <c r="AO18" s="62">
        <f t="shared" si="36"/>
        <v>233.32640143610547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162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162</v>
      </c>
      <c r="BE18" s="14">
        <f>BD18*VLOOKUP('Données projet'!$B$11,Paramètres!$A$1:$I$89,3,0)*VLOOKUP('Données projet'!$B$11,Paramètres!$A$1:$I$89,5,0)</f>
        <v>90.557999999999993</v>
      </c>
      <c r="BF18" s="14">
        <f t="shared" si="37"/>
        <v>24.699752708509138</v>
      </c>
      <c r="BG18" s="22">
        <f t="shared" si="7"/>
        <v>200.74058596732007</v>
      </c>
      <c r="BH18" s="62">
        <f t="shared" si="8"/>
        <v>475.74058596732004</v>
      </c>
      <c r="BI18" s="62">
        <f ca="1">AVERAGE(OFFSET($BH$3,0,0,'Données projet'!$E$11+1,1))-AVERAGE(OFFSET($H$3,0,0,'Données projet'!$E$11+1,1))</f>
        <v>555.15881087162279</v>
      </c>
      <c r="BJ18" s="62">
        <f t="shared" si="38"/>
        <v>668.20427590250733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7.3236433418349414</v>
      </c>
      <c r="CA18" s="14">
        <f t="shared" si="39"/>
        <v>2.6768559840443293</v>
      </c>
      <c r="CB18" s="22">
        <f t="shared" si="10"/>
        <v>17.417536325906397</v>
      </c>
      <c r="CC18" s="62">
        <f t="shared" si="11"/>
        <v>292.41753632590638</v>
      </c>
      <c r="CD18" s="62">
        <f ca="1">AVERAGE(OFFSET($CC$3,0,0,'Données projet'!$E$12+1,1))-AVERAGE(OFFSET($H$3,0,0,'Données projet'!$E$12+1,1))</f>
        <v>293.996396026019</v>
      </c>
      <c r="CE18" s="62">
        <f t="shared" si="40"/>
        <v>152.23954167722536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16.2</v>
      </c>
      <c r="N19" s="14">
        <f>IF('Données projet'!$A$36&gt;35,N18+M19-V18,IF(A19&lt;'Données projet'!$A$36,$K$205^A19,IF(A19='Données projet'!$A$36,'Données projet'!$B$36,N18+M19-V18)))</f>
        <v>89.2</v>
      </c>
      <c r="O19" s="14">
        <f>N19*VLOOKUP('Données projet'!$B$9,Paramètres!$A$1:$I$89,3,0)*VLOOKUP('Données projet'!$B$9,Paramètres!$A$1:$I$89,5,0)</f>
        <v>77.925120000000007</v>
      </c>
      <c r="P19" s="14">
        <f t="shared" si="33"/>
        <v>21.629091902424182</v>
      </c>
      <c r="Q19" s="22">
        <f t="shared" si="2"/>
        <v>173.3902523967221</v>
      </c>
      <c r="R19" s="62">
        <f t="shared" si="0"/>
        <v>449.61247461894436</v>
      </c>
      <c r="S19" s="62">
        <f ca="1">AVERAGE(OFFSET($R$3,0,0,'Données projet'!$E$9+1,1))-AVERAGE(OFFSET($H$3,0,0,'Données projet'!$E$9+1,1))</f>
        <v>303.33040062722074</v>
      </c>
      <c r="T19" s="62">
        <f t="shared" si="34"/>
        <v>425.30058672361548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308.52424831494073</v>
      </c>
      <c r="AN19" s="62">
        <f ca="1">AVERAGE(OFFSET($AM$3,0,0,'Données projet'!$E$10+1,1))-AVERAGE(OFFSET($H$3,0,0,'Données projet'!$E$10+1,1))</f>
        <v>371.75294069149942</v>
      </c>
      <c r="AO19" s="62">
        <f t="shared" si="36"/>
        <v>233.32640143610547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28.2</v>
      </c>
      <c r="BD19" s="13">
        <f>IF('Données projet'!$A$88&gt;35,BD18+BC19-BL18,IF(A19&lt;'Données projet'!$A$88,$BA$205^A19,IF(A19='Données projet'!$A$88,'Données projet'!$B$88,BD18+BC19-BL18)))</f>
        <v>190.2</v>
      </c>
      <c r="BE19" s="14">
        <f>BD19*VLOOKUP('Données projet'!$B$11,Paramètres!$A$1:$I$89,3,0)*VLOOKUP('Données projet'!$B$11,Paramètres!$A$1:$I$89,5,0)</f>
        <v>106.32179999999998</v>
      </c>
      <c r="BF19" s="14">
        <f t="shared" si="37"/>
        <v>28.462664081653866</v>
      </c>
      <c r="BG19" s="22">
        <f t="shared" si="7"/>
        <v>234.7496082755471</v>
      </c>
      <c r="BH19" s="62">
        <f t="shared" si="8"/>
        <v>510.97183049776936</v>
      </c>
      <c r="BI19" s="62">
        <f ca="1">AVERAGE(OFFSET($BH$3,0,0,'Données projet'!$E$11+1,1))-AVERAGE(OFFSET($H$3,0,0,'Données projet'!$E$11+1,1))</f>
        <v>555.15881087162279</v>
      </c>
      <c r="BJ19" s="62">
        <f t="shared" si="38"/>
        <v>668.20427590250733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8.3909674498848439</v>
      </c>
      <c r="CA19" s="14">
        <f t="shared" si="39"/>
        <v>3.0187863683434557</v>
      </c>
      <c r="CB19" s="22">
        <f t="shared" si="10"/>
        <v>19.871987900080956</v>
      </c>
      <c r="CC19" s="62">
        <f t="shared" si="11"/>
        <v>296.0942101223032</v>
      </c>
      <c r="CD19" s="62">
        <f ca="1">AVERAGE(OFFSET($CC$3,0,0,'Données projet'!$E$12+1,1))-AVERAGE(OFFSET($H$3,0,0,'Données projet'!$E$12+1,1))</f>
        <v>293.996396026019</v>
      </c>
      <c r="CE19" s="62">
        <f t="shared" si="40"/>
        <v>152.23954167722536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16.2</v>
      </c>
      <c r="N20" s="14">
        <f>IF('Données projet'!$A$36&gt;35,N19+M20-V19,IF(A20&lt;'Données projet'!$A$36,$K$205^A20,IF(A20='Données projet'!$A$36,'Données projet'!$B$36,N19+M20-V19)))</f>
        <v>105.4</v>
      </c>
      <c r="O20" s="14">
        <f>N20*VLOOKUP('Données projet'!$B$9,Paramètres!$A$1:$I$89,3,0)*VLOOKUP('Données projet'!$B$9,Paramètres!$A$1:$I$89,5,0)</f>
        <v>92.07744000000001</v>
      </c>
      <c r="P20" s="14">
        <f t="shared" si="33"/>
        <v>25.065586122051112</v>
      </c>
      <c r="Q20" s="22">
        <f t="shared" si="2"/>
        <v>204.02410382923904</v>
      </c>
      <c r="R20" s="62">
        <f t="shared" si="0"/>
        <v>481.4685482736835</v>
      </c>
      <c r="S20" s="62">
        <f ca="1">AVERAGE(OFFSET($R$3,0,0,'Données projet'!$E$9+1,1))-AVERAGE(OFFSET($H$3,0,0,'Données projet'!$E$9+1,1))</f>
        <v>303.33040062722074</v>
      </c>
      <c r="T20" s="62">
        <f t="shared" si="34"/>
        <v>425.30058672361548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315.56086702747444</v>
      </c>
      <c r="AN20" s="62">
        <f ca="1">AVERAGE(OFFSET($AM$3,0,0,'Données projet'!$E$10+1,1))-AVERAGE(OFFSET($H$3,0,0,'Données projet'!$E$10+1,1))</f>
        <v>371.75294069149942</v>
      </c>
      <c r="AO20" s="62">
        <f t="shared" si="36"/>
        <v>233.32640143610547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28.2</v>
      </c>
      <c r="BD20" s="13">
        <f>IF('Données projet'!$A$88&gt;35,BD19+BC20-BL19,IF(A20&lt;'Données projet'!$A$88,$BA$205^A20,IF(A20='Données projet'!$A$88,'Données projet'!$B$88,BD19+BC20-BL19)))</f>
        <v>218.39999999999998</v>
      </c>
      <c r="BE20" s="14">
        <f>BD20*VLOOKUP('Données projet'!$B$11,Paramètres!$A$1:$I$89,3,0)*VLOOKUP('Données projet'!$B$11,Paramètres!$A$1:$I$89,5,0)</f>
        <v>122.0856</v>
      </c>
      <c r="BF20" s="14">
        <f t="shared" si="37"/>
        <v>32.160942364346717</v>
      </c>
      <c r="BG20" s="22">
        <f t="shared" si="7"/>
        <v>268.64606128457052</v>
      </c>
      <c r="BH20" s="62">
        <f t="shared" si="8"/>
        <v>546.09050572901492</v>
      </c>
      <c r="BI20" s="62">
        <f ca="1">AVERAGE(OFFSET($BH$3,0,0,'Données projet'!$E$11+1,1))-AVERAGE(OFFSET($H$3,0,0,'Données projet'!$E$11+1,1))</f>
        <v>555.15881087162279</v>
      </c>
      <c r="BJ20" s="62">
        <f t="shared" si="38"/>
        <v>668.20427590250733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9.6138399234753162</v>
      </c>
      <c r="CA20" s="14">
        <f t="shared" si="39"/>
        <v>3.404393509406427</v>
      </c>
      <c r="CB20" s="22">
        <f t="shared" si="10"/>
        <v>22.6734232289357</v>
      </c>
      <c r="CC20" s="62">
        <f t="shared" si="11"/>
        <v>300.11786767338015</v>
      </c>
      <c r="CD20" s="62">
        <f ca="1">AVERAGE(OFFSET($CC$3,0,0,'Données projet'!$E$12+1,1))-AVERAGE(OFFSET($H$3,0,0,'Données projet'!$E$12+1,1))</f>
        <v>293.996396026019</v>
      </c>
      <c r="CE20" s="62">
        <f t="shared" si="40"/>
        <v>152.23954167722536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16.2</v>
      </c>
      <c r="N21" s="14">
        <f>IF('Données projet'!$A$36&gt;35,N20+M21-V20,IF(A21&lt;'Données projet'!$A$36,$K$205^A21,IF(A21='Données projet'!$A$36,'Données projet'!$B$36,N20+M21-V20)))</f>
        <v>121.60000000000001</v>
      </c>
      <c r="O21" s="14">
        <f>N21*VLOOKUP('Données projet'!$B$9,Paramètres!$A$1:$I$89,3,0)*VLOOKUP('Données projet'!$B$9,Paramètres!$A$1:$I$89,5,0)</f>
        <v>106.22976000000003</v>
      </c>
      <c r="P21" s="14">
        <f t="shared" si="33"/>
        <v>28.440891625171492</v>
      </c>
      <c r="Q21" s="22">
        <f t="shared" si="2"/>
        <v>234.55138491384039</v>
      </c>
      <c r="R21" s="62">
        <f t="shared" si="0"/>
        <v>513.21805158050711</v>
      </c>
      <c r="S21" s="62">
        <f ca="1">AVERAGE(OFFSET($R$3,0,0,'Données projet'!$E$9+1,1))-AVERAGE(OFFSET($H$3,0,0,'Données projet'!$E$9+1,1))</f>
        <v>303.33040062722074</v>
      </c>
      <c r="T21" s="62">
        <f t="shared" si="34"/>
        <v>425.30058672361548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323.64740178362257</v>
      </c>
      <c r="AN21" s="62">
        <f ca="1">AVERAGE(OFFSET($AM$3,0,0,'Données projet'!$E$10+1,1))-AVERAGE(OFFSET($H$3,0,0,'Données projet'!$E$10+1,1))</f>
        <v>371.75294069149942</v>
      </c>
      <c r="AO21" s="62">
        <f t="shared" si="36"/>
        <v>233.32640143610547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28.2</v>
      </c>
      <c r="BD21" s="13">
        <f>IF('Données projet'!$A$88&gt;35,BD20+BC21-BL20,IF(A21&lt;'Données projet'!$A$88,$BA$205^A21,IF(A21='Données projet'!$A$88,'Données projet'!$B$88,BD20+BC21-BL20)))</f>
        <v>246.59999999999997</v>
      </c>
      <c r="BE21" s="14">
        <f>BD21*VLOOKUP('Données projet'!$B$11,Paramètres!$A$1:$I$89,3,0)*VLOOKUP('Données projet'!$B$11,Paramètres!$A$1:$I$89,5,0)</f>
        <v>137.84939999999997</v>
      </c>
      <c r="BF21" s="14">
        <f t="shared" si="37"/>
        <v>35.803890229822542</v>
      </c>
      <c r="BG21" s="22">
        <f t="shared" si="7"/>
        <v>302.44614715027416</v>
      </c>
      <c r="BH21" s="62">
        <f t="shared" si="8"/>
        <v>581.11281381694084</v>
      </c>
      <c r="BI21" s="62">
        <f ca="1">AVERAGE(OFFSET($BH$3,0,0,'Données projet'!$E$11+1,1))-AVERAGE(OFFSET($H$3,0,0,'Données projet'!$E$11+1,1))</f>
        <v>555.15881087162279</v>
      </c>
      <c r="BJ21" s="62">
        <f t="shared" si="38"/>
        <v>668.20427590250733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11.014929878613264</v>
      </c>
      <c r="CA21" s="14">
        <f t="shared" si="39"/>
        <v>3.8392564934127869</v>
      </c>
      <c r="CB21" s="22">
        <f t="shared" si="10"/>
        <v>25.871041264612035</v>
      </c>
      <c r="CC21" s="62">
        <f t="shared" si="11"/>
        <v>304.5377079312787</v>
      </c>
      <c r="CD21" s="62">
        <f ca="1">AVERAGE(OFFSET($CC$3,0,0,'Données projet'!$E$12+1,1))-AVERAGE(OFFSET($H$3,0,0,'Données projet'!$E$12+1,1))</f>
        <v>293.996396026019</v>
      </c>
      <c r="CE21" s="62">
        <f t="shared" si="40"/>
        <v>152.23954167722536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16.2</v>
      </c>
      <c r="N22" s="14">
        <f>IF('Données projet'!$A$36&gt;35,N21+M22-V21,IF(A22&lt;'Données projet'!$A$36,$K$205^A22,IF(A22='Données projet'!$A$36,'Données projet'!$B$36,N21+M22-V21)))</f>
        <v>137.80000000000001</v>
      </c>
      <c r="O22" s="14">
        <f>N22*VLOOKUP('Données projet'!$B$9,Paramètres!$A$1:$I$89,3,0)*VLOOKUP('Données projet'!$B$9,Paramètres!$A$1:$I$89,5,0)</f>
        <v>120.38208000000003</v>
      </c>
      <c r="P22" s="14">
        <f t="shared" si="33"/>
        <v>31.76409668560358</v>
      </c>
      <c r="Q22" s="22">
        <f t="shared" si="2"/>
        <v>264.98792439409294</v>
      </c>
      <c r="R22" s="62">
        <f t="shared" si="0"/>
        <v>544.87681328298186</v>
      </c>
      <c r="S22" s="62">
        <f ca="1">AVERAGE(OFFSET($R$3,0,0,'Données projet'!$E$9+1,1))-AVERAGE(OFFSET($H$3,0,0,'Données projet'!$E$9+1,1))</f>
        <v>303.33040062722074</v>
      </c>
      <c r="T22" s="62">
        <f t="shared" si="34"/>
        <v>425.30058672361548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332.97399518503494</v>
      </c>
      <c r="AN22" s="62">
        <f ca="1">AVERAGE(OFFSET($AM$3,0,0,'Données projet'!$E$10+1,1))-AVERAGE(OFFSET($H$3,0,0,'Données projet'!$E$10+1,1))</f>
        <v>371.75294069149942</v>
      </c>
      <c r="AO22" s="62">
        <f t="shared" si="36"/>
        <v>233.32640143610547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28.2</v>
      </c>
      <c r="BD22" s="13">
        <f>IF('Données projet'!$A$88&gt;35,BD21+BC22-BL21,IF(A22&lt;'Données projet'!$A$88,$BA$205^A22,IF(A22='Données projet'!$A$88,'Données projet'!$B$88,BD21+BC22-BL21)))</f>
        <v>274.79999999999995</v>
      </c>
      <c r="BE22" s="14">
        <f>BD22*VLOOKUP('Données projet'!$B$11,Paramètres!$A$1:$I$89,3,0)*VLOOKUP('Données projet'!$B$11,Paramètres!$A$1:$I$89,5,0)</f>
        <v>153.61319999999998</v>
      </c>
      <c r="BF22" s="14">
        <f t="shared" si="37"/>
        <v>39.398557339898318</v>
      </c>
      <c r="BG22" s="22">
        <f t="shared" si="7"/>
        <v>336.16214403365615</v>
      </c>
      <c r="BH22" s="62">
        <f t="shared" si="8"/>
        <v>616.05103292254501</v>
      </c>
      <c r="BI22" s="62">
        <f ca="1">AVERAGE(OFFSET($BH$3,0,0,'Données projet'!$E$11+1,1))-AVERAGE(OFFSET($H$3,0,0,'Données projet'!$E$11+1,1))</f>
        <v>555.15881087162279</v>
      </c>
      <c r="BJ22" s="62">
        <f t="shared" si="38"/>
        <v>668.20427590250733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12.620210154997878</v>
      </c>
      <c r="CA22" s="14">
        <f t="shared" si="39"/>
        <v>4.329667055669546</v>
      </c>
      <c r="CB22" s="22">
        <f t="shared" si="10"/>
        <v>29.521036141912429</v>
      </c>
      <c r="CC22" s="62">
        <f t="shared" si="11"/>
        <v>309.40992503080128</v>
      </c>
      <c r="CD22" s="62">
        <f ca="1">AVERAGE(OFFSET($CC$3,0,0,'Données projet'!$E$12+1,1))-AVERAGE(OFFSET($H$3,0,0,'Données projet'!$E$12+1,1))</f>
        <v>293.996396026019</v>
      </c>
      <c r="CE22" s="62">
        <f t="shared" si="40"/>
        <v>152.23954167722536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154</v>
      </c>
      <c r="L23" s="13">
        <f>VLOOKUP(A23,'Données projet'!$A$35:$I$55,9,0)</f>
        <v>16.2</v>
      </c>
      <c r="M23" s="13">
        <f t="array" ref="M23">INDEX(L:L,MIN(IF(ISNUMBER(L23:L219),ROW(L23:L219),"")))</f>
        <v>16.2</v>
      </c>
      <c r="N23" s="14">
        <f>IF('Données projet'!$A$36&gt;35,N22+M23-V22,IF(A23&lt;'Données projet'!$A$36,$K$205^A23,IF(A23='Données projet'!$A$36,'Données projet'!$B$36,N22+M23-V22)))</f>
        <v>154</v>
      </c>
      <c r="O23" s="14">
        <f>N23*VLOOKUP('Données projet'!$B$9,Paramètres!$A$1:$I$89,3,0)*VLOOKUP('Données projet'!$B$9,Paramètres!$A$1:$I$89,5,0)</f>
        <v>134.53440000000001</v>
      </c>
      <c r="P23" s="14">
        <f t="shared" si="33"/>
        <v>35.042026165482234</v>
      </c>
      <c r="Q23" s="22">
        <f t="shared" si="2"/>
        <v>295.34560890488154</v>
      </c>
      <c r="R23" s="62">
        <f t="shared" si="0"/>
        <v>576.45672001599269</v>
      </c>
      <c r="S23" s="62">
        <f ca="1">AVERAGE(OFFSET($R$3,0,0,'Données projet'!$E$9+1,1))-AVERAGE(OFFSET($H$3,0,0,'Données projet'!$E$9+1,1))</f>
        <v>303.33040062722074</v>
      </c>
      <c r="T23" s="62">
        <f t="shared" si="34"/>
        <v>425.30058672361548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50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0.215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10.340816745507423</v>
      </c>
      <c r="AB23" s="23">
        <f>EXP(-LN(2)/2)*AB22+(1-EXP(-LN(2)/2))/(LN(2)/2)*V23*Y23*VLOOKUP('Données projet'!$B$9,Paramètres!$A$1:$I$89,3,0)*0.475*44/12</f>
        <v>20.606627814981682</v>
      </c>
      <c r="AC23" s="24">
        <f t="shared" si="3"/>
        <v>30.947444560489103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343.76531847344569</v>
      </c>
      <c r="AN23" s="62">
        <f ca="1">AVERAGE(OFFSET($AM$3,0,0,'Données projet'!$E$10+1,1))-AVERAGE(OFFSET($H$3,0,0,'Données projet'!$E$10+1,1))</f>
        <v>371.75294069149942</v>
      </c>
      <c r="AO23" s="62">
        <f t="shared" si="36"/>
        <v>233.32640143610547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303</v>
      </c>
      <c r="BB23" s="13">
        <f>VLOOKUP(A23,'Données projet'!$A$87:$I$107,9,0)</f>
        <v>28.2</v>
      </c>
      <c r="BC23" s="13">
        <f t="array" ref="BC23">INDEX(BB:BB,MIN(IF(ISNUMBER(BB23:BB219),ROW(BB23:BB219),"")))</f>
        <v>28.2</v>
      </c>
      <c r="BD23" s="13">
        <f>IF('Données projet'!$A$88&gt;35,BD22+BC23-BL22,IF(A23&lt;'Données projet'!$A$88,$BA$205^A23,IF(A23='Données projet'!$A$88,'Données projet'!$B$88,BD22+BC23-BL22)))</f>
        <v>302.99999999999994</v>
      </c>
      <c r="BE23" s="14">
        <f>BD23*VLOOKUP('Données projet'!$B$11,Paramètres!$A$1:$I$89,3,0)*VLOOKUP('Données projet'!$B$11,Paramètres!$A$1:$I$89,5,0)</f>
        <v>169.37699999999995</v>
      </c>
      <c r="BF23" s="14">
        <f t="shared" si="37"/>
        <v>42.950462509094685</v>
      </c>
      <c r="BG23" s="22">
        <f t="shared" si="7"/>
        <v>369.80366387000646</v>
      </c>
      <c r="BH23" s="62">
        <f t="shared" si="8"/>
        <v>650.9147749811176</v>
      </c>
      <c r="BI23" s="62">
        <f ca="1">AVERAGE(OFFSET($BH$3,0,0,'Données projet'!$E$11+1,1))-AVERAGE(OFFSET($H$3,0,0,'Données projet'!$E$11+1,1))</f>
        <v>555.15881087162279</v>
      </c>
      <c r="BJ23" s="62">
        <f t="shared" si="38"/>
        <v>668.20427590250733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5.5000000000000007E-2</v>
      </c>
      <c r="BN23" s="17">
        <f>IF(ISNA(VLOOKUP(A23,'Données projet'!$A$87:$I$107,6,0)),0%,VLOOKUP(A23,'Données projet'!$A$87:$I$107,6,0)*VLOOKUP('Données projet'!$B$11,Paramètres!$A$1:$I$89,7,0))</f>
        <v>0.22000000000000003</v>
      </c>
      <c r="BO23" s="17">
        <f>IF(ISNA(VLOOKUP(A23,'Données projet'!$A$87:$I$107,7,0)),0%,VLOOKUP(A23,'Données projet'!$A$87:$I$107,7,0))</f>
        <v>0.5</v>
      </c>
      <c r="BP23" s="23">
        <f>EXP(-LN(2)/35)*BP22+(1-EXP(-LN(2)/35))/(LN(2)/35)*BL23*BM23*VLOOKUP('Données projet'!$B$11,Paramètres!$A$1:$I$89,3,0)*0.475*44/12</f>
        <v>1.7537646398470124</v>
      </c>
      <c r="BQ23" s="23">
        <f>EXP(-LN(2)/25)*BQ22+(1-EXP(-LN(2)/25))/(LN(2)/25)*Calculateur!BL23*Calculateur!BN23*VLOOKUP('Données projet'!$B$11,Paramètres!$A$1:$I$89,3,0)*0.475*44/12</f>
        <v>6.9874376008928722</v>
      </c>
      <c r="BR23" s="23">
        <f>EXP(-LN(2)/2)*BR22+(1-EXP(-LN(2)/2))/(LN(2)/2)*BL23*BO23*VLOOKUP('Données projet'!$B$11,Paramètres!$A$1:$I$89,3,0)*0.475*44/12</f>
        <v>13.607733867821828</v>
      </c>
      <c r="BS23" s="24">
        <f t="shared" si="9"/>
        <v>22.348936108561713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14.459438790032763</v>
      </c>
      <c r="CA23" s="14">
        <f t="shared" si="39"/>
        <v>4.8827206114292476</v>
      </c>
      <c r="CB23" s="22">
        <f t="shared" si="10"/>
        <v>33.687594290879673</v>
      </c>
      <c r="CC23" s="62">
        <f t="shared" si="11"/>
        <v>314.79870540199079</v>
      </c>
      <c r="CD23" s="62">
        <f ca="1">AVERAGE(OFFSET($CC$3,0,0,'Données projet'!$E$12+1,1))-AVERAGE(OFFSET($H$3,0,0,'Données projet'!$E$12+1,1))</f>
        <v>293.996396026019</v>
      </c>
      <c r="CE23" s="62">
        <f t="shared" si="40"/>
        <v>152.23954167722536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15.6</v>
      </c>
      <c r="N24" s="14">
        <f>IF('Données projet'!$A$36&gt;35,N23+M24-V23,IF(A24&lt;'Données projet'!$A$36,$K$205^A24,IF(A24='Données projet'!$A$36,'Données projet'!$B$36,N23+M24-V23)))</f>
        <v>119.6</v>
      </c>
      <c r="O24" s="14">
        <f>N24*VLOOKUP('Données projet'!$B$9,Paramètres!$A$1:$I$89,3,0)*VLOOKUP('Données projet'!$B$9,Paramètres!$A$1:$I$89,5,0)</f>
        <v>104.48256000000001</v>
      </c>
      <c r="P24" s="14">
        <f t="shared" si="33"/>
        <v>28.02716504477474</v>
      </c>
      <c r="Q24" s="22">
        <f t="shared" si="2"/>
        <v>230.78777111964931</v>
      </c>
      <c r="R24" s="62">
        <f t="shared" si="0"/>
        <v>513.12110445298265</v>
      </c>
      <c r="S24" s="62">
        <f ca="1">AVERAGE(OFFSET($R$3,0,0,'Données projet'!$E$9+1,1))-AVERAGE(OFFSET($H$3,0,0,'Données projet'!$E$9+1,1))</f>
        <v>303.33040062722074</v>
      </c>
      <c r="T24" s="62">
        <f t="shared" si="34"/>
        <v>425.30058672361548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10.058046567801604</v>
      </c>
      <c r="AB24" s="23">
        <f>EXP(-LN(2)/2)*AB23+(1-EXP(-LN(2)/2))/(LN(2)/2)*V24*Y24*VLOOKUP('Données projet'!$B$9,Paramètres!$A$1:$I$89,3,0)*0.475*44/12</f>
        <v>14.571086265360877</v>
      </c>
      <c r="AC24" s="24">
        <f t="shared" si="3"/>
        <v>24.62913283316248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356.28685727778725</v>
      </c>
      <c r="AN24" s="62">
        <f ca="1">AVERAGE(OFFSET($AM$3,0,0,'Données projet'!$E$10+1,1))-AVERAGE(OFFSET($H$3,0,0,'Données projet'!$E$10+1,1))</f>
        <v>371.75294069149942</v>
      </c>
      <c r="AO24" s="62">
        <f t="shared" si="36"/>
        <v>233.32640143610547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31.8</v>
      </c>
      <c r="BD24" s="13">
        <f>IF('Données projet'!$A$88&gt;35,BD23+BC24-BL23,IF(A24&lt;'Données projet'!$A$88,$BA$205^A24,IF(A24='Données projet'!$A$88,'Données projet'!$B$88,BD23+BC24-BL23)))</f>
        <v>291.79999999999995</v>
      </c>
      <c r="BE24" s="14">
        <f>BD24*VLOOKUP('Données projet'!$B$11,Paramètres!$A$1:$I$89,3,0)*VLOOKUP('Données projet'!$B$11,Paramètres!$A$1:$I$89,5,0)</f>
        <v>163.11619999999996</v>
      </c>
      <c r="BF24" s="14">
        <f t="shared" si="37"/>
        <v>41.544592017733109</v>
      </c>
      <c r="BG24" s="22">
        <f t="shared" si="7"/>
        <v>356.4508794308851</v>
      </c>
      <c r="BH24" s="62">
        <f t="shared" si="8"/>
        <v>638.78421276421841</v>
      </c>
      <c r="BI24" s="62">
        <f ca="1">AVERAGE(OFFSET($BH$3,0,0,'Données projet'!$E$11+1,1))-AVERAGE(OFFSET($H$3,0,0,'Données projet'!$E$11+1,1))</f>
        <v>555.15881087162279</v>
      </c>
      <c r="BJ24" s="62">
        <f t="shared" si="38"/>
        <v>668.20427590250733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1.7193743849504195</v>
      </c>
      <c r="BQ24" s="23">
        <f>EXP(-LN(2)/25)*BQ23+(1-EXP(-LN(2)/25))/(LN(2)/25)*Calculateur!BL24*Calculateur!BN24*VLOOKUP('Données projet'!$B$11,Paramètres!$A$1:$I$89,3,0)*0.475*44/12</f>
        <v>6.7963657522430836</v>
      </c>
      <c r="BR24" s="23">
        <f>EXP(-LN(2)/2)*BR23+(1-EXP(-LN(2)/2))/(LN(2)/2)*BL24*BO24*VLOOKUP('Données projet'!$B$11,Paramètres!$A$1:$I$89,3,0)*0.475*44/12</f>
        <v>9.6221208945186625</v>
      </c>
      <c r="BS24" s="24">
        <f t="shared" si="9"/>
        <v>18.137861031712166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16.566710661304302</v>
      </c>
      <c r="CA24" s="14">
        <f t="shared" si="39"/>
        <v>5.5064189146038656</v>
      </c>
      <c r="CB24" s="22">
        <f t="shared" si="10"/>
        <v>38.444034011373397</v>
      </c>
      <c r="CC24" s="62">
        <f t="shared" si="11"/>
        <v>320.7773673447067</v>
      </c>
      <c r="CD24" s="62">
        <f ca="1">AVERAGE(OFFSET($CC$3,0,0,'Données projet'!$E$12+1,1))-AVERAGE(OFFSET($H$3,0,0,'Données projet'!$E$12+1,1))</f>
        <v>293.996396026019</v>
      </c>
      <c r="CE24" s="62">
        <f t="shared" si="40"/>
        <v>152.23954167722536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15.6</v>
      </c>
      <c r="N25" s="14">
        <f>IF('Données projet'!$A$36&gt;35,N24+M25-V24,IF(A25&lt;'Données projet'!$A$36,$K$205^A25,IF(A25='Données projet'!$A$36,'Données projet'!$B$36,N24+M25-V24)))</f>
        <v>135.19999999999999</v>
      </c>
      <c r="O25" s="14">
        <f>N25*VLOOKUP('Données projet'!$B$9,Paramètres!$A$1:$I$89,3,0)*VLOOKUP('Données projet'!$B$9,Paramètres!$A$1:$I$89,5,0)</f>
        <v>118.11072000000001</v>
      </c>
      <c r="P25" s="14">
        <f t="shared" si="33"/>
        <v>31.233949612110369</v>
      </c>
      <c r="Q25" s="22">
        <f t="shared" si="2"/>
        <v>260.10863290775887</v>
      </c>
      <c r="R25" s="62">
        <f t="shared" si="0"/>
        <v>543.66418846331442</v>
      </c>
      <c r="S25" s="62">
        <f ca="1">AVERAGE(OFFSET($R$3,0,0,'Données projet'!$E$9+1,1))-AVERAGE(OFFSET($H$3,0,0,'Données projet'!$E$9+1,1))</f>
        <v>303.33040062722074</v>
      </c>
      <c r="T25" s="62">
        <f t="shared" si="34"/>
        <v>425.30058672361548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9.7830087554753877</v>
      </c>
      <c r="AB25" s="23">
        <f>EXP(-LN(2)/2)*AB24+(1-EXP(-LN(2)/2))/(LN(2)/2)*V25*Y25*VLOOKUP('Données projet'!$B$9,Paramètres!$A$1:$I$89,3,0)*0.475*44/12</f>
        <v>10.303313907490843</v>
      </c>
      <c r="AC25" s="24">
        <f t="shared" si="3"/>
        <v>20.086322662966232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370.85234423918513</v>
      </c>
      <c r="AN25" s="62">
        <f ca="1">AVERAGE(OFFSET($AM$3,0,0,'Données projet'!$E$10+1,1))-AVERAGE(OFFSET($H$3,0,0,'Données projet'!$E$10+1,1))</f>
        <v>371.75294069149942</v>
      </c>
      <c r="AO25" s="62">
        <f t="shared" si="36"/>
        <v>233.32640143610547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31.8</v>
      </c>
      <c r="BD25" s="13">
        <f>IF('Données projet'!$A$88&gt;35,BD24+BC25-BL24,IF(A25&lt;'Données projet'!$A$88,$BA$205^A25,IF(A25='Données projet'!$A$88,'Données projet'!$B$88,BD24+BC25-BL24)))</f>
        <v>323.59999999999997</v>
      </c>
      <c r="BE25" s="14">
        <f>BD25*VLOOKUP('Données projet'!$B$11,Paramètres!$A$1:$I$89,3,0)*VLOOKUP('Données projet'!$B$11,Paramètres!$A$1:$I$89,5,0)</f>
        <v>180.89240000000001</v>
      </c>
      <c r="BF25" s="14">
        <f t="shared" si="37"/>
        <v>45.520671542487669</v>
      </c>
      <c r="BG25" s="22">
        <f t="shared" si="7"/>
        <v>394.33609960316602</v>
      </c>
      <c r="BH25" s="62">
        <f t="shared" si="8"/>
        <v>677.89165515872151</v>
      </c>
      <c r="BI25" s="62">
        <f ca="1">AVERAGE(OFFSET($BH$3,0,0,'Données projet'!$E$11+1,1))-AVERAGE(OFFSET($H$3,0,0,'Données projet'!$E$11+1,1))</f>
        <v>555.15881087162279</v>
      </c>
      <c r="BJ25" s="62">
        <f t="shared" si="38"/>
        <v>668.20427590250733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1.6856585019763646</v>
      </c>
      <c r="BQ25" s="23">
        <f>EXP(-LN(2)/25)*BQ24+(1-EXP(-LN(2)/25))/(LN(2)/25)*Calculateur!BL25*Calculateur!BN25*VLOOKUP('Données projet'!$B$11,Paramètres!$A$1:$I$89,3,0)*0.475*44/12</f>
        <v>6.6105187733426547</v>
      </c>
      <c r="BR25" s="23">
        <f>EXP(-LN(2)/2)*BR24+(1-EXP(-LN(2)/2))/(LN(2)/2)*BL25*BO25*VLOOKUP('Données projet'!$B$11,Paramètres!$A$1:$I$89,3,0)*0.475*44/12</f>
        <v>6.803866933910915</v>
      </c>
      <c r="BS25" s="24">
        <f t="shared" si="9"/>
        <v>15.100044209229935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18.981089523651683</v>
      </c>
      <c r="CA25" s="14">
        <f t="shared" si="39"/>
        <v>6.2097858296733257</v>
      </c>
      <c r="CB25" s="22">
        <f t="shared" si="10"/>
        <v>43.874107907041058</v>
      </c>
      <c r="CC25" s="62">
        <f t="shared" si="11"/>
        <v>327.42966346259658</v>
      </c>
      <c r="CD25" s="62">
        <f ca="1">AVERAGE(OFFSET($CC$3,0,0,'Données projet'!$E$12+1,1))-AVERAGE(OFFSET($H$3,0,0,'Données projet'!$E$12+1,1))</f>
        <v>293.996396026019</v>
      </c>
      <c r="CE25" s="62">
        <f t="shared" si="40"/>
        <v>152.23954167722536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15.6</v>
      </c>
      <c r="N26" s="14">
        <f>IF('Données projet'!$A$36&gt;35,N25+M26-V25,IF(A26&lt;'Données projet'!$A$36,$K$205^A26,IF(A26='Données projet'!$A$36,'Données projet'!$B$36,N25+M26-V25)))</f>
        <v>150.79999999999998</v>
      </c>
      <c r="O26" s="14">
        <f>N26*VLOOKUP('Données projet'!$B$9,Paramètres!$A$1:$I$89,3,0)*VLOOKUP('Données projet'!$B$9,Paramètres!$A$1:$I$89,5,0)</f>
        <v>131.73887999999999</v>
      </c>
      <c r="P26" s="14">
        <f t="shared" si="33"/>
        <v>34.397852193895829</v>
      </c>
      <c r="Q26" s="22">
        <f t="shared" si="2"/>
        <v>289.35480857103522</v>
      </c>
      <c r="R26" s="62">
        <f t="shared" si="0"/>
        <v>574.13258634881299</v>
      </c>
      <c r="S26" s="62">
        <f ca="1">AVERAGE(OFFSET($R$3,0,0,'Données projet'!$E$9+1,1))-AVERAGE(OFFSET($H$3,0,0,'Données projet'!$E$9+1,1))</f>
        <v>303.33040062722074</v>
      </c>
      <c r="T26" s="62">
        <f t="shared" si="34"/>
        <v>425.30058672361548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9.5154918665908426</v>
      </c>
      <c r="AB26" s="23">
        <f>EXP(-LN(2)/2)*AB25+(1-EXP(-LN(2)/2))/(LN(2)/2)*V26*Y26*VLOOKUP('Données projet'!$B$9,Paramètres!$A$1:$I$89,3,0)*0.475*44/12</f>
        <v>7.2855431326804396</v>
      </c>
      <c r="AC26" s="24">
        <f t="shared" si="3"/>
        <v>16.80103499927128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387.83254820009637</v>
      </c>
      <c r="AN26" s="62">
        <f ca="1">AVERAGE(OFFSET($AM$3,0,0,'Données projet'!$E$10+1,1))-AVERAGE(OFFSET($H$3,0,0,'Données projet'!$E$10+1,1))</f>
        <v>371.75294069149942</v>
      </c>
      <c r="AO26" s="62">
        <f t="shared" si="36"/>
        <v>233.32640143610547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31.8</v>
      </c>
      <c r="BD26" s="13">
        <f>IF('Données projet'!$A$88&gt;35,BD25+BC26-BL25,IF(A26&lt;'Données projet'!$A$88,$BA$205^A26,IF(A26='Données projet'!$A$88,'Données projet'!$B$88,BD25+BC26-BL25)))</f>
        <v>355.4</v>
      </c>
      <c r="BE26" s="14">
        <f>BD26*VLOOKUP('Données projet'!$B$11,Paramètres!$A$1:$I$89,3,0)*VLOOKUP('Données projet'!$B$11,Paramètres!$A$1:$I$89,5,0)</f>
        <v>198.66859999999997</v>
      </c>
      <c r="BF26" s="14">
        <f t="shared" si="37"/>
        <v>49.451452656287465</v>
      </c>
      <c r="BG26" s="22">
        <f t="shared" si="7"/>
        <v>432.14242504303394</v>
      </c>
      <c r="BH26" s="62">
        <f t="shared" si="8"/>
        <v>716.92020282081171</v>
      </c>
      <c r="BI26" s="62">
        <f ca="1">AVERAGE(OFFSET($BH$3,0,0,'Données projet'!$E$11+1,1))-AVERAGE(OFFSET($H$3,0,0,'Données projet'!$E$11+1,1))</f>
        <v>555.15881087162279</v>
      </c>
      <c r="BJ26" s="62">
        <f t="shared" si="38"/>
        <v>668.20427590250733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1.6526037669027729</v>
      </c>
      <c r="BQ26" s="23">
        <f>EXP(-LN(2)/25)*BQ25+(1-EXP(-LN(2)/25))/(LN(2)/25)*Calculateur!BL26*Calculateur!BN26*VLOOKUP('Données projet'!$B$11,Paramètres!$A$1:$I$89,3,0)*0.475*44/12</f>
        <v>6.4297537898535264</v>
      </c>
      <c r="BR26" s="23">
        <f>EXP(-LN(2)/2)*BR25+(1-EXP(-LN(2)/2))/(LN(2)/2)*BL26*BO26*VLOOKUP('Données projet'!$B$11,Paramètres!$A$1:$I$89,3,0)*0.475*44/12</f>
        <v>4.8110604472593321</v>
      </c>
      <c r="BS26" s="24">
        <f t="shared" si="9"/>
        <v>12.893418004015633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21.747332157276574</v>
      </c>
      <c r="CA26" s="14">
        <f t="shared" si="39"/>
        <v>7.002997891813278</v>
      </c>
      <c r="CB26" s="22">
        <f t="shared" si="10"/>
        <v>50.073491502164835</v>
      </c>
      <c r="CC26" s="62">
        <f t="shared" si="11"/>
        <v>334.85126927994258</v>
      </c>
      <c r="CD26" s="62">
        <f ca="1">AVERAGE(OFFSET($CC$3,0,0,'Données projet'!$E$12+1,1))-AVERAGE(OFFSET($H$3,0,0,'Données projet'!$E$12+1,1))</f>
        <v>293.996396026019</v>
      </c>
      <c r="CE26" s="62">
        <f t="shared" si="40"/>
        <v>152.23954167722536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15.6</v>
      </c>
      <c r="N27" s="14">
        <f>IF('Données projet'!$A$36&gt;35,N26+M27-V26,IF(A27&lt;'Données projet'!$A$36,$K$205^A27,IF(A27='Données projet'!$A$36,'Données projet'!$B$36,N26+M27-V26)))</f>
        <v>166.39999999999998</v>
      </c>
      <c r="O27" s="14">
        <f>N27*VLOOKUP('Données projet'!$B$9,Paramètres!$A$1:$I$89,3,0)*VLOOKUP('Données projet'!$B$9,Paramètres!$A$1:$I$89,5,0)</f>
        <v>145.36704</v>
      </c>
      <c r="P27" s="14">
        <f t="shared" si="33"/>
        <v>37.523814117080832</v>
      </c>
      <c r="Q27" s="22">
        <f t="shared" si="2"/>
        <v>318.53490425391578</v>
      </c>
      <c r="R27" s="62">
        <f t="shared" si="0"/>
        <v>604.53490425391578</v>
      </c>
      <c r="S27" s="62">
        <f ca="1">AVERAGE(OFFSET($R$3,0,0,'Données projet'!$E$9+1,1))-AVERAGE(OFFSET($H$3,0,0,'Données projet'!$E$9+1,1))</f>
        <v>303.33040062722074</v>
      </c>
      <c r="T27" s="62">
        <f t="shared" si="34"/>
        <v>425.30058672361548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9.2552902411009459</v>
      </c>
      <c r="AB27" s="23">
        <f>EXP(-LN(2)/2)*AB26+(1-EXP(-LN(2)/2))/(LN(2)/2)*V27*Y27*VLOOKUP('Données projet'!$B$9,Paramètres!$A$1:$I$89,3,0)*0.475*44/12</f>
        <v>5.1516569537454222</v>
      </c>
      <c r="AC27" s="24">
        <f t="shared" si="3"/>
        <v>14.406947194846367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407.66566805259345</v>
      </c>
      <c r="AN27" s="62">
        <f ca="1">AVERAGE(OFFSET($AM$3,0,0,'Données projet'!$E$10+1,1))-AVERAGE(OFFSET($H$3,0,0,'Données projet'!$E$10+1,1))</f>
        <v>371.75294069149942</v>
      </c>
      <c r="AO27" s="62">
        <f t="shared" si="36"/>
        <v>233.32640143610547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31.8</v>
      </c>
      <c r="BD27" s="13">
        <f>IF('Données projet'!$A$88&gt;35,BD26+BC27-BL26,IF(A27&lt;'Données projet'!$A$88,$BA$205^A27,IF(A27='Données projet'!$A$88,'Données projet'!$B$88,BD26+BC27-BL26)))</f>
        <v>387.2</v>
      </c>
      <c r="BE27" s="14">
        <f>BD27*VLOOKUP('Données projet'!$B$11,Paramètres!$A$1:$I$89,3,0)*VLOOKUP('Données projet'!$B$11,Paramètres!$A$1:$I$89,5,0)</f>
        <v>216.44479999999999</v>
      </c>
      <c r="BF27" s="14">
        <f t="shared" si="37"/>
        <v>53.341449419561528</v>
      </c>
      <c r="BG27" s="22">
        <f t="shared" si="7"/>
        <v>469.87771773906962</v>
      </c>
      <c r="BH27" s="62">
        <f t="shared" si="8"/>
        <v>755.87771773906957</v>
      </c>
      <c r="BI27" s="62">
        <f ca="1">AVERAGE(OFFSET($BH$3,0,0,'Données projet'!$E$11+1,1))-AVERAGE(OFFSET($H$3,0,0,'Données projet'!$E$11+1,1))</f>
        <v>555.15881087162279</v>
      </c>
      <c r="BJ27" s="62">
        <f t="shared" si="38"/>
        <v>668.20427590250733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1.6201972150225767</v>
      </c>
      <c r="BQ27" s="23">
        <f>EXP(-LN(2)/25)*BQ26+(1-EXP(-LN(2)/25))/(LN(2)/25)*Calculateur!BL27*Calculateur!BN27*VLOOKUP('Données projet'!$B$11,Paramètres!$A$1:$I$89,3,0)*0.475*44/12</f>
        <v>6.2539318343439252</v>
      </c>
      <c r="BR27" s="23">
        <f>EXP(-LN(2)/2)*BR26+(1-EXP(-LN(2)/2))/(LN(2)/2)*BL27*BO27*VLOOKUP('Données projet'!$B$11,Paramètres!$A$1:$I$89,3,0)*0.475*44/12</f>
        <v>3.4019334669554584</v>
      </c>
      <c r="BS27" s="24">
        <f t="shared" si="9"/>
        <v>11.276062516321961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24.91671805085759</v>
      </c>
      <c r="CA27" s="14">
        <f t="shared" si="39"/>
        <v>7.8975315442273644</v>
      </c>
      <c r="CB27" s="22">
        <f t="shared" si="10"/>
        <v>57.151484711439622</v>
      </c>
      <c r="CC27" s="62">
        <f t="shared" si="11"/>
        <v>343.15148471143959</v>
      </c>
      <c r="CD27" s="62">
        <f ca="1">AVERAGE(OFFSET($CC$3,0,0,'Données projet'!$E$12+1,1))-AVERAGE(OFFSET($H$3,0,0,'Données projet'!$E$12+1,1))</f>
        <v>293.996396026019</v>
      </c>
      <c r="CE27" s="62">
        <f t="shared" si="40"/>
        <v>152.23954167722536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182</v>
      </c>
      <c r="L28" s="13">
        <f>VLOOKUP(A28,'Données projet'!$A$35:$I$55,9,0)</f>
        <v>15.6</v>
      </c>
      <c r="M28" s="13">
        <f t="array" ref="M28">INDEX(L:L,MIN(IF(ISNUMBER(L28:L224),ROW(L28:L224),"")))</f>
        <v>15.6</v>
      </c>
      <c r="N28" s="14">
        <f>IF('Données projet'!$A$36&gt;35,N27+M28-V27,IF(A28&lt;'Données projet'!$A$36,$K$205^A28,IF(A28='Données projet'!$A$36,'Données projet'!$B$36,N27+M28-V27)))</f>
        <v>181.99999999999997</v>
      </c>
      <c r="O28" s="14">
        <f>N28*VLOOKUP('Données projet'!$B$9,Paramètres!$A$1:$I$89,3,0)*VLOOKUP('Données projet'!$B$9,Paramètres!$A$1:$I$89,5,0)</f>
        <v>158.99519999999998</v>
      </c>
      <c r="P28" s="14">
        <f t="shared" si="33"/>
        <v>40.615796933386044</v>
      </c>
      <c r="Q28" s="22">
        <f t="shared" si="2"/>
        <v>347.65581965898065</v>
      </c>
      <c r="R28" s="62">
        <f t="shared" si="0"/>
        <v>634.87804188120288</v>
      </c>
      <c r="S28" s="62">
        <f ca="1">AVERAGE(OFFSET($R$3,0,0,'Données projet'!$E$9+1,1))-AVERAGE(OFFSET($H$3,0,0,'Données projet'!$E$9+1,1))</f>
        <v>303.33040062722074</v>
      </c>
      <c r="T28" s="62">
        <f t="shared" si="34"/>
        <v>425.30058672361548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0.25800000000000001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21.907543141136742</v>
      </c>
      <c r="AB28" s="23">
        <f>EXP(-LN(2)/2)*AB27+(1-EXP(-LN(2)/2))/(LN(2)/2)*V28*Y28*VLOOKUP('Données projet'!$B$9,Paramètres!$A$1:$I$89,3,0)*0.475*44/12</f>
        <v>20.787485908404975</v>
      </c>
      <c r="AC28" s="24">
        <f t="shared" si="3"/>
        <v>42.695029049541716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430.86962479673792</v>
      </c>
      <c r="AN28" s="62">
        <f ca="1">AVERAGE(OFFSET($AM$3,0,0,'Données projet'!$E$10+1,1))-AVERAGE(OFFSET($H$3,0,0,'Données projet'!$E$10+1,1))</f>
        <v>371.75294069149942</v>
      </c>
      <c r="AO28" s="62">
        <f t="shared" si="36"/>
        <v>233.32640143610547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419</v>
      </c>
      <c r="BB28" s="13">
        <f>VLOOKUP(A28,'Données projet'!$A$87:$I$107,9,0)</f>
        <v>31.8</v>
      </c>
      <c r="BC28" s="13">
        <f t="array" ref="BC28">INDEX(BB:BB,MIN(IF(ISNUMBER(BB28:BB224),ROW(BB28:BB224),"")))</f>
        <v>31.8</v>
      </c>
      <c r="BD28" s="13">
        <f>IF('Données projet'!$A$88&gt;35,BD27+BC28-BL27,IF(A28&lt;'Données projet'!$A$88,$BA$205^A28,IF(A28='Données projet'!$A$88,'Données projet'!$B$88,BD27+BC28-BL27)))</f>
        <v>419</v>
      </c>
      <c r="BE28" s="14">
        <f>BD28*VLOOKUP('Données projet'!$B$11,Paramètres!$A$1:$I$89,3,0)*VLOOKUP('Données projet'!$B$11,Paramètres!$A$1:$I$89,5,0)</f>
        <v>234.221</v>
      </c>
      <c r="BF28" s="14">
        <f t="shared" si="37"/>
        <v>57.194392182630075</v>
      </c>
      <c r="BG28" s="22">
        <f t="shared" si="7"/>
        <v>507.54847471808063</v>
      </c>
      <c r="BH28" s="62">
        <f t="shared" si="8"/>
        <v>794.77069694030286</v>
      </c>
      <c r="BI28" s="62">
        <f ca="1">AVERAGE(OFFSET($BH$3,0,0,'Données projet'!$E$11+1,1))-AVERAGE(OFFSET($H$3,0,0,'Données projet'!$E$11+1,1))</f>
        <v>555.15881087162279</v>
      </c>
      <c r="BJ28" s="62">
        <f t="shared" si="38"/>
        <v>668.20427590250733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60</v>
      </c>
      <c r="BM28" s="17">
        <f>IF(ISNA(VLOOKUP(A28,'Données projet'!$A$87:$I$107,5,0)),0%,VLOOKUP(A28,'Données projet'!$A$87:$I$107,5,0)*VLOOKUP('Données projet'!$B$11,Paramètres!$A$1:$I$89,7,0))</f>
        <v>0.22000000000000003</v>
      </c>
      <c r="BN28" s="17">
        <f>IF(ISNA(VLOOKUP(A28,'Données projet'!$A$87:$I$107,6,0)),0%,VLOOKUP(A28,'Données projet'!$A$87:$I$107,6,0)*VLOOKUP('Données projet'!$B$11,Paramètres!$A$1:$I$89,7,0))</f>
        <v>0.16500000000000001</v>
      </c>
      <c r="BO28" s="17">
        <f>IF(ISNA(VLOOKUP(A28,'Données projet'!$A$87:$I$107,7,0)),0%,VLOOKUP(A28,'Données projet'!$A$87:$I$107,7,0))</f>
        <v>0.3</v>
      </c>
      <c r="BP28" s="23">
        <f>EXP(-LN(2)/35)*BP27+(1-EXP(-LN(2)/35))/(LN(2)/35)*BL28*BM28*VLOOKUP('Données projet'!$B$11,Paramètres!$A$1:$I$89,3,0)*0.475*44/12</f>
        <v>11.376879939655986</v>
      </c>
      <c r="BQ28" s="23">
        <f>EXP(-LN(2)/25)*BQ27+(1-EXP(-LN(2)/25))/(LN(2)/25)*Calculateur!BL28*Calculateur!BN28*VLOOKUP('Données projet'!$B$11,Paramètres!$A$1:$I$89,3,0)*0.475*44/12</f>
        <v>13.395352438062627</v>
      </c>
      <c r="BR28" s="23">
        <f>EXP(-LN(2)/2)*BR27+(1-EXP(-LN(2)/2))/(LN(2)/2)*BL28*BO28*VLOOKUP('Données projet'!$B$11,Paramètres!$A$1:$I$89,3,0)*0.475*44/12</f>
        <v>13.798051601340966</v>
      </c>
      <c r="BS28" s="24">
        <f t="shared" si="9"/>
        <v>38.570283979059582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28.548000000000002</v>
      </c>
      <c r="CA28" s="14">
        <f t="shared" si="39"/>
        <v>8.9063291829603273</v>
      </c>
      <c r="CB28" s="22">
        <f t="shared" si="10"/>
        <v>65.232956660322571</v>
      </c>
      <c r="CC28" s="62">
        <f t="shared" si="11"/>
        <v>352.45517888254483</v>
      </c>
      <c r="CD28" s="62">
        <f ca="1">AVERAGE(OFFSET($CC$3,0,0,'Données projet'!$E$12+1,1))-AVERAGE(OFFSET($H$3,0,0,'Données projet'!$E$12+1,1))</f>
        <v>293.996396026019</v>
      </c>
      <c r="CE28" s="62">
        <f t="shared" si="40"/>
        <v>152.23954167722536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14.8</v>
      </c>
      <c r="N29" s="14">
        <f>IF('Données projet'!$A$36&gt;35,N28+M29-V28,IF(A29&lt;'Données projet'!$A$36,$K$205^A29,IF(A29='Données projet'!$A$36,'Données projet'!$B$36,N28+M29-V28)))</f>
        <v>144.79999999999998</v>
      </c>
      <c r="O29" s="14">
        <f>N29*VLOOKUP('Données projet'!$B$9,Paramètres!$A$1:$I$89,3,0)*VLOOKUP('Données projet'!$B$9,Paramètres!$A$1:$I$89,5,0)</f>
        <v>126.49727999999999</v>
      </c>
      <c r="P29" s="14">
        <f t="shared" si="33"/>
        <v>33.185701456959592</v>
      </c>
      <c r="Q29" s="22">
        <f t="shared" si="2"/>
        <v>278.11452603753787</v>
      </c>
      <c r="R29" s="62">
        <f t="shared" si="0"/>
        <v>566.55897048198233</v>
      </c>
      <c r="S29" s="62">
        <f ca="1">AVERAGE(OFFSET($R$3,0,0,'Données projet'!$E$9+1,1))-AVERAGE(OFFSET($H$3,0,0,'Données projet'!$E$9+1,1))</f>
        <v>303.33040062722074</v>
      </c>
      <c r="T29" s="62">
        <f t="shared" si="34"/>
        <v>425.30058672361548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21.308480221874735</v>
      </c>
      <c r="AB29" s="23">
        <f>EXP(-LN(2)/2)*AB28+(1-EXP(-LN(2)/2))/(LN(2)/2)*V29*Y29*VLOOKUP('Données projet'!$B$9,Paramètres!$A$1:$I$89,3,0)*0.475*44/12</f>
        <v>14.698972249652957</v>
      </c>
      <c r="AC29" s="24">
        <f t="shared" si="3"/>
        <v>36.007452471527692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430.12038915107576</v>
      </c>
      <c r="AN29" s="62">
        <f ca="1">AVERAGE(OFFSET($AM$3,0,0,'Données projet'!$E$10+1,1))-AVERAGE(OFFSET($H$3,0,0,'Données projet'!$E$10+1,1))</f>
        <v>371.75294069149942</v>
      </c>
      <c r="AO29" s="62">
        <f t="shared" si="36"/>
        <v>233.32640143610547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33</v>
      </c>
      <c r="BD29" s="13">
        <f>IF('Données projet'!$A$88&gt;35,BD28+BC29-BL28,IF(A29&lt;'Données projet'!$A$88,$BA$205^A29,IF(A29='Données projet'!$A$88,'Données projet'!$B$88,BD28+BC29-BL28)))</f>
        <v>392</v>
      </c>
      <c r="BE29" s="14">
        <f>BD29*VLOOKUP('Données projet'!$B$11,Paramètres!$A$1:$I$89,3,0)*VLOOKUP('Données projet'!$B$11,Paramètres!$A$1:$I$89,5,0)</f>
        <v>219.12800000000001</v>
      </c>
      <c r="BF29" s="14">
        <f t="shared" si="37"/>
        <v>53.925317044064428</v>
      </c>
      <c r="BG29" s="22">
        <f t="shared" si="7"/>
        <v>475.56786051841215</v>
      </c>
      <c r="BH29" s="62">
        <f t="shared" si="8"/>
        <v>764.01230496285666</v>
      </c>
      <c r="BI29" s="62">
        <f ca="1">AVERAGE(OFFSET($BH$3,0,0,'Données projet'!$E$11+1,1))-AVERAGE(OFFSET($H$3,0,0,'Données projet'!$E$11+1,1))</f>
        <v>555.15881087162279</v>
      </c>
      <c r="BJ29" s="62">
        <f t="shared" si="38"/>
        <v>668.20427590250733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11.153786263250904</v>
      </c>
      <c r="BQ29" s="23">
        <f>EXP(-LN(2)/25)*BQ28+(1-EXP(-LN(2)/25))/(LN(2)/25)*Calculateur!BL29*Calculateur!BN29*VLOOKUP('Données projet'!$B$11,Paramètres!$A$1:$I$89,3,0)*0.475*44/12</f>
        <v>13.029055821212836</v>
      </c>
      <c r="BR29" s="23">
        <f>EXP(-LN(2)/2)*BR28+(1-EXP(-LN(2)/2))/(LN(2)/2)*BL29*BO29*VLOOKUP('Données projet'!$B$11,Paramètres!$A$1:$I$89,3,0)*0.475*44/12</f>
        <v>9.7566958544700988</v>
      </c>
      <c r="BS29" s="24">
        <f t="shared" si="9"/>
        <v>33.939537938933839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33.115679999999998</v>
      </c>
      <c r="CA29" s="14">
        <f t="shared" si="39"/>
        <v>10.154389597618938</v>
      </c>
      <c r="CB29" s="22">
        <f t="shared" si="10"/>
        <v>75.36203788251963</v>
      </c>
      <c r="CC29" s="62">
        <f t="shared" si="11"/>
        <v>363.8064823269641</v>
      </c>
      <c r="CD29" s="62">
        <f ca="1">AVERAGE(OFFSET($CC$3,0,0,'Données projet'!$E$12+1,1))-AVERAGE(OFFSET($H$3,0,0,'Données projet'!$E$12+1,1))</f>
        <v>293.996396026019</v>
      </c>
      <c r="CE29" s="62">
        <f t="shared" si="40"/>
        <v>152.23954167722536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14.8</v>
      </c>
      <c r="N30" s="14">
        <f>IF('Données projet'!$A$36&gt;35,N29+M30-V29,IF(A30&lt;'Données projet'!$A$36,$K$205^A30,IF(A30='Données projet'!$A$36,'Données projet'!$B$36,N29+M30-V29)))</f>
        <v>159.6</v>
      </c>
      <c r="O30" s="14">
        <f>N30*VLOOKUP('Données projet'!$B$9,Paramètres!$A$1:$I$89,3,0)*VLOOKUP('Données projet'!$B$9,Paramètres!$A$1:$I$89,5,0)</f>
        <v>139.42656000000002</v>
      </c>
      <c r="P30" s="14">
        <f t="shared" si="33"/>
        <v>36.165607079455818</v>
      </c>
      <c r="Q30" s="22">
        <f t="shared" si="2"/>
        <v>305.82302433005219</v>
      </c>
      <c r="R30" s="62">
        <f t="shared" si="0"/>
        <v>595.48969099671888</v>
      </c>
      <c r="S30" s="62">
        <f ca="1">AVERAGE(OFFSET($R$3,0,0,'Données projet'!$E$9+1,1))-AVERAGE(OFFSET($H$3,0,0,'Données projet'!$E$9+1,1))</f>
        <v>303.33040062722074</v>
      </c>
      <c r="T30" s="62">
        <f t="shared" si="34"/>
        <v>425.30058672361548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20.725798709643296</v>
      </c>
      <c r="AB30" s="23">
        <f>EXP(-LN(2)/2)*AB29+(1-EXP(-LN(2)/2))/(LN(2)/2)*V30*Y30*VLOOKUP('Données projet'!$B$9,Paramètres!$A$1:$I$89,3,0)*0.475*44/12</f>
        <v>10.393742954202489</v>
      </c>
      <c r="AC30" s="24">
        <f t="shared" si="3"/>
        <v>31.119541663845787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445.12954892285575</v>
      </c>
      <c r="AN30" s="62">
        <f ca="1">AVERAGE(OFFSET($AM$3,0,0,'Données projet'!$E$10+1,1))-AVERAGE(OFFSET($H$3,0,0,'Données projet'!$E$10+1,1))</f>
        <v>371.75294069149942</v>
      </c>
      <c r="AO30" s="62">
        <f t="shared" si="36"/>
        <v>233.32640143610547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33</v>
      </c>
      <c r="BD30" s="13">
        <f>IF('Données projet'!$A$88&gt;35,BD29+BC30-BL29,IF(A30&lt;'Données projet'!$A$88,$BA$205^A30,IF(A30='Données projet'!$A$88,'Données projet'!$B$88,BD29+BC30-BL29)))</f>
        <v>425</v>
      </c>
      <c r="BE30" s="14">
        <f>BD30*VLOOKUP('Données projet'!$B$11,Paramètres!$A$1:$I$89,3,0)*VLOOKUP('Données projet'!$B$11,Paramètres!$A$1:$I$89,5,0)</f>
        <v>237.57500000000002</v>
      </c>
      <c r="BF30" s="14">
        <f t="shared" si="37"/>
        <v>57.917471937261162</v>
      </c>
      <c r="BG30" s="22">
        <f t="shared" si="7"/>
        <v>514.64938862406325</v>
      </c>
      <c r="BH30" s="62">
        <f t="shared" si="8"/>
        <v>804.31605529072999</v>
      </c>
      <c r="BI30" s="62">
        <f ca="1">AVERAGE(OFFSET($BH$3,0,0,'Données projet'!$E$11+1,1))-AVERAGE(OFFSET($H$3,0,0,'Données projet'!$E$11+1,1))</f>
        <v>555.15881087162279</v>
      </c>
      <c r="BJ30" s="62">
        <f t="shared" si="38"/>
        <v>668.20427590250733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10.935067317766419</v>
      </c>
      <c r="BQ30" s="23">
        <f>EXP(-LN(2)/25)*BQ29+(1-EXP(-LN(2)/25))/(LN(2)/25)*Calculateur!BL30*Calculateur!BN30*VLOOKUP('Données projet'!$B$11,Paramètres!$A$1:$I$89,3,0)*0.475*44/12</f>
        <v>12.672775604613504</v>
      </c>
      <c r="BR30" s="23">
        <f>EXP(-LN(2)/2)*BR29+(1-EXP(-LN(2)/2))/(LN(2)/2)*BL30*BO30*VLOOKUP('Données projet'!$B$11,Paramètres!$A$1:$I$89,3,0)*0.475*44/12</f>
        <v>6.8990258006704837</v>
      </c>
      <c r="BS30" s="24">
        <f t="shared" si="9"/>
        <v>30.506868723050406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37.683359999999993</v>
      </c>
      <c r="CA30" s="14">
        <f t="shared" si="39"/>
        <v>11.382505490682499</v>
      </c>
      <c r="CB30" s="22">
        <f t="shared" si="10"/>
        <v>85.456382396271991</v>
      </c>
      <c r="CC30" s="62">
        <f t="shared" si="11"/>
        <v>375.12304906293866</v>
      </c>
      <c r="CD30" s="62">
        <f ca="1">AVERAGE(OFFSET($CC$3,0,0,'Données projet'!$E$12+1,1))-AVERAGE(OFFSET($H$3,0,0,'Données projet'!$E$12+1,1))</f>
        <v>293.996396026019</v>
      </c>
      <c r="CE30" s="62">
        <f t="shared" si="40"/>
        <v>152.23954167722536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14.8</v>
      </c>
      <c r="N31" s="14">
        <f>IF('Données projet'!$A$36&gt;35,N30+M31-V30,IF(A31&lt;'Données projet'!$A$36,$K$205^A31,IF(A31='Données projet'!$A$36,'Données projet'!$B$36,N30+M31-V30)))</f>
        <v>174.4</v>
      </c>
      <c r="O31" s="14">
        <f>N31*VLOOKUP('Données projet'!$B$9,Paramètres!$A$1:$I$89,3,0)*VLOOKUP('Données projet'!$B$9,Paramètres!$A$1:$I$89,5,0)</f>
        <v>152.35584000000003</v>
      </c>
      <c r="P31" s="14">
        <f t="shared" si="33"/>
        <v>39.11347218476763</v>
      </c>
      <c r="Q31" s="22">
        <f t="shared" si="2"/>
        <v>333.47571872180367</v>
      </c>
      <c r="R31" s="62">
        <f t="shared" si="0"/>
        <v>624.36460761069247</v>
      </c>
      <c r="S31" s="62">
        <f ca="1">AVERAGE(OFFSET($R$3,0,0,'Données projet'!$E$9+1,1))-AVERAGE(OFFSET($H$3,0,0,'Données projet'!$E$9+1,1))</f>
        <v>303.33040062722074</v>
      </c>
      <c r="T31" s="62">
        <f t="shared" si="34"/>
        <v>425.30058672361548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20.159050654005714</v>
      </c>
      <c r="AB31" s="23">
        <f>EXP(-LN(2)/2)*AB30+(1-EXP(-LN(2)/2))/(LN(2)/2)*V31*Y31*VLOOKUP('Données projet'!$B$9,Paramètres!$A$1:$I$89,3,0)*0.475*44/12</f>
        <v>7.3494861248264796</v>
      </c>
      <c r="AC31" s="24">
        <f t="shared" si="3"/>
        <v>27.508536778832195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460.1096576249563</v>
      </c>
      <c r="AN31" s="62">
        <f ca="1">AVERAGE(OFFSET($AM$3,0,0,'Données projet'!$E$10+1,1))-AVERAGE(OFFSET($H$3,0,0,'Données projet'!$E$10+1,1))</f>
        <v>371.75294069149942</v>
      </c>
      <c r="AO31" s="62">
        <f t="shared" si="36"/>
        <v>233.32640143610547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33</v>
      </c>
      <c r="BD31" s="13">
        <f>IF('Données projet'!$A$88&gt;35,BD30+BC31-BL30,IF(A31&lt;'Données projet'!$A$88,$BA$205^A31,IF(A31='Données projet'!$A$88,'Données projet'!$B$88,BD30+BC31-BL30)))</f>
        <v>458</v>
      </c>
      <c r="BE31" s="14">
        <f>BD31*VLOOKUP('Données projet'!$B$11,Paramètres!$A$1:$I$89,3,0)*VLOOKUP('Données projet'!$B$11,Paramètres!$A$1:$I$89,5,0)</f>
        <v>256.02199999999999</v>
      </c>
      <c r="BF31" s="14">
        <f t="shared" si="37"/>
        <v>61.873669712051253</v>
      </c>
      <c r="BG31" s="22">
        <f t="shared" si="7"/>
        <v>553.66829141515586</v>
      </c>
      <c r="BH31" s="62">
        <f t="shared" si="8"/>
        <v>844.55718030404478</v>
      </c>
      <c r="BI31" s="62">
        <f ca="1">AVERAGE(OFFSET($BH$3,0,0,'Données projet'!$E$11+1,1))-AVERAGE(OFFSET($H$3,0,0,'Données projet'!$E$11+1,1))</f>
        <v>555.15881087162279</v>
      </c>
      <c r="BJ31" s="62">
        <f t="shared" si="38"/>
        <v>668.20427590250733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10.720637317397502</v>
      </c>
      <c r="BQ31" s="23">
        <f>EXP(-LN(2)/25)*BQ30+(1-EXP(-LN(2)/25))/(LN(2)/25)*Calculateur!BL31*Calculateur!BN31*VLOOKUP('Données projet'!$B$11,Paramètres!$A$1:$I$89,3,0)*0.475*44/12</f>
        <v>12.326237889273042</v>
      </c>
      <c r="BR31" s="23">
        <f>EXP(-LN(2)/2)*BR30+(1-EXP(-LN(2)/2))/(LN(2)/2)*BL31*BO31*VLOOKUP('Données projet'!$B$11,Paramètres!$A$1:$I$89,3,0)*0.475*44/12</f>
        <v>4.8783479272350503</v>
      </c>
      <c r="BS31" s="24">
        <f t="shared" si="9"/>
        <v>27.925223133905593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42.251039999999989</v>
      </c>
      <c r="CA31" s="14">
        <f t="shared" si="39"/>
        <v>12.593370905616945</v>
      </c>
      <c r="CB31" s="22">
        <f t="shared" si="10"/>
        <v>95.520682327282813</v>
      </c>
      <c r="CC31" s="62">
        <f t="shared" si="11"/>
        <v>386.40957121617168</v>
      </c>
      <c r="CD31" s="62">
        <f ca="1">AVERAGE(OFFSET($CC$3,0,0,'Données projet'!$E$12+1,1))-AVERAGE(OFFSET($H$3,0,0,'Données projet'!$E$12+1,1))</f>
        <v>293.996396026019</v>
      </c>
      <c r="CE31" s="62">
        <f t="shared" si="40"/>
        <v>152.23954167722536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14.8</v>
      </c>
      <c r="N32" s="14">
        <f>IF('Données projet'!$A$36&gt;35,N31+M32-V31,IF(A32&lt;'Données projet'!$A$36,$K$205^A32,IF(A32='Données projet'!$A$36,'Données projet'!$B$36,N31+M32-V31)))</f>
        <v>189.20000000000002</v>
      </c>
      <c r="O32" s="14">
        <f>N32*VLOOKUP('Données projet'!$B$9,Paramètres!$A$1:$I$89,3,0)*VLOOKUP('Données projet'!$B$9,Paramètres!$A$1:$I$89,5,0)</f>
        <v>165.28512000000003</v>
      </c>
      <c r="P32" s="14">
        <f t="shared" si="33"/>
        <v>42.032324946671778</v>
      </c>
      <c r="Q32" s="22">
        <f t="shared" si="2"/>
        <v>361.07788328212001</v>
      </c>
      <c r="R32" s="62">
        <f t="shared" si="0"/>
        <v>653.18899439323116</v>
      </c>
      <c r="S32" s="62">
        <f ca="1">AVERAGE(OFFSET($R$3,0,0,'Données projet'!$E$9+1,1))-AVERAGE(OFFSET($H$3,0,0,'Données projet'!$E$9+1,1))</f>
        <v>303.33040062722074</v>
      </c>
      <c r="T32" s="62">
        <f t="shared" si="34"/>
        <v>425.30058672361548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19.607800353753529</v>
      </c>
      <c r="AB32" s="23">
        <f>EXP(-LN(2)/2)*AB31+(1-EXP(-LN(2)/2))/(LN(2)/2)*V32*Y32*VLOOKUP('Données projet'!$B$9,Paramètres!$A$1:$I$89,3,0)*0.475*44/12</f>
        <v>5.1968714771012445</v>
      </c>
      <c r="AC32" s="24">
        <f t="shared" si="3"/>
        <v>24.804671830854772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475.06341141723647</v>
      </c>
      <c r="AN32" s="62">
        <f ca="1">AVERAGE(OFFSET($AM$3,0,0,'Données projet'!$E$10+1,1))-AVERAGE(OFFSET($H$3,0,0,'Données projet'!$E$10+1,1))</f>
        <v>371.75294069149942</v>
      </c>
      <c r="AO32" s="62">
        <f t="shared" si="36"/>
        <v>233.32640143610547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33</v>
      </c>
      <c r="BD32" s="13">
        <f>IF('Données projet'!$A$88&gt;35,BD31+BC32-BL31,IF(A32&lt;'Données projet'!$A$88,$BA$205^A32,IF(A32='Données projet'!$A$88,'Données projet'!$B$88,BD31+BC32-BL31)))</f>
        <v>491</v>
      </c>
      <c r="BE32" s="14">
        <f>BD32*VLOOKUP('Données projet'!$B$11,Paramètres!$A$1:$I$89,3,0)*VLOOKUP('Données projet'!$B$11,Paramètres!$A$1:$I$89,5,0)</f>
        <v>274.46899999999999</v>
      </c>
      <c r="BF32" s="14">
        <f t="shared" si="37"/>
        <v>65.796795812732981</v>
      </c>
      <c r="BG32" s="22">
        <f t="shared" si="7"/>
        <v>592.62959437384313</v>
      </c>
      <c r="BH32" s="62">
        <f t="shared" si="8"/>
        <v>884.74070548495433</v>
      </c>
      <c r="BI32" s="62">
        <f ca="1">AVERAGE(OFFSET($BH$3,0,0,'Données projet'!$E$11+1,1))-AVERAGE(OFFSET($H$3,0,0,'Données projet'!$E$11+1,1))</f>
        <v>555.15881087162279</v>
      </c>
      <c r="BJ32" s="62">
        <f t="shared" si="38"/>
        <v>668.20427590250733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10.510412158546433</v>
      </c>
      <c r="BQ32" s="23">
        <f>EXP(-LN(2)/25)*BQ31+(1-EXP(-LN(2)/25))/(LN(2)/25)*Calculateur!BL32*Calculateur!BN32*VLOOKUP('Données projet'!$B$11,Paramètres!$A$1:$I$89,3,0)*0.475*44/12</f>
        <v>11.989176265982191</v>
      </c>
      <c r="BR32" s="23">
        <f>EXP(-LN(2)/2)*BR31+(1-EXP(-LN(2)/2))/(LN(2)/2)*BL32*BO32*VLOOKUP('Données projet'!$B$11,Paramètres!$A$1:$I$89,3,0)*0.475*44/12</f>
        <v>3.4495129003352427</v>
      </c>
      <c r="BS32" s="24">
        <f t="shared" si="9"/>
        <v>25.949101324863868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46.818719999999992</v>
      </c>
      <c r="CA32" s="14">
        <f t="shared" si="39"/>
        <v>13.789063354733791</v>
      </c>
      <c r="CB32" s="22">
        <f t="shared" si="10"/>
        <v>105.55855600949467</v>
      </c>
      <c r="CC32" s="62">
        <f t="shared" si="11"/>
        <v>397.66966712060582</v>
      </c>
      <c r="CD32" s="62">
        <f ca="1">AVERAGE(OFFSET($CC$3,0,0,'Données projet'!$E$12+1,1))-AVERAGE(OFFSET($H$3,0,0,'Données projet'!$E$12+1,1))</f>
        <v>293.996396026019</v>
      </c>
      <c r="CE32" s="62">
        <f t="shared" si="40"/>
        <v>152.23954167722536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204</v>
      </c>
      <c r="L33" s="13">
        <f>VLOOKUP(A33,'Données projet'!$A$35:$I$55,9,0)</f>
        <v>14.8</v>
      </c>
      <c r="M33" s="13">
        <f t="array" ref="M33">INDEX(L:L,MIN(IF(ISNUMBER(L33:L229),ROW(L33:L229),"")))</f>
        <v>14.8</v>
      </c>
      <c r="N33" s="14">
        <f>IF('Données projet'!$A$36&gt;35,N32+M33-V32,IF(A33&lt;'Données projet'!$A$36,$K$205^A33,IF(A33='Données projet'!$A$36,'Données projet'!$B$36,N32+M33-V32)))</f>
        <v>204.00000000000003</v>
      </c>
      <c r="O33" s="14">
        <f>N33*VLOOKUP('Données projet'!$B$9,Paramètres!$A$1:$I$89,3,0)*VLOOKUP('Données projet'!$B$9,Paramètres!$A$1:$I$89,5,0)</f>
        <v>178.21440000000004</v>
      </c>
      <c r="P33" s="14">
        <f t="shared" si="33"/>
        <v>44.924692855664368</v>
      </c>
      <c r="Q33" s="22">
        <f t="shared" si="2"/>
        <v>388.63392005694885</v>
      </c>
      <c r="R33" s="62">
        <f t="shared" si="0"/>
        <v>681.96725339028217</v>
      </c>
      <c r="S33" s="62">
        <f ca="1">AVERAGE(OFFSET($R$3,0,0,'Données projet'!$E$9+1,1))-AVERAGE(OFFSET($H$3,0,0,'Données projet'!$E$9+1,1))</f>
        <v>303.33040062722074</v>
      </c>
      <c r="T33" s="62">
        <f t="shared" si="34"/>
        <v>425.30058672361548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0.30099999999999999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33.838310334535329</v>
      </c>
      <c r="AB33" s="23">
        <f>EXP(-LN(2)/2)*AB32+(1-EXP(-LN(2)/2))/(LN(2)/2)*V33*Y33*VLOOKUP('Données projet'!$B$9,Paramètres!$A$1:$I$89,3,0)*0.475*44/12</f>
        <v>16.285999285182026</v>
      </c>
      <c r="AC33" s="24">
        <f t="shared" si="3"/>
        <v>50.124309619717351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489.99306810277216</v>
      </c>
      <c r="AN33" s="62">
        <f ca="1">AVERAGE(OFFSET($AM$3,0,0,'Données projet'!$E$10+1,1))-AVERAGE(OFFSET($H$3,0,0,'Données projet'!$E$10+1,1))</f>
        <v>371.75294069149942</v>
      </c>
      <c r="AO33" s="62">
        <f t="shared" si="36"/>
        <v>233.32640143610547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2.6989531705774374</v>
      </c>
      <c r="AW33" s="23">
        <f>EXP(-LN(2)/2)*AW32+(1-EXP(-LN(2)/2))/(LN(2)/2)*AQ33*AT33*VLOOKUP('Données projet'!$B$10,Paramètres!$A$1:$I$89,3,0)*0.475*44/12</f>
        <v>12.54943633932384</v>
      </c>
      <c r="AX33" s="23">
        <f t="shared" si="6"/>
        <v>15.248389509901278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524</v>
      </c>
      <c r="BB33" s="13">
        <f>VLOOKUP(A33,'Données projet'!$A$87:$I$107,9,0)</f>
        <v>33</v>
      </c>
      <c r="BC33" s="13">
        <f t="array" ref="BC33">INDEX(BB:BB,MIN(IF(ISNUMBER(BB33:BB229),ROW(BB33:BB229),"")))</f>
        <v>33</v>
      </c>
      <c r="BD33" s="13">
        <f>IF('Données projet'!$A$88&gt;35,BD32+BC33-BL32,IF(A33&lt;'Données projet'!$A$88,$BA$205^A33,IF(A33='Données projet'!$A$88,'Données projet'!$B$88,BD32+BC33-BL32)))</f>
        <v>524</v>
      </c>
      <c r="BE33" s="14">
        <f>BD33*VLOOKUP('Données projet'!$B$11,Paramètres!$A$1:$I$89,3,0)*VLOOKUP('Données projet'!$B$11,Paramètres!$A$1:$I$89,5,0)</f>
        <v>292.916</v>
      </c>
      <c r="BF33" s="14">
        <f t="shared" si="37"/>
        <v>69.68932587703776</v>
      </c>
      <c r="BG33" s="22">
        <f t="shared" si="7"/>
        <v>631.53760923584082</v>
      </c>
      <c r="BH33" s="62">
        <f t="shared" si="8"/>
        <v>924.87094256917408</v>
      </c>
      <c r="BI33" s="62">
        <f ca="1">AVERAGE(OFFSET($BH$3,0,0,'Données projet'!$E$11+1,1))-AVERAGE(OFFSET($H$3,0,0,'Données projet'!$E$11+1,1))</f>
        <v>555.15881087162279</v>
      </c>
      <c r="BJ33" s="62">
        <f t="shared" si="38"/>
        <v>668.20427590250733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90</v>
      </c>
      <c r="BM33" s="17">
        <f>IF(ISNA(VLOOKUP(A33,'Données projet'!$A$87:$I$107,5,0)),0%,VLOOKUP(A33,'Données projet'!$A$87:$I$107,5,0)*VLOOKUP('Données projet'!$B$11,Paramètres!$A$1:$I$89,7,0))</f>
        <v>0.27500000000000002</v>
      </c>
      <c r="BN33" s="17">
        <f>IF(ISNA(VLOOKUP(A33,'Données projet'!$A$87:$I$107,6,0)),0%,VLOOKUP(A33,'Données projet'!$A$87:$I$107,6,0)*VLOOKUP('Données projet'!$B$11,Paramètres!$A$1:$I$89,7,0))</f>
        <v>0.16500000000000001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28.657660268955652</v>
      </c>
      <c r="BQ33" s="23">
        <f>EXP(-LN(2)/25)*BQ32+(1-EXP(-LN(2)/25))/(LN(2)/25)*Calculateur!BL33*Calculateur!BN33*VLOOKUP('Données projet'!$B$11,Paramètres!$A$1:$I$89,3,0)*0.475*44/12</f>
        <v>22.629983658418759</v>
      </c>
      <c r="BR33" s="23">
        <f>EXP(-LN(2)/2)*BR32+(1-EXP(-LN(2)/2))/(LN(2)/2)*BL33*BO33*VLOOKUP('Données projet'!$B$11,Paramètres!$A$1:$I$89,3,0)*0.475*44/12</f>
        <v>13.831695341328825</v>
      </c>
      <c r="BS33" s="24">
        <f t="shared" si="9"/>
        <v>65.119339268703243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51.386399999999988</v>
      </c>
      <c r="CA33" s="14">
        <f t="shared" si="39"/>
        <v>14.971231585009825</v>
      </c>
      <c r="CB33" s="22">
        <f t="shared" si="10"/>
        <v>115.57287501055875</v>
      </c>
      <c r="CC33" s="62">
        <f t="shared" si="11"/>
        <v>408.90620834389205</v>
      </c>
      <c r="CD33" s="62">
        <f ca="1">AVERAGE(OFFSET($CC$3,0,0,'Données projet'!$E$12+1,1))-AVERAGE(OFFSET($H$3,0,0,'Données projet'!$E$12+1,1))</f>
        <v>293.996396026019</v>
      </c>
      <c r="CE33" s="62">
        <f t="shared" si="40"/>
        <v>152.23954167722536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13.6</v>
      </c>
      <c r="N34" s="14">
        <f>IF('Données projet'!$A$36&gt;35,N33+M34-V33,IF(A34&lt;'Données projet'!$A$36,$K$205^A34,IF(A34='Données projet'!$A$36,'Données projet'!$B$36,N33+M34-V33)))</f>
        <v>166.60000000000002</v>
      </c>
      <c r="O34" s="14">
        <f>N34*VLOOKUP('Données projet'!$B$9,Paramètres!$A$1:$I$89,3,0)*VLOOKUP('Données projet'!$B$9,Paramètres!$A$1:$I$89,5,0)</f>
        <v>145.54176000000004</v>
      </c>
      <c r="P34" s="14">
        <f t="shared" si="33"/>
        <v>37.563662342876064</v>
      </c>
      <c r="Q34" s="22">
        <f t="shared" si="2"/>
        <v>318.90861058050916</v>
      </c>
      <c r="R34" s="62">
        <f t="shared" si="0"/>
        <v>612.24194391384253</v>
      </c>
      <c r="S34" s="62">
        <f ca="1">AVERAGE(OFFSET($R$3,0,0,'Données projet'!$E$9+1,1))-AVERAGE(OFFSET($H$3,0,0,'Données projet'!$E$9+1,1))</f>
        <v>303.33040062722074</v>
      </c>
      <c r="T34" s="62">
        <f t="shared" si="34"/>
        <v>425.30058672361548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32.912999958958061</v>
      </c>
      <c r="AB34" s="23">
        <f>EXP(-LN(2)/2)*AB33+(1-EXP(-LN(2)/2))/(LN(2)/2)*V34*Y34*VLOOKUP('Données projet'!$B$9,Paramètres!$A$1:$I$89,3,0)*0.475*44/12</f>
        <v>11.515940532951477</v>
      </c>
      <c r="AC34" s="24">
        <f t="shared" si="3"/>
        <v>44.428940491909536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464.12470794029787</v>
      </c>
      <c r="AN34" s="62">
        <f ca="1">AVERAGE(OFFSET($AM$3,0,0,'Données projet'!$E$10+1,1))-AVERAGE(OFFSET($H$3,0,0,'Données projet'!$E$10+1,1))</f>
        <v>371.75294069149942</v>
      </c>
      <c r="AO34" s="62">
        <f t="shared" si="36"/>
        <v>233.32640143610547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2.6251501541962186</v>
      </c>
      <c r="AW34" s="23">
        <f>EXP(-LN(2)/2)*AW33+(1-EXP(-LN(2)/2))/(LN(2)/2)*AQ34*AT34*VLOOKUP('Données projet'!$B$10,Paramètres!$A$1:$I$89,3,0)*0.475*44/12</f>
        <v>8.8737915356047719</v>
      </c>
      <c r="AX34" s="23">
        <f t="shared" si="6"/>
        <v>11.49894168980099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28.4</v>
      </c>
      <c r="BD34" s="13">
        <f>IF('Données projet'!$A$88&gt;35,BD33+BC34-BL33,IF(A34&lt;'Données projet'!$A$88,$BA$205^A34,IF(A34='Données projet'!$A$88,'Données projet'!$B$88,BD33+BC34-BL33)))</f>
        <v>462.4</v>
      </c>
      <c r="BE34" s="14">
        <f>BD34*VLOOKUP('Données projet'!$B$11,Paramètres!$A$1:$I$89,3,0)*VLOOKUP('Données projet'!$B$11,Paramètres!$A$1:$I$89,5,0)</f>
        <v>258.48160000000001</v>
      </c>
      <c r="BF34" s="14">
        <f t="shared" si="37"/>
        <v>62.398606187610767</v>
      </c>
      <c r="BG34" s="22">
        <f t="shared" si="7"/>
        <v>558.86635911008875</v>
      </c>
      <c r="BH34" s="62">
        <f t="shared" si="8"/>
        <v>852.19969244342201</v>
      </c>
      <c r="BI34" s="62">
        <f ca="1">AVERAGE(OFFSET($BH$3,0,0,'Données projet'!$E$11+1,1))-AVERAGE(OFFSET($H$3,0,0,'Données projet'!$E$11+1,1))</f>
        <v>555.15881087162279</v>
      </c>
      <c r="BJ34" s="62">
        <f t="shared" si="38"/>
        <v>668.20427590250733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28.095701030528243</v>
      </c>
      <c r="BQ34" s="23">
        <f>EXP(-LN(2)/25)*BQ33+(1-EXP(-LN(2)/25))/(LN(2)/25)*Calculateur!BL34*Calculateur!BN34*VLOOKUP('Données projet'!$B$11,Paramètres!$A$1:$I$89,3,0)*0.475*44/12</f>
        <v>22.011165565220178</v>
      </c>
      <c r="BR34" s="23">
        <f>EXP(-LN(2)/2)*BR33+(1-EXP(-LN(2)/2))/(LN(2)/2)*BL34*BO34*VLOOKUP('Données projet'!$B$11,Paramètres!$A$1:$I$89,3,0)*0.475*44/12</f>
        <v>9.780485571159991</v>
      </c>
      <c r="BS34" s="24">
        <f t="shared" si="9"/>
        <v>59.887352166908414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56.144399999999983</v>
      </c>
      <c r="CA34" s="14">
        <f t="shared" si="39"/>
        <v>16.189716344887636</v>
      </c>
      <c r="CB34" s="22">
        <f t="shared" si="10"/>
        <v>125.98191930067928</v>
      </c>
      <c r="CC34" s="62">
        <f t="shared" si="11"/>
        <v>419.31525263401261</v>
      </c>
      <c r="CD34" s="62">
        <f ca="1">AVERAGE(OFFSET($CC$3,0,0,'Données projet'!$E$12+1,1))-AVERAGE(OFFSET($H$3,0,0,'Données projet'!$E$12+1,1))</f>
        <v>293.996396026019</v>
      </c>
      <c r="CE34" s="62">
        <f t="shared" si="40"/>
        <v>152.23954167722536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13.6</v>
      </c>
      <c r="N35" s="14">
        <f>IF('Données projet'!$A$36&gt;35,N34+M35-V34,IF(A35&lt;'Données projet'!$A$36,$K$205^A35,IF(A35='Données projet'!$A$36,'Données projet'!$B$36,N34+M35-V34)))</f>
        <v>180.20000000000002</v>
      </c>
      <c r="O35" s="14">
        <f>N35*VLOOKUP('Données projet'!$B$9,Paramètres!$A$1:$I$89,3,0)*VLOOKUP('Données projet'!$B$9,Paramètres!$A$1:$I$89,5,0)</f>
        <v>157.42272000000003</v>
      </c>
      <c r="P35" s="14">
        <f t="shared" si="33"/>
        <v>40.260654441499831</v>
      </c>
      <c r="Q35" s="22">
        <f t="shared" ref="Q35:Q66" si="53">(O35+P35)*0.475*44/12</f>
        <v>344.29854381894557</v>
      </c>
      <c r="R35" s="62">
        <f t="shared" si="0"/>
        <v>637.63187715227889</v>
      </c>
      <c r="S35" s="62">
        <f ca="1">AVERAGE(OFFSET($R$3,0,0,'Données projet'!$E$9+1,1))-AVERAGE(OFFSET($H$3,0,0,'Données projet'!$E$9+1,1))</f>
        <v>303.33040062722074</v>
      </c>
      <c r="T35" s="62">
        <f t="shared" si="34"/>
        <v>425.30058672361548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32.012992244260907</v>
      </c>
      <c r="AB35" s="23">
        <f>EXP(-LN(2)/2)*AB34+(1-EXP(-LN(2)/2))/(LN(2)/2)*V35*Y35*VLOOKUP('Données projet'!$B$9,Paramètres!$A$1:$I$89,3,0)*0.475*44/12</f>
        <v>8.1429996425910147</v>
      </c>
      <c r="AC35" s="24">
        <f t="shared" si="3"/>
        <v>40.155991886851922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479.42081191091745</v>
      </c>
      <c r="AN35" s="62">
        <f ca="1">AVERAGE(OFFSET($AM$3,0,0,'Données projet'!$E$10+1,1))-AVERAGE(OFFSET($H$3,0,0,'Données projet'!$E$10+1,1))</f>
        <v>371.75294069149942</v>
      </c>
      <c r="AO35" s="62">
        <f t="shared" si="36"/>
        <v>233.32640143610547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2.5533652851790762</v>
      </c>
      <c r="AW35" s="23">
        <f>EXP(-LN(2)/2)*AW34+(1-EXP(-LN(2)/2))/(LN(2)/2)*AQ35*AT35*VLOOKUP('Données projet'!$B$10,Paramètres!$A$1:$I$89,3,0)*0.475*44/12</f>
        <v>6.274718169661921</v>
      </c>
      <c r="AX35" s="23">
        <f t="shared" si="6"/>
        <v>8.8280834548409963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28.4</v>
      </c>
      <c r="BD35" s="13">
        <f>IF('Données projet'!$A$88&gt;35,BD34+BC35-BL34,IF(A35&lt;'Données projet'!$A$88,$BA$205^A35,IF(A35='Données projet'!$A$88,'Données projet'!$B$88,BD34+BC35-BL34)))</f>
        <v>490.79999999999995</v>
      </c>
      <c r="BE35" s="14">
        <f>BD35*VLOOKUP('Données projet'!$B$11,Paramètres!$A$1:$I$89,3,0)*VLOOKUP('Données projet'!$B$11,Paramètres!$A$1:$I$89,5,0)</f>
        <v>274.35719999999998</v>
      </c>
      <c r="BF35" s="14">
        <f t="shared" si="37"/>
        <v>65.773113764972635</v>
      </c>
      <c r="BG35" s="22">
        <f t="shared" si="7"/>
        <v>592.39362980732722</v>
      </c>
      <c r="BH35" s="62">
        <f t="shared" si="8"/>
        <v>885.72696314066047</v>
      </c>
      <c r="BI35" s="62">
        <f ca="1">AVERAGE(OFFSET($BH$3,0,0,'Données projet'!$E$11+1,1))-AVERAGE(OFFSET($H$3,0,0,'Données projet'!$E$11+1,1))</f>
        <v>555.15881087162279</v>
      </c>
      <c r="BJ35" s="62">
        <f t="shared" si="38"/>
        <v>668.20427590250733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27.544761470005106</v>
      </c>
      <c r="BQ35" s="23">
        <f>EXP(-LN(2)/25)*BQ34+(1-EXP(-LN(2)/25))/(LN(2)/25)*Calculateur!BL35*Calculateur!BN35*VLOOKUP('Données projet'!$B$11,Paramètres!$A$1:$I$89,3,0)*0.475*44/12</f>
        <v>21.409269085322343</v>
      </c>
      <c r="BR35" s="23">
        <f>EXP(-LN(2)/2)*BR34+(1-EXP(-LN(2)/2))/(LN(2)/2)*BL35*BO35*VLOOKUP('Données projet'!$B$11,Paramètres!$A$1:$I$89,3,0)*0.475*44/12</f>
        <v>6.9158476706644132</v>
      </c>
      <c r="BS35" s="24">
        <f t="shared" si="9"/>
        <v>55.869878225991862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60.902399999999993</v>
      </c>
      <c r="CA35" s="14">
        <f t="shared" si="39"/>
        <v>17.396225443744882</v>
      </c>
      <c r="CB35" s="22">
        <f t="shared" si="10"/>
        <v>136.37010598118897</v>
      </c>
      <c r="CC35" s="62">
        <f t="shared" si="11"/>
        <v>429.70343931452226</v>
      </c>
      <c r="CD35" s="62">
        <f ca="1">AVERAGE(OFFSET($CC$3,0,0,'Données projet'!$E$12+1,1))-AVERAGE(OFFSET($H$3,0,0,'Données projet'!$E$12+1,1))</f>
        <v>293.996396026019</v>
      </c>
      <c r="CE35" s="62">
        <f t="shared" si="40"/>
        <v>152.23954167722536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</v>
      </c>
      <c r="N36" s="14">
        <f>IF('Données projet'!$A$36&gt;35,N35+M36-V35,IF(A36&lt;'Données projet'!$A$36,$K$205^A36,IF(A36='Données projet'!$A$36,'Données projet'!$B$36,N35+M36-V35)))</f>
        <v>193.8</v>
      </c>
      <c r="O36" s="14">
        <f>N36*VLOOKUP('Données projet'!$B$9,Paramètres!$A$1:$I$89,3,0)*VLOOKUP('Données projet'!$B$9,Paramètres!$A$1:$I$89,5,0)</f>
        <v>169.30368000000004</v>
      </c>
      <c r="P36" s="14">
        <f t="shared" si="33"/>
        <v>42.934033834973256</v>
      </c>
      <c r="Q36" s="22">
        <f t="shared" si="53"/>
        <v>369.64735159591186</v>
      </c>
      <c r="R36" s="62">
        <f t="shared" si="0"/>
        <v>662.98068492924517</v>
      </c>
      <c r="S36" s="62">
        <f ca="1">AVERAGE(OFFSET($R$3,0,0,'Données projet'!$E$9+1,1))-AVERAGE(OFFSET($H$3,0,0,'Données projet'!$E$9+1,1))</f>
        <v>303.33040062722074</v>
      </c>
      <c r="T36" s="62">
        <f t="shared" si="34"/>
        <v>425.30058672361548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31.137595287851497</v>
      </c>
      <c r="AB36" s="23">
        <f>EXP(-LN(2)/2)*AB35+(1-EXP(-LN(2)/2))/(LN(2)/2)*V36*Y36*VLOOKUP('Données projet'!$B$9,Paramètres!$A$1:$I$89,3,0)*0.475*44/12</f>
        <v>5.7579702664757395</v>
      </c>
      <c r="AC36" s="24">
        <f t="shared" si="3"/>
        <v>36.895565554327234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494.68756585460881</v>
      </c>
      <c r="AN36" s="62">
        <f ca="1">AVERAGE(OFFSET($AM$3,0,0,'Données projet'!$E$10+1,1))-AVERAGE(OFFSET($H$3,0,0,'Données projet'!$E$10+1,1))</f>
        <v>371.75294069149942</v>
      </c>
      <c r="AO36" s="62">
        <f t="shared" si="36"/>
        <v>233.32640143610547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2.4835433771802098</v>
      </c>
      <c r="AW36" s="23">
        <f>EXP(-LN(2)/2)*AW35+(1-EXP(-LN(2)/2))/(LN(2)/2)*AQ36*AT36*VLOOKUP('Données projet'!$B$10,Paramètres!$A$1:$I$89,3,0)*0.475*44/12</f>
        <v>4.4368957678023859</v>
      </c>
      <c r="AX36" s="23">
        <f t="shared" si="6"/>
        <v>6.9204391449825957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28.4</v>
      </c>
      <c r="BD36" s="13">
        <f>IF('Données projet'!$A$88&gt;35,BD35+BC36-BL35,IF(A36&lt;'Données projet'!$A$88,$BA$205^A36,IF(A36='Données projet'!$A$88,'Données projet'!$B$88,BD35+BC36-BL35)))</f>
        <v>519.19999999999993</v>
      </c>
      <c r="BE36" s="14">
        <f>BD36*VLOOKUP('Données projet'!$B$11,Paramètres!$A$1:$I$89,3,0)*VLOOKUP('Données projet'!$B$11,Paramètres!$A$1:$I$89,5,0)</f>
        <v>290.2328</v>
      </c>
      <c r="BF36" s="14">
        <f t="shared" si="37"/>
        <v>69.124955529636495</v>
      </c>
      <c r="BG36" s="22">
        <f t="shared" si="7"/>
        <v>625.88142421411692</v>
      </c>
      <c r="BH36" s="62">
        <f t="shared" si="8"/>
        <v>919.21475754745029</v>
      </c>
      <c r="BI36" s="62">
        <f ca="1">AVERAGE(OFFSET($BH$3,0,0,'Données projet'!$E$11+1,1))-AVERAGE(OFFSET($H$3,0,0,'Données projet'!$E$11+1,1))</f>
        <v>555.15881087162279</v>
      </c>
      <c r="BJ36" s="62">
        <f t="shared" si="38"/>
        <v>668.20427590250733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27.004625498223877</v>
      </c>
      <c r="BQ36" s="23">
        <f>EXP(-LN(2)/25)*BQ35+(1-EXP(-LN(2)/25))/(LN(2)/25)*Calculateur!BL36*Calculateur!BN36*VLOOKUP('Données projet'!$B$11,Paramètres!$A$1:$I$89,3,0)*0.475*44/12</f>
        <v>20.823831496319674</v>
      </c>
      <c r="BR36" s="23">
        <f>EXP(-LN(2)/2)*BR35+(1-EXP(-LN(2)/2))/(LN(2)/2)*BL36*BO36*VLOOKUP('Données projet'!$B$11,Paramètres!$A$1:$I$89,3,0)*0.475*44/12</f>
        <v>4.8902427855799964</v>
      </c>
      <c r="BS36" s="24">
        <f t="shared" si="9"/>
        <v>52.718699780123544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65.660399999999981</v>
      </c>
      <c r="CA36" s="14">
        <f t="shared" si="39"/>
        <v>18.591800852927584</v>
      </c>
      <c r="CB36" s="22">
        <f t="shared" si="10"/>
        <v>146.73924981884883</v>
      </c>
      <c r="CC36" s="62">
        <f t="shared" si="11"/>
        <v>440.07258315218212</v>
      </c>
      <c r="CD36" s="62">
        <f ca="1">AVERAGE(OFFSET($CC$3,0,0,'Données projet'!$E$12+1,1))-AVERAGE(OFFSET($H$3,0,0,'Données projet'!$E$12+1,1))</f>
        <v>293.996396026019</v>
      </c>
      <c r="CE36" s="62">
        <f t="shared" si="40"/>
        <v>152.23954167722536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</v>
      </c>
      <c r="N37" s="14">
        <f>IF('Données projet'!$A$36&gt;35,N36+M37-V36,IF(A37&lt;'Données projet'!$A$36,$K$205^A37,IF(A37='Données projet'!$A$36,'Données projet'!$B$36,N36+M37-V36)))</f>
        <v>207.4</v>
      </c>
      <c r="O37" s="14">
        <f>N37*VLOOKUP('Données projet'!$B$9,Paramètres!$A$1:$I$89,3,0)*VLOOKUP('Données projet'!$B$9,Paramètres!$A$1:$I$89,5,0)</f>
        <v>181.18464000000003</v>
      </c>
      <c r="P37" s="14">
        <f t="shared" si="33"/>
        <v>45.585646034700325</v>
      </c>
      <c r="Q37" s="22">
        <f t="shared" si="53"/>
        <v>394.95824817710309</v>
      </c>
      <c r="R37" s="62">
        <f t="shared" si="0"/>
        <v>688.29158151043634</v>
      </c>
      <c r="S37" s="62">
        <f ca="1">AVERAGE(OFFSET($R$3,0,0,'Données projet'!$E$9+1,1))-AVERAGE(OFFSET($H$3,0,0,'Données projet'!$E$9+1,1))</f>
        <v>303.33040062722074</v>
      </c>
      <c r="T37" s="62">
        <f t="shared" si="34"/>
        <v>425.30058672361548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30.286136107250226</v>
      </c>
      <c r="AB37" s="23">
        <f>EXP(-LN(2)/2)*AB36+(1-EXP(-LN(2)/2))/(LN(2)/2)*V37*Y37*VLOOKUP('Données projet'!$B$9,Paramètres!$A$1:$I$89,3,0)*0.475*44/12</f>
        <v>4.0714998212955074</v>
      </c>
      <c r="AC37" s="24">
        <f t="shared" si="3"/>
        <v>34.357635928545733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509.92750920098484</v>
      </c>
      <c r="AN37" s="62">
        <f ca="1">AVERAGE(OFFSET($AM$3,0,0,'Données projet'!$E$10+1,1))-AVERAGE(OFFSET($H$3,0,0,'Données projet'!$E$10+1,1))</f>
        <v>371.75294069149942</v>
      </c>
      <c r="AO37" s="62">
        <f t="shared" si="36"/>
        <v>233.32640143610547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2.4156307529273469</v>
      </c>
      <c r="AW37" s="23">
        <f>EXP(-LN(2)/2)*AW36+(1-EXP(-LN(2)/2))/(LN(2)/2)*AQ37*AT37*VLOOKUP('Données projet'!$B$10,Paramètres!$A$1:$I$89,3,0)*0.475*44/12</f>
        <v>3.1373590848309605</v>
      </c>
      <c r="AX37" s="23">
        <f t="shared" si="6"/>
        <v>5.5529898377583073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28.4</v>
      </c>
      <c r="BD37" s="13">
        <f>IF('Données projet'!$A$88&gt;35,BD36+BC37-BL36,IF(A37&lt;'Données projet'!$A$88,$BA$205^A37,IF(A37='Données projet'!$A$88,'Données projet'!$B$88,BD36+BC37-BL36)))</f>
        <v>547.59999999999991</v>
      </c>
      <c r="BE37" s="14">
        <f>BD37*VLOOKUP('Données projet'!$B$11,Paramètres!$A$1:$I$89,3,0)*VLOOKUP('Données projet'!$B$11,Paramètres!$A$1:$I$89,5,0)</f>
        <v>306.10839999999996</v>
      </c>
      <c r="BF37" s="14">
        <f t="shared" si="37"/>
        <v>72.455512621968097</v>
      </c>
      <c r="BG37" s="22">
        <f t="shared" si="7"/>
        <v>659.33214781659433</v>
      </c>
      <c r="BH37" s="62">
        <f t="shared" si="8"/>
        <v>952.6654811499277</v>
      </c>
      <c r="BI37" s="62">
        <f ca="1">AVERAGE(OFFSET($BH$3,0,0,'Données projet'!$E$11+1,1))-AVERAGE(OFFSET($H$3,0,0,'Données projet'!$E$11+1,1))</f>
        <v>555.15881087162279</v>
      </c>
      <c r="BJ37" s="62">
        <f t="shared" si="38"/>
        <v>668.20427590250733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26.475081263398867</v>
      </c>
      <c r="BQ37" s="23">
        <f>EXP(-LN(2)/25)*BQ36+(1-EXP(-LN(2)/25))/(LN(2)/25)*Calculateur!BL37*Calculateur!BN37*VLOOKUP('Données projet'!$B$11,Paramètres!$A$1:$I$89,3,0)*0.475*44/12</f>
        <v>20.254402728975109</v>
      </c>
      <c r="BR37" s="23">
        <f>EXP(-LN(2)/2)*BR36+(1-EXP(-LN(2)/2))/(LN(2)/2)*BL37*BO37*VLOOKUP('Données projet'!$B$11,Paramètres!$A$1:$I$89,3,0)*0.475*44/12</f>
        <v>3.4579238353322075</v>
      </c>
      <c r="BS37" s="24">
        <f t="shared" si="9"/>
        <v>50.187407827706181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70.418399999999991</v>
      </c>
      <c r="CA37" s="14">
        <f t="shared" si="39"/>
        <v>19.777324972922738</v>
      </c>
      <c r="CB37" s="22">
        <f t="shared" si="10"/>
        <v>157.09088766117375</v>
      </c>
      <c r="CC37" s="62">
        <f t="shared" si="11"/>
        <v>450.4242209945071</v>
      </c>
      <c r="CD37" s="62">
        <f ca="1">AVERAGE(OFFSET($CC$3,0,0,'Données projet'!$E$12+1,1))-AVERAGE(OFFSET($H$3,0,0,'Données projet'!$E$12+1,1))</f>
        <v>293.996396026019</v>
      </c>
      <c r="CE37" s="62">
        <f t="shared" si="40"/>
        <v>152.23954167722536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221</v>
      </c>
      <c r="L38" s="13">
        <f>VLOOKUP(A38,'Données projet'!$A$35:$I$55,9,0)</f>
        <v>13.6</v>
      </c>
      <c r="M38" s="13">
        <f t="array" ref="M38">INDEX(L:L,MIN(IF(ISNUMBER(L38:L234),ROW(L38:L234),"")))</f>
        <v>13.6</v>
      </c>
      <c r="N38" s="14">
        <f>IF('Données projet'!$A$36&gt;35,N37+M38-V37,IF(A38&lt;'Données projet'!$A$36,$K$205^A38,IF(A38='Données projet'!$A$36,'Données projet'!$B$36,N37+M38-V37)))</f>
        <v>221</v>
      </c>
      <c r="O38" s="14">
        <f>N38*VLOOKUP('Données projet'!$B$9,Paramètres!$A$1:$I$89,3,0)*VLOOKUP('Données projet'!$B$9,Paramètres!$A$1:$I$89,5,0)</f>
        <v>193.06560000000002</v>
      </c>
      <c r="P38" s="14">
        <f t="shared" si="33"/>
        <v>48.217080828790458</v>
      </c>
      <c r="Q38" s="22">
        <f t="shared" si="53"/>
        <v>420.23400244347675</v>
      </c>
      <c r="R38" s="62">
        <f t="shared" si="0"/>
        <v>713.56733577681007</v>
      </c>
      <c r="S38" s="62">
        <f ca="1">AVERAGE(OFFSET($R$3,0,0,'Données projet'!$E$9+1,1))-AVERAGE(OFFSET($H$3,0,0,'Données projet'!$E$9+1,1))</f>
        <v>303.33040062722074</v>
      </c>
      <c r="T38" s="62">
        <f t="shared" si="34"/>
        <v>425.30058672361548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29.457960122718791</v>
      </c>
      <c r="AB38" s="23">
        <f>EXP(-LN(2)/2)*AB37+(1-EXP(-LN(2)/2))/(LN(2)/2)*V38*Y38*VLOOKUP('Données projet'!$B$9,Paramètres!$A$1:$I$89,3,0)*0.475*44/12</f>
        <v>2.8789851332378698</v>
      </c>
      <c r="AC38" s="24">
        <f t="shared" si="3"/>
        <v>32.336945255956664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371.75294069149942</v>
      </c>
      <c r="AO38" s="62">
        <f t="shared" si="36"/>
        <v>233.32640143610547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2.3495752029560482</v>
      </c>
      <c r="AW38" s="23">
        <f>EXP(-LN(2)/2)*AW37+(1-EXP(-LN(2)/2))/(LN(2)/2)*AQ38*AT38*VLOOKUP('Données projet'!$B$10,Paramètres!$A$1:$I$89,3,0)*0.475*44/12</f>
        <v>2.218447883901193</v>
      </c>
      <c r="AX38" s="23">
        <f t="shared" si="6"/>
        <v>4.5680230868572416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576</v>
      </c>
      <c r="BB38" s="13">
        <f>VLOOKUP(A38,'Données projet'!$A$87:$I$107,9,0)</f>
        <v>28.4</v>
      </c>
      <c r="BC38" s="13">
        <f t="array" ref="BC38">INDEX(BB:BB,MIN(IF(ISNUMBER(BB38:BB234),ROW(BB38:BB234),"")))</f>
        <v>28.4</v>
      </c>
      <c r="BD38" s="13">
        <f>IF('Données projet'!$A$88&gt;35,BD37+BC38-BL37,IF(A38&lt;'Données projet'!$A$88,$BA$205^A38,IF(A38='Données projet'!$A$88,'Données projet'!$B$88,BD37+BC38-BL37)))</f>
        <v>575.99999999999989</v>
      </c>
      <c r="BE38" s="14">
        <f>BD38*VLOOKUP('Données projet'!$B$11,Paramètres!$A$1:$I$89,3,0)*VLOOKUP('Données projet'!$B$11,Paramètres!$A$1:$I$89,5,0)</f>
        <v>321.98399999999992</v>
      </c>
      <c r="BF38" s="14">
        <f t="shared" si="37"/>
        <v>75.76601483154208</v>
      </c>
      <c r="BG38" s="22">
        <f t="shared" si="7"/>
        <v>692.74794249826891</v>
      </c>
      <c r="BH38" s="62">
        <f t="shared" si="8"/>
        <v>986.08127583160217</v>
      </c>
      <c r="BI38" s="62">
        <f ca="1">AVERAGE(OFFSET($BH$3,0,0,'Données projet'!$E$11+1,1))-AVERAGE(OFFSET($H$3,0,0,'Données projet'!$E$11+1,1))</f>
        <v>555.15881087162279</v>
      </c>
      <c r="BJ38" s="62">
        <f t="shared" si="38"/>
        <v>668.20427590250733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72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25.955921068028683</v>
      </c>
      <c r="BQ38" s="23">
        <f>EXP(-LN(2)/25)*BQ37+(1-EXP(-LN(2)/25))/(LN(2)/25)*Calculateur!BL38*Calculateur!BN38*VLOOKUP('Données projet'!$B$11,Paramètres!$A$1:$I$89,3,0)*0.475*44/12</f>
        <v>19.700545021218538</v>
      </c>
      <c r="BR38" s="23">
        <f>EXP(-LN(2)/2)*BR37+(1-EXP(-LN(2)/2))/(LN(2)/2)*BL38*BO38*VLOOKUP('Données projet'!$B$11,Paramètres!$A$1:$I$89,3,0)*0.475*44/12</f>
        <v>2.4451213927899986</v>
      </c>
      <c r="BS38" s="24">
        <f t="shared" si="9"/>
        <v>48.101587482037218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75.176399999999987</v>
      </c>
      <c r="CA38" s="14">
        <f t="shared" si="39"/>
        <v>20.95355421300528</v>
      </c>
      <c r="CB38" s="22">
        <f t="shared" si="10"/>
        <v>167.42633692098417</v>
      </c>
      <c r="CC38" s="62">
        <f t="shared" si="11"/>
        <v>460.75967025431748</v>
      </c>
      <c r="CD38" s="62">
        <f ca="1">AVERAGE(OFFSET($CC$3,0,0,'Données projet'!$E$12+1,1))-AVERAGE(OFFSET($H$3,0,0,'Données projet'!$E$12+1,1))</f>
        <v>293.996396026019</v>
      </c>
      <c r="CE38" s="62">
        <f t="shared" si="40"/>
        <v>152.23954167722536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12.2</v>
      </c>
      <c r="N39" s="14">
        <f>IF('Données projet'!$A$36&gt;35,N38+M39-V38,IF(A39&lt;'Données projet'!$A$36,$K$205^A39,IF(A39='Données projet'!$A$36,'Données projet'!$B$36,N38+M39-V38)))</f>
        <v>184.2</v>
      </c>
      <c r="O39" s="14">
        <f>N39*VLOOKUP('Données projet'!$B$9,Paramètres!$A$1:$I$89,3,0)*VLOOKUP('Données projet'!$B$9,Paramètres!$A$1:$I$89,5,0)</f>
        <v>160.91712000000001</v>
      </c>
      <c r="P39" s="14">
        <f t="shared" si="33"/>
        <v>41.049305520788089</v>
      </c>
      <c r="Q39" s="22">
        <f t="shared" si="53"/>
        <v>351.75819111537254</v>
      </c>
      <c r="R39" s="62">
        <f t="shared" si="0"/>
        <v>645.09152444870585</v>
      </c>
      <c r="S39" s="62">
        <f ca="1">AVERAGE(OFFSET($R$3,0,0,'Données projet'!$E$9+1,1))-AVERAGE(OFFSET($H$3,0,0,'Données projet'!$E$9+1,1))</f>
        <v>303.33040062722074</v>
      </c>
      <c r="T39" s="62">
        <f t="shared" si="34"/>
        <v>425.30058672361548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28.652430654036252</v>
      </c>
      <c r="AB39" s="23">
        <f>EXP(-LN(2)/2)*AB38+(1-EXP(-LN(2)/2))/(LN(2)/2)*V39*Y39*VLOOKUP('Données projet'!$B$9,Paramètres!$A$1:$I$89,3,0)*0.475*44/12</f>
        <v>2.0357499106477537</v>
      </c>
      <c r="AC39" s="24">
        <f t="shared" si="3"/>
        <v>30.688180564684004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371.75294069149942</v>
      </c>
      <c r="AO39" s="62">
        <f t="shared" si="36"/>
        <v>233.32640143610547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2.2853259454724251</v>
      </c>
      <c r="AW39" s="23">
        <f>EXP(-LN(2)/2)*AW38+(1-EXP(-LN(2)/2))/(LN(2)/2)*AQ39*AT39*VLOOKUP('Données projet'!$B$10,Paramètres!$A$1:$I$89,3,0)*0.475*44/12</f>
        <v>1.5686795424154802</v>
      </c>
      <c r="AX39" s="23">
        <f t="shared" si="6"/>
        <v>3.8540054878879051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27</v>
      </c>
      <c r="BD39" s="13">
        <f>IF('Données projet'!$A$88&gt;35,BD38+BC39-BL38,IF(A39&lt;'Données projet'!$A$88,$BA$205^A39,IF(A39='Données projet'!$A$88,'Données projet'!$B$88,BD38+BC39-BL38)))</f>
        <v>530.99999999999989</v>
      </c>
      <c r="BE39" s="14">
        <f>BD39*VLOOKUP('Données projet'!$B$11,Paramètres!$A$1:$I$89,3,0)*VLOOKUP('Données projet'!$B$11,Paramètres!$A$1:$I$89,5,0)</f>
        <v>296.82899999999995</v>
      </c>
      <c r="BF39" s="14">
        <f t="shared" si="37"/>
        <v>70.511289513454344</v>
      </c>
      <c r="BG39" s="22">
        <f t="shared" si="7"/>
        <v>639.78433756926631</v>
      </c>
      <c r="BH39" s="62">
        <f t="shared" si="8"/>
        <v>933.11767090259968</v>
      </c>
      <c r="BI39" s="62">
        <f ca="1">AVERAGE(OFFSET($BH$3,0,0,'Données projet'!$E$11+1,1))-AVERAGE(OFFSET($H$3,0,0,'Données projet'!$E$11+1,1))</f>
        <v>555.15881087162279</v>
      </c>
      <c r="BJ39" s="62">
        <f t="shared" si="38"/>
        <v>668.20427590250733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25.446941287433258</v>
      </c>
      <c r="BQ39" s="23">
        <f>EXP(-LN(2)/25)*BQ38+(1-EXP(-LN(2)/25))/(LN(2)/25)*Calculateur!BL39*Calculateur!BN39*VLOOKUP('Données projet'!$B$11,Paramètres!$A$1:$I$89,3,0)*0.475*44/12</f>
        <v>19.161832581606681</v>
      </c>
      <c r="BR39" s="23">
        <f>EXP(-LN(2)/2)*BR38+(1-EXP(-LN(2)/2))/(LN(2)/2)*BL39*BO39*VLOOKUP('Données projet'!$B$11,Paramètres!$A$1:$I$89,3,0)*0.475*44/12</f>
        <v>1.728961917666104</v>
      </c>
      <c r="BS39" s="24">
        <f t="shared" si="9"/>
        <v>46.337735786706041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67.944239999999994</v>
      </c>
      <c r="CA39" s="14">
        <f t="shared" si="39"/>
        <v>19.162057636242221</v>
      </c>
      <c r="CB39" s="22">
        <f t="shared" si="10"/>
        <v>151.71013504978851</v>
      </c>
      <c r="CC39" s="62">
        <f t="shared" si="11"/>
        <v>445.04346838312182</v>
      </c>
      <c r="CD39" s="62">
        <f ca="1">AVERAGE(OFFSET($CC$3,0,0,'Données projet'!$E$12+1,1))-AVERAGE(OFFSET($H$3,0,0,'Données projet'!$E$12+1,1))</f>
        <v>293.996396026019</v>
      </c>
      <c r="CE39" s="62">
        <f t="shared" si="40"/>
        <v>152.23954167722536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12.2</v>
      </c>
      <c r="N40" s="14">
        <f>IF('Données projet'!$A$36&gt;35,N39+M40-V39,IF(A40&lt;'Données projet'!$A$36,$K$205^A40,IF(A40='Données projet'!$A$36,'Données projet'!$B$36,N39+M40-V39)))</f>
        <v>196.39999999999998</v>
      </c>
      <c r="O40" s="14">
        <f>N40*VLOOKUP('Données projet'!$B$9,Paramètres!$A$1:$I$89,3,0)*VLOOKUP('Données projet'!$B$9,Paramètres!$A$1:$I$89,5,0)</f>
        <v>171.57504</v>
      </c>
      <c r="P40" s="14">
        <f t="shared" si="33"/>
        <v>43.44259058996105</v>
      </c>
      <c r="Q40" s="22">
        <f t="shared" si="53"/>
        <v>374.48903994418214</v>
      </c>
      <c r="R40" s="62">
        <f t="shared" si="0"/>
        <v>667.82237327751545</v>
      </c>
      <c r="S40" s="62">
        <f ca="1">AVERAGE(OFFSET($R$3,0,0,'Données projet'!$E$9+1,1))-AVERAGE(OFFSET($H$3,0,0,'Données projet'!$E$9+1,1))</f>
        <v>303.33040062722074</v>
      </c>
      <c r="T40" s="62">
        <f t="shared" si="34"/>
        <v>425.30058672361548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27.868928431035787</v>
      </c>
      <c r="AB40" s="23">
        <f>EXP(-LN(2)/2)*AB39+(1-EXP(-LN(2)/2))/(LN(2)/2)*V40*Y40*VLOOKUP('Données projet'!$B$9,Paramètres!$A$1:$I$89,3,0)*0.475*44/12</f>
        <v>1.4394925666189349</v>
      </c>
      <c r="AC40" s="24">
        <f t="shared" si="3"/>
        <v>29.308420997654721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371.75294069149942</v>
      </c>
      <c r="AO40" s="62">
        <f t="shared" si="36"/>
        <v>233.32640143610547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2.2228335873134135</v>
      </c>
      <c r="AW40" s="23">
        <f>EXP(-LN(2)/2)*AW39+(1-EXP(-LN(2)/2))/(LN(2)/2)*AQ40*AT40*VLOOKUP('Données projet'!$B$10,Paramètres!$A$1:$I$89,3,0)*0.475*44/12</f>
        <v>1.1092239419505965</v>
      </c>
      <c r="AX40" s="23">
        <f t="shared" si="6"/>
        <v>3.3320575292640102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27</v>
      </c>
      <c r="BD40" s="13">
        <f>IF('Données projet'!$A$88&gt;35,BD39+BC40-BL39,IF(A40&lt;'Données projet'!$A$88,$BA$205^A40,IF(A40='Données projet'!$A$88,'Données projet'!$B$88,BD39+BC40-BL39)))</f>
        <v>557.99999999999989</v>
      </c>
      <c r="BE40" s="14">
        <f>BD40*VLOOKUP('Données projet'!$B$11,Paramètres!$A$1:$I$89,3,0)*VLOOKUP('Données projet'!$B$11,Paramètres!$A$1:$I$89,5,0)</f>
        <v>311.92199999999991</v>
      </c>
      <c r="BF40" s="14">
        <f t="shared" si="37"/>
        <v>73.670075764965745</v>
      </c>
      <c r="BG40" s="22">
        <f t="shared" si="7"/>
        <v>671.57286529064845</v>
      </c>
      <c r="BH40" s="62">
        <f t="shared" si="8"/>
        <v>964.90619862398171</v>
      </c>
      <c r="BI40" s="62">
        <f ca="1">AVERAGE(OFFSET($BH$3,0,0,'Données projet'!$E$11+1,1))-AVERAGE(OFFSET($H$3,0,0,'Données projet'!$E$11+1,1))</f>
        <v>555.15881087162279</v>
      </c>
      <c r="BJ40" s="62">
        <f t="shared" si="38"/>
        <v>668.20427590250733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24.947942289888296</v>
      </c>
      <c r="BQ40" s="23">
        <f>EXP(-LN(2)/25)*BQ39+(1-EXP(-LN(2)/25))/(LN(2)/25)*Calculateur!BL40*Calculateur!BN40*VLOOKUP('Données projet'!$B$11,Paramètres!$A$1:$I$89,3,0)*0.475*44/12</f>
        <v>18.637851261985666</v>
      </c>
      <c r="BR40" s="23">
        <f>EXP(-LN(2)/2)*BR39+(1-EXP(-LN(2)/2))/(LN(2)/2)*BL40*BO40*VLOOKUP('Données projet'!$B$11,Paramètres!$A$1:$I$89,3,0)*0.475*44/12</f>
        <v>1.2225606963949995</v>
      </c>
      <c r="BS40" s="24">
        <f t="shared" si="9"/>
        <v>44.808354248268962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73.082880000000003</v>
      </c>
      <c r="CA40" s="14">
        <f t="shared" si="39"/>
        <v>20.437114411232702</v>
      </c>
      <c r="CB40" s="22">
        <f t="shared" si="10"/>
        <v>162.88065693289695</v>
      </c>
      <c r="CC40" s="62">
        <f t="shared" si="11"/>
        <v>456.21399026623027</v>
      </c>
      <c r="CD40" s="62">
        <f ca="1">AVERAGE(OFFSET($CC$3,0,0,'Données projet'!$E$12+1,1))-AVERAGE(OFFSET($H$3,0,0,'Données projet'!$E$12+1,1))</f>
        <v>293.996396026019</v>
      </c>
      <c r="CE40" s="62">
        <f t="shared" si="40"/>
        <v>152.23954167722536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12.2</v>
      </c>
      <c r="N41" s="14">
        <f>IF('Données projet'!$A$36&gt;35,N40+M41-V40,IF(A41&lt;'Données projet'!$A$36,$K$205^A41,IF(A41='Données projet'!$A$36,'Données projet'!$B$36,N40+M41-V40)))</f>
        <v>208.59999999999997</v>
      </c>
      <c r="O41" s="14">
        <f>N41*VLOOKUP('Données projet'!$B$9,Paramètres!$A$1:$I$89,3,0)*VLOOKUP('Données projet'!$B$9,Paramètres!$A$1:$I$89,5,0)</f>
        <v>182.23295999999999</v>
      </c>
      <c r="P41" s="14">
        <f t="shared" si="33"/>
        <v>45.818621592366291</v>
      </c>
      <c r="Q41" s="22">
        <f t="shared" si="53"/>
        <v>397.18983794003793</v>
      </c>
      <c r="R41" s="62">
        <f t="shared" si="0"/>
        <v>690.52317127337119</v>
      </c>
      <c r="S41" s="62">
        <f ca="1">AVERAGE(OFFSET($R$3,0,0,'Données projet'!$E$9+1,1))-AVERAGE(OFFSET($H$3,0,0,'Données projet'!$E$9+1,1))</f>
        <v>303.33040062722074</v>
      </c>
      <c r="T41" s="62">
        <f t="shared" si="34"/>
        <v>425.30058672361548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27.106851117525864</v>
      </c>
      <c r="AB41" s="23">
        <f>EXP(-LN(2)/2)*AB40+(1-EXP(-LN(2)/2))/(LN(2)/2)*V41*Y41*VLOOKUP('Données projet'!$B$9,Paramètres!$A$1:$I$89,3,0)*0.475*44/12</f>
        <v>1.0178749553238768</v>
      </c>
      <c r="AC41" s="24">
        <f t="shared" si="3"/>
        <v>28.124726072849739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533.32608479725718</v>
      </c>
      <c r="AN41" s="62">
        <f ca="1">AVERAGE(OFFSET($AM$3,0,0,'Données projet'!$E$10+1,1))-AVERAGE(OFFSET($H$3,0,0,'Données projet'!$E$10+1,1))</f>
        <v>371.75294069149942</v>
      </c>
      <c r="AO41" s="62">
        <f t="shared" si="36"/>
        <v>233.32640143610547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2.1620500859745904</v>
      </c>
      <c r="AW41" s="23">
        <f>EXP(-LN(2)/2)*AW40+(1-EXP(-LN(2)/2))/(LN(2)/2)*AQ41*AT41*VLOOKUP('Données projet'!$B$10,Paramètres!$A$1:$I$89,3,0)*0.475*44/12</f>
        <v>0.78433977120774012</v>
      </c>
      <c r="AX41" s="23">
        <f t="shared" si="6"/>
        <v>2.9463898571823304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27</v>
      </c>
      <c r="BD41" s="13">
        <f>IF('Données projet'!$A$88&gt;35,BD40+BC41-BL40,IF(A41&lt;'Données projet'!$A$88,$BA$205^A41,IF(A41='Données projet'!$A$88,'Données projet'!$B$88,BD40+BC41-BL40)))</f>
        <v>584.99999999999989</v>
      </c>
      <c r="BE41" s="14">
        <f>BD41*VLOOKUP('Données projet'!$B$11,Paramètres!$A$1:$I$89,3,0)*VLOOKUP('Données projet'!$B$11,Paramètres!$A$1:$I$89,5,0)</f>
        <v>327.01499999999993</v>
      </c>
      <c r="BF41" s="14">
        <f t="shared" si="37"/>
        <v>76.811113612871907</v>
      </c>
      <c r="BG41" s="22">
        <f t="shared" si="7"/>
        <v>703.33048120908506</v>
      </c>
      <c r="BH41" s="62">
        <f t="shared" si="8"/>
        <v>996.66381454241832</v>
      </c>
      <c r="BI41" s="62">
        <f ca="1">AVERAGE(OFFSET($BH$3,0,0,'Données projet'!$E$11+1,1))-AVERAGE(OFFSET($H$3,0,0,'Données projet'!$E$11+1,1))</f>
        <v>555.15881087162279</v>
      </c>
      <c r="BJ41" s="62">
        <f t="shared" si="38"/>
        <v>668.20427590250733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24.458728358325853</v>
      </c>
      <c r="BQ41" s="23">
        <f>EXP(-LN(2)/25)*BQ40+(1-EXP(-LN(2)/25))/(LN(2)/25)*Calculateur!BL41*Calculateur!BN41*VLOOKUP('Données projet'!$B$11,Paramètres!$A$1:$I$89,3,0)*0.475*44/12</f>
        <v>18.12819823910467</v>
      </c>
      <c r="BR41" s="23">
        <f>EXP(-LN(2)/2)*BR40+(1-EXP(-LN(2)/2))/(LN(2)/2)*BL41*BO41*VLOOKUP('Données projet'!$B$11,Paramètres!$A$1:$I$89,3,0)*0.475*44/12</f>
        <v>0.8644809588330522</v>
      </c>
      <c r="BS41" s="24">
        <f t="shared" si="9"/>
        <v>43.451407556263568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78.221520000000012</v>
      </c>
      <c r="CA41" s="14">
        <f t="shared" si="39"/>
        <v>21.701769187765223</v>
      </c>
      <c r="CB41" s="22">
        <f t="shared" si="10"/>
        <v>174.03306200202442</v>
      </c>
      <c r="CC41" s="62">
        <f t="shared" si="11"/>
        <v>467.36639533535777</v>
      </c>
      <c r="CD41" s="62">
        <f ca="1">AVERAGE(OFFSET($CC$3,0,0,'Données projet'!$E$12+1,1))-AVERAGE(OFFSET($H$3,0,0,'Données projet'!$E$12+1,1))</f>
        <v>293.996396026019</v>
      </c>
      <c r="CE41" s="62">
        <f t="shared" si="40"/>
        <v>152.23954167722536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12.2</v>
      </c>
      <c r="N42" s="14">
        <f>IF('Données projet'!$A$36&gt;35,N41+M42-V41,IF(A42&lt;'Données projet'!$A$36,$K$205^A42,IF(A42='Données projet'!$A$36,'Données projet'!$B$36,N41+M42-V41)))</f>
        <v>220.79999999999995</v>
      </c>
      <c r="O42" s="14">
        <f>N42*VLOOKUP('Données projet'!$B$9,Paramètres!$A$1:$I$89,3,0)*VLOOKUP('Données projet'!$B$9,Paramètres!$A$1:$I$89,5,0)</f>
        <v>192.89087999999998</v>
      </c>
      <c r="P42" s="14">
        <f t="shared" si="33"/>
        <v>48.178522586846704</v>
      </c>
      <c r="Q42" s="22">
        <f t="shared" si="53"/>
        <v>419.86254283875792</v>
      </c>
      <c r="R42" s="62">
        <f t="shared" si="0"/>
        <v>713.19587617209118</v>
      </c>
      <c r="S42" s="62">
        <f ca="1">AVERAGE(OFFSET($R$3,0,0,'Données projet'!$E$9+1,1))-AVERAGE(OFFSET($H$3,0,0,'Données projet'!$E$9+1,1))</f>
        <v>303.33040062722074</v>
      </c>
      <c r="T42" s="62">
        <f t="shared" si="34"/>
        <v>425.30058672361548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26.365612848229773</v>
      </c>
      <c r="AB42" s="23">
        <f>EXP(-LN(2)/2)*AB41+(1-EXP(-LN(2)/2))/(LN(2)/2)*V42*Y42*VLOOKUP('Données projet'!$B$9,Paramètres!$A$1:$I$89,3,0)*0.475*44/12</f>
        <v>0.71974628330946744</v>
      </c>
      <c r="AC42" s="24">
        <f t="shared" si="3"/>
        <v>27.085359131539242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371.75294069149942</v>
      </c>
      <c r="AO42" s="62">
        <f t="shared" si="36"/>
        <v>233.32640143610547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2.1029287126763427</v>
      </c>
      <c r="AW42" s="23">
        <f>EXP(-LN(2)/2)*AW41+(1-EXP(-LN(2)/2))/(LN(2)/2)*AQ42*AT42*VLOOKUP('Données projet'!$B$10,Paramètres!$A$1:$I$89,3,0)*0.475*44/12</f>
        <v>0.55461197097529824</v>
      </c>
      <c r="AX42" s="23">
        <f t="shared" si="6"/>
        <v>2.6575406836516411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27</v>
      </c>
      <c r="BD42" s="13">
        <f>IF('Données projet'!$A$88&gt;35,BD41+BC42-BL41,IF(A42&lt;'Données projet'!$A$88,$BA$205^A42,IF(A42='Données projet'!$A$88,'Données projet'!$B$88,BD41+BC42-BL41)))</f>
        <v>611.99999999999989</v>
      </c>
      <c r="BE42" s="14">
        <f>BD42*VLOOKUP('Données projet'!$B$11,Paramètres!$A$1:$I$89,3,0)*VLOOKUP('Données projet'!$B$11,Paramètres!$A$1:$I$89,5,0)</f>
        <v>342.10799999999995</v>
      </c>
      <c r="BF42" s="14">
        <f t="shared" si="37"/>
        <v>79.935315774430151</v>
      </c>
      <c r="BG42" s="22">
        <f t="shared" si="7"/>
        <v>735.0587749737989</v>
      </c>
      <c r="BH42" s="62">
        <f t="shared" si="8"/>
        <v>1028.3921083071323</v>
      </c>
      <c r="BI42" s="62">
        <f ca="1">AVERAGE(OFFSET($BH$3,0,0,'Données projet'!$E$11+1,1))-AVERAGE(OFFSET($H$3,0,0,'Données projet'!$E$11+1,1))</f>
        <v>555.15881087162279</v>
      </c>
      <c r="BJ42" s="62">
        <f t="shared" si="38"/>
        <v>668.20427590250733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23.979107613570317</v>
      </c>
      <c r="BQ42" s="23">
        <f>EXP(-LN(2)/25)*BQ41+(1-EXP(-LN(2)/25))/(LN(2)/25)*Calculateur!BL42*Calculateur!BN42*VLOOKUP('Données projet'!$B$11,Paramètres!$A$1:$I$89,3,0)*0.475*44/12</f>
        <v>17.632481704935838</v>
      </c>
      <c r="BR42" s="23">
        <f>EXP(-LN(2)/2)*BR41+(1-EXP(-LN(2)/2))/(LN(2)/2)*BL42*BO42*VLOOKUP('Données projet'!$B$11,Paramètres!$A$1:$I$89,3,0)*0.475*44/12</f>
        <v>0.61128034819749988</v>
      </c>
      <c r="BS42" s="24">
        <f t="shared" si="9"/>
        <v>42.222869666703652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83.360160000000008</v>
      </c>
      <c r="CA42" s="14">
        <f t="shared" si="39"/>
        <v>22.956783071137561</v>
      </c>
      <c r="CB42" s="22">
        <f t="shared" si="10"/>
        <v>185.16867584889792</v>
      </c>
      <c r="CC42" s="62">
        <f t="shared" si="11"/>
        <v>478.50200918223123</v>
      </c>
      <c r="CD42" s="62">
        <f ca="1">AVERAGE(OFFSET($CC$3,0,0,'Données projet'!$E$12+1,1))-AVERAGE(OFFSET($H$3,0,0,'Données projet'!$E$12+1,1))</f>
        <v>293.996396026019</v>
      </c>
      <c r="CE42" s="62">
        <f t="shared" si="40"/>
        <v>152.23954167722536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12.2</v>
      </c>
      <c r="M43" s="13">
        <f t="array" ref="M43">INDEX(L:L,MIN(IF(ISNUMBER(L43:L239),ROW(L43:L239),"")))</f>
        <v>12.2</v>
      </c>
      <c r="N43" s="14">
        <f>IF('Données projet'!$A$36&gt;35,N42+M43-V42,IF(A43&lt;'Données projet'!$A$36,$K$205^A43,IF(A43='Données projet'!$A$36,'Données projet'!$B$36,N42+M43-V42)))</f>
        <v>232.99999999999994</v>
      </c>
      <c r="O43" s="14">
        <f>N43*VLOOKUP('Données projet'!$B$9,Paramètres!$A$1:$I$89,3,0)*VLOOKUP('Données projet'!$B$9,Paramètres!$A$1:$I$89,5,0)</f>
        <v>203.5488</v>
      </c>
      <c r="P43" s="14">
        <f t="shared" si="33"/>
        <v>50.523286400023487</v>
      </c>
      <c r="Q43" s="22">
        <f t="shared" si="53"/>
        <v>442.50888381337427</v>
      </c>
      <c r="R43" s="62">
        <f t="shared" si="0"/>
        <v>735.84221714670753</v>
      </c>
      <c r="S43" s="62">
        <f ca="1">AVERAGE(OFFSET($R$3,0,0,'Données projet'!$E$9+1,1))-AVERAGE(OFFSET($H$3,0,0,'Données projet'!$E$9+1,1))</f>
        <v>303.33040062722074</v>
      </c>
      <c r="T43" s="62">
        <f t="shared" si="34"/>
        <v>425.30058672361548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25.644643778387611</v>
      </c>
      <c r="AB43" s="23">
        <f>EXP(-LN(2)/2)*AB42+(1-EXP(-LN(2)/2))/(LN(2)/2)*V43*Y43*VLOOKUP('Données projet'!$B$9,Paramètres!$A$1:$I$89,3,0)*0.475*44/12</f>
        <v>0.50893747766193842</v>
      </c>
      <c r="AC43" s="24">
        <f t="shared" si="3"/>
        <v>26.153581256049549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371.75294069149942</v>
      </c>
      <c r="AO43" s="62">
        <f t="shared" si="36"/>
        <v>233.32640143610547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2.0454240164399935</v>
      </c>
      <c r="AW43" s="23">
        <f>EXP(-LN(2)/2)*AW42+(1-EXP(-LN(2)/2))/(LN(2)/2)*AQ43*AT43*VLOOKUP('Données projet'!$B$10,Paramètres!$A$1:$I$89,3,0)*0.475*44/12</f>
        <v>0.39216988560387006</v>
      </c>
      <c r="AX43" s="23">
        <f t="shared" si="6"/>
        <v>2.4375939020438637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639</v>
      </c>
      <c r="BB43" s="13">
        <f>VLOOKUP(A43,'Données projet'!$A$87:$I$107,9,0)</f>
        <v>27</v>
      </c>
      <c r="BC43" s="13">
        <f t="array" ref="BC43">INDEX(BB:BB,MIN(IF(ISNUMBER(BB43:BB239),ROW(BB43:BB239),"")))</f>
        <v>27</v>
      </c>
      <c r="BD43" s="13">
        <f>IF('Données projet'!$A$88&gt;35,BD42+BC43-BL42,IF(A43&lt;'Données projet'!$A$88,$BA$205^A43,IF(A43='Données projet'!$A$88,'Données projet'!$B$88,BD42+BC43-BL42)))</f>
        <v>638.99999999999989</v>
      </c>
      <c r="BE43" s="14">
        <f>BD43*VLOOKUP('Données projet'!$B$11,Paramètres!$A$1:$I$89,3,0)*VLOOKUP('Données projet'!$B$11,Paramètres!$A$1:$I$89,5,0)</f>
        <v>357.20099999999991</v>
      </c>
      <c r="BF43" s="14">
        <f t="shared" si="37"/>
        <v>83.043509879488369</v>
      </c>
      <c r="BG43" s="22">
        <f t="shared" si="7"/>
        <v>766.75918804010871</v>
      </c>
      <c r="BH43" s="62">
        <f t="shared" si="8"/>
        <v>1060.092521373442</v>
      </c>
      <c r="BI43" s="62">
        <f ca="1">AVERAGE(OFFSET($BH$3,0,0,'Données projet'!$E$11+1,1))-AVERAGE(OFFSET($H$3,0,0,'Données projet'!$E$11+1,1))</f>
        <v>555.15881087162279</v>
      </c>
      <c r="BJ43" s="62">
        <f t="shared" si="38"/>
        <v>668.20427590250733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77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23.508891939079668</v>
      </c>
      <c r="BQ43" s="23">
        <f>EXP(-LN(2)/25)*BQ42+(1-EXP(-LN(2)/25))/(LN(2)/25)*Calculateur!BL43*Calculateur!BN43*VLOOKUP('Données projet'!$B$11,Paramètres!$A$1:$I$89,3,0)*0.475*44/12</f>
        <v>17.150320565462454</v>
      </c>
      <c r="BR43" s="23">
        <f>EXP(-LN(2)/2)*BR42+(1-EXP(-LN(2)/2))/(LN(2)/2)*BL43*BO43*VLOOKUP('Données projet'!$B$11,Paramètres!$A$1:$I$89,3,0)*0.475*44/12</f>
        <v>0.43224047941652616</v>
      </c>
      <c r="BS43" s="24">
        <f t="shared" si="9"/>
        <v>41.091452983958654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88.498800000000003</v>
      </c>
      <c r="CA43" s="14">
        <f t="shared" si="39"/>
        <v>24.202818028970764</v>
      </c>
      <c r="CB43" s="22">
        <f t="shared" si="10"/>
        <v>196.28865140045741</v>
      </c>
      <c r="CC43" s="62">
        <f t="shared" si="11"/>
        <v>489.62198473379073</v>
      </c>
      <c r="CD43" s="62">
        <f ca="1">AVERAGE(OFFSET($CC$3,0,0,'Données projet'!$E$12+1,1))-AVERAGE(OFFSET($H$3,0,0,'Données projet'!$E$12+1,1))</f>
        <v>293.996396026019</v>
      </c>
      <c r="CE43" s="62">
        <f t="shared" si="40"/>
        <v>152.23954167722536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11.2</v>
      </c>
      <c r="N44" s="14">
        <f>IF('Données projet'!$A$36&gt;35,N43+M44-V43,IF(A44&lt;'Données projet'!$A$36,$K$205^A44,IF(A44='Données projet'!$A$36,'Données projet'!$B$36,N43+M44-V43)))</f>
        <v>199.19999999999993</v>
      </c>
      <c r="O44" s="14">
        <f>N44*VLOOKUP('Données projet'!$B$9,Paramètres!$A$1:$I$89,3,0)*VLOOKUP('Données projet'!$B$9,Paramètres!$A$1:$I$89,5,0)</f>
        <v>174.02111999999997</v>
      </c>
      <c r="P44" s="14">
        <f t="shared" si="33"/>
        <v>43.989391678613877</v>
      </c>
      <c r="Q44" s="22">
        <f t="shared" si="53"/>
        <v>379.70164117358576</v>
      </c>
      <c r="R44" s="62">
        <f t="shared" si="0"/>
        <v>673.03497450691907</v>
      </c>
      <c r="S44" s="62">
        <f ca="1">AVERAGE(OFFSET($R$3,0,0,'Données projet'!$E$9+1,1))-AVERAGE(OFFSET($H$3,0,0,'Données projet'!$E$9+1,1))</f>
        <v>303.33040062722074</v>
      </c>
      <c r="T44" s="62">
        <f t="shared" si="34"/>
        <v>425.30058672361548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24.943389645674397</v>
      </c>
      <c r="AB44" s="23">
        <f>EXP(-LN(2)/2)*AB43+(1-EXP(-LN(2)/2))/(LN(2)/2)*V44*Y44*VLOOKUP('Données projet'!$B$9,Paramètres!$A$1:$I$89,3,0)*0.475*44/12</f>
        <v>0.35987314165473372</v>
      </c>
      <c r="AC44" s="24">
        <f t="shared" si="3"/>
        <v>25.303262787329132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371.75294069149942</v>
      </c>
      <c r="AO44" s="62">
        <f t="shared" si="36"/>
        <v>233.32640143610547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1.9894917891462678</v>
      </c>
      <c r="AW44" s="23">
        <f>EXP(-LN(2)/2)*AW43+(1-EXP(-LN(2)/2))/(LN(2)/2)*AQ44*AT44*VLOOKUP('Données projet'!$B$10,Paramètres!$A$1:$I$89,3,0)*0.475*44/12</f>
        <v>0.27730598548764912</v>
      </c>
      <c r="AX44" s="23">
        <f t="shared" si="6"/>
        <v>2.266797774633917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24.8</v>
      </c>
      <c r="BD44" s="13">
        <f>IF('Données projet'!$A$88&gt;35,BD43+BC44-BL43,IF(A44&lt;'Données projet'!$A$88,$BA$205^A44,IF(A44='Données projet'!$A$88,'Données projet'!$B$88,BD43+BC44-BL43)))</f>
        <v>586.79999999999984</v>
      </c>
      <c r="BE44" s="14">
        <f>BD44*VLOOKUP('Données projet'!$B$11,Paramètres!$A$1:$I$89,3,0)*VLOOKUP('Données projet'!$B$11,Paramètres!$A$1:$I$89,5,0)</f>
        <v>328.02119999999991</v>
      </c>
      <c r="BF44" s="14">
        <f t="shared" si="37"/>
        <v>77.019907950957702</v>
      </c>
      <c r="BG44" s="22">
        <f t="shared" si="7"/>
        <v>705.44659634791776</v>
      </c>
      <c r="BH44" s="62">
        <f t="shared" si="8"/>
        <v>998.77992968125113</v>
      </c>
      <c r="BI44" s="62">
        <f ca="1">AVERAGE(OFFSET($BH$3,0,0,'Données projet'!$E$11+1,1))-AVERAGE(OFFSET($H$3,0,0,'Données projet'!$E$11+1,1))</f>
        <v>555.15881087162279</v>
      </c>
      <c r="BJ44" s="62">
        <f t="shared" si="38"/>
        <v>668.20427590250733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23.047896907162539</v>
      </c>
      <c r="BQ44" s="23">
        <f>EXP(-LN(2)/25)*BQ43+(1-EXP(-LN(2)/25))/(LN(2)/25)*Calculateur!BL44*Calculateur!BN44*VLOOKUP('Données projet'!$B$11,Paramètres!$A$1:$I$89,3,0)*0.475*44/12</f>
        <v>16.681344147703722</v>
      </c>
      <c r="BR44" s="23">
        <f>EXP(-LN(2)/2)*BR43+(1-EXP(-LN(2)/2))/(LN(2)/2)*BL44*BO44*VLOOKUP('Données projet'!$B$11,Paramètres!$A$1:$I$89,3,0)*0.475*44/12</f>
        <v>0.30564017409874999</v>
      </c>
      <c r="BS44" s="24">
        <f t="shared" si="9"/>
        <v>40.034881228965013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80.50536000000001</v>
      </c>
      <c r="CA44" s="14">
        <f t="shared" si="39"/>
        <v>22.260701954394872</v>
      </c>
      <c r="CB44" s="22">
        <f t="shared" si="10"/>
        <v>178.98422457057109</v>
      </c>
      <c r="CC44" s="62">
        <f t="shared" si="11"/>
        <v>472.3175579039044</v>
      </c>
      <c r="CD44" s="62">
        <f ca="1">AVERAGE(OFFSET($CC$3,0,0,'Données projet'!$E$12+1,1))-AVERAGE(OFFSET($H$3,0,0,'Données projet'!$E$12+1,1))</f>
        <v>293.996396026019</v>
      </c>
      <c r="CE44" s="62">
        <f t="shared" si="40"/>
        <v>152.23954167722536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11.2</v>
      </c>
      <c r="N45" s="14">
        <f>IF('Données projet'!$A$36&gt;35,N44+M45-V44,IF(A45&lt;'Données projet'!$A$36,$K$205^A45,IF(A45='Données projet'!$A$36,'Données projet'!$B$36,N44+M45-V44)))</f>
        <v>210.39999999999992</v>
      </c>
      <c r="O45" s="14">
        <f>N45*VLOOKUP('Données projet'!$B$9,Paramètres!$A$1:$I$89,3,0)*VLOOKUP('Données projet'!$B$9,Paramètres!$A$1:$I$89,5,0)</f>
        <v>183.80543999999995</v>
      </c>
      <c r="P45" s="14">
        <f t="shared" si="33"/>
        <v>46.167792832806036</v>
      </c>
      <c r="Q45" s="22">
        <f t="shared" si="53"/>
        <v>400.53671385047045</v>
      </c>
      <c r="R45" s="62">
        <f t="shared" si="0"/>
        <v>693.87004718380376</v>
      </c>
      <c r="S45" s="62">
        <f ca="1">AVERAGE(OFFSET($R$3,0,0,'Données projet'!$E$9+1,1))-AVERAGE(OFFSET($H$3,0,0,'Données projet'!$E$9+1,1))</f>
        <v>303.33040062722074</v>
      </c>
      <c r="T45" s="62">
        <f t="shared" si="34"/>
        <v>425.30058672361548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24.261311344097578</v>
      </c>
      <c r="AB45" s="23">
        <f>EXP(-LN(2)/2)*AB44+(1-EXP(-LN(2)/2))/(LN(2)/2)*V45*Y45*VLOOKUP('Données projet'!$B$9,Paramètres!$A$1:$I$89,3,0)*0.475*44/12</f>
        <v>0.25446873883096921</v>
      </c>
      <c r="AC45" s="24">
        <f t="shared" si="3"/>
        <v>24.515780082928547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557.83878140250943</v>
      </c>
      <c r="AN45" s="62">
        <f ca="1">AVERAGE(OFFSET($AM$3,0,0,'Données projet'!$E$10+1,1))-AVERAGE(OFFSET($H$3,0,0,'Données projet'!$E$10+1,1))</f>
        <v>371.75294069149942</v>
      </c>
      <c r="AO45" s="62">
        <f t="shared" si="36"/>
        <v>233.32640143610547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1.9350890315492368</v>
      </c>
      <c r="AW45" s="23">
        <f>EXP(-LN(2)/2)*AW44+(1-EXP(-LN(2)/2))/(LN(2)/2)*AQ45*AT45*VLOOKUP('Données projet'!$B$10,Paramètres!$A$1:$I$89,3,0)*0.475*44/12</f>
        <v>0.19608494280193503</v>
      </c>
      <c r="AX45" s="23">
        <f t="shared" si="6"/>
        <v>2.1311739743511717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24.8</v>
      </c>
      <c r="BD45" s="13">
        <f>IF('Données projet'!$A$88&gt;35,BD44+BC45-BL44,IF(A45&lt;'Données projet'!$A$88,$BA$205^A45,IF(A45='Données projet'!$A$88,'Données projet'!$B$88,BD44+BC45-BL44)))</f>
        <v>611.5999999999998</v>
      </c>
      <c r="BE45" s="14">
        <f>BD45*VLOOKUP('Données projet'!$B$11,Paramètres!$A$1:$I$89,3,0)*VLOOKUP('Données projet'!$B$11,Paramètres!$A$1:$I$89,5,0)</f>
        <v>341.88439999999986</v>
      </c>
      <c r="BF45" s="14">
        <f t="shared" si="37"/>
        <v>79.889150066970018</v>
      </c>
      <c r="BG45" s="22">
        <f t="shared" si="7"/>
        <v>734.58893303330581</v>
      </c>
      <c r="BH45" s="62">
        <f t="shared" si="8"/>
        <v>1027.9222663666392</v>
      </c>
      <c r="BI45" s="62">
        <f ca="1">AVERAGE(OFFSET($BH$3,0,0,'Données projet'!$E$11+1,1))-AVERAGE(OFFSET($H$3,0,0,'Données projet'!$E$11+1,1))</f>
        <v>555.15881087162279</v>
      </c>
      <c r="BJ45" s="62">
        <f t="shared" si="38"/>
        <v>668.20427590250733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22.595941706642098</v>
      </c>
      <c r="BQ45" s="23">
        <f>EXP(-LN(2)/25)*BQ44+(1-EXP(-LN(2)/25))/(LN(2)/25)*Calculateur!BL45*Calculateur!BN45*VLOOKUP('Données projet'!$B$11,Paramètres!$A$1:$I$89,3,0)*0.475*44/12</f>
        <v>16.225191914751001</v>
      </c>
      <c r="BR45" s="23">
        <f>EXP(-LN(2)/2)*BR44+(1-EXP(-LN(2)/2))/(LN(2)/2)*BL45*BO45*VLOOKUP('Données projet'!$B$11,Paramètres!$A$1:$I$89,3,0)*0.475*44/12</f>
        <v>0.21612023970826311</v>
      </c>
      <c r="BS45" s="24">
        <f t="shared" si="9"/>
        <v>39.037253861101362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85.834320000000005</v>
      </c>
      <c r="CA45" s="14">
        <f t="shared" si="39"/>
        <v>23.557809132261784</v>
      </c>
      <c r="CB45" s="22">
        <f t="shared" si="10"/>
        <v>190.52462490535595</v>
      </c>
      <c r="CC45" s="62">
        <f t="shared" si="11"/>
        <v>483.85795823868926</v>
      </c>
      <c r="CD45" s="62">
        <f ca="1">AVERAGE(OFFSET($CC$3,0,0,'Données projet'!$E$12+1,1))-AVERAGE(OFFSET($H$3,0,0,'Données projet'!$E$12+1,1))</f>
        <v>293.996396026019</v>
      </c>
      <c r="CE45" s="62">
        <f t="shared" si="40"/>
        <v>152.23954167722536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11.2</v>
      </c>
      <c r="N46" s="14">
        <f>IF('Données projet'!$A$36&gt;35,N45+M46-V45,IF(A46&lt;'Données projet'!$A$36,$K$205^A46,IF(A46='Données projet'!$A$36,'Données projet'!$B$36,N45+M46-V45)))</f>
        <v>221.59999999999991</v>
      </c>
      <c r="O46" s="14">
        <f>N46*VLOOKUP('Données projet'!$B$9,Paramètres!$A$1:$I$89,3,0)*VLOOKUP('Données projet'!$B$9,Paramètres!$A$1:$I$89,5,0)</f>
        <v>193.58975999999996</v>
      </c>
      <c r="P46" s="14">
        <f t="shared" si="33"/>
        <v>48.332731202087039</v>
      </c>
      <c r="Q46" s="22">
        <f t="shared" si="53"/>
        <v>421.34833884363485</v>
      </c>
      <c r="R46" s="62">
        <f t="shared" si="0"/>
        <v>714.68167217696816</v>
      </c>
      <c r="S46" s="62">
        <f ca="1">AVERAGE(OFFSET($R$3,0,0,'Données projet'!$E$9+1,1))-AVERAGE(OFFSET($H$3,0,0,'Données projet'!$E$9+1,1))</f>
        <v>303.33040062722074</v>
      </c>
      <c r="T46" s="62">
        <f t="shared" si="34"/>
        <v>425.30058672361548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23.597884509546315</v>
      </c>
      <c r="AB46" s="23">
        <f>EXP(-LN(2)/2)*AB45+(1-EXP(-LN(2)/2))/(LN(2)/2)*V46*Y46*VLOOKUP('Données projet'!$B$9,Paramètres!$A$1:$I$89,3,0)*0.475*44/12</f>
        <v>0.17993657082736686</v>
      </c>
      <c r="AC46" s="24">
        <f t="shared" si="3"/>
        <v>23.77782108037368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371.75294069149942</v>
      </c>
      <c r="AO46" s="62">
        <f t="shared" si="36"/>
        <v>233.32640143610547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1.8821739202196135</v>
      </c>
      <c r="AW46" s="23">
        <f>EXP(-LN(2)/2)*AW45+(1-EXP(-LN(2)/2))/(LN(2)/2)*AQ46*AT46*VLOOKUP('Données projet'!$B$10,Paramètres!$A$1:$I$89,3,0)*0.475*44/12</f>
        <v>0.13865299274382456</v>
      </c>
      <c r="AX46" s="23">
        <f t="shared" si="6"/>
        <v>2.0208269129634382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24.8</v>
      </c>
      <c r="BD46" s="13">
        <f>IF('Données projet'!$A$88&gt;35,BD45+BC46-BL45,IF(A46&lt;'Données projet'!$A$88,$BA$205^A46,IF(A46='Données projet'!$A$88,'Données projet'!$B$88,BD45+BC46-BL45)))</f>
        <v>636.39999999999975</v>
      </c>
      <c r="BE46" s="14">
        <f>BD46*VLOOKUP('Données projet'!$B$11,Paramètres!$A$1:$I$89,3,0)*VLOOKUP('Données projet'!$B$11,Paramètres!$A$1:$I$89,5,0)</f>
        <v>355.74759999999986</v>
      </c>
      <c r="BF46" s="14">
        <f t="shared" si="37"/>
        <v>82.744877508992289</v>
      </c>
      <c r="BG46" s="22">
        <f t="shared" si="7"/>
        <v>763.70773166149456</v>
      </c>
      <c r="BH46" s="62">
        <f t="shared" si="8"/>
        <v>1057.0410649948278</v>
      </c>
      <c r="BI46" s="62">
        <f ca="1">AVERAGE(OFFSET($BH$3,0,0,'Données projet'!$E$11+1,1))-AVERAGE(OFFSET($H$3,0,0,'Données projet'!$E$11+1,1))</f>
        <v>555.15881087162279</v>
      </c>
      <c r="BJ46" s="62">
        <f t="shared" si="38"/>
        <v>668.20427590250733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22.152849071938412</v>
      </c>
      <c r="BQ46" s="23">
        <f>EXP(-LN(2)/25)*BQ45+(1-EXP(-LN(2)/25))/(LN(2)/25)*Calculateur!BL46*Calculateur!BN46*VLOOKUP('Données projet'!$B$11,Paramètres!$A$1:$I$89,3,0)*0.475*44/12</f>
        <v>15.781513188596374</v>
      </c>
      <c r="BR46" s="23">
        <f>EXP(-LN(2)/2)*BR45+(1-EXP(-LN(2)/2))/(LN(2)/2)*BL46*BO46*VLOOKUP('Données projet'!$B$11,Paramètres!$A$1:$I$89,3,0)*0.475*44/12</f>
        <v>0.152820087049375</v>
      </c>
      <c r="BS46" s="24">
        <f t="shared" si="9"/>
        <v>38.087182347584161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91.16328</v>
      </c>
      <c r="CA46" s="14">
        <f t="shared" si="39"/>
        <v>24.84557007760694</v>
      </c>
      <c r="CB46" s="22">
        <f t="shared" si="10"/>
        <v>202.04874721849876</v>
      </c>
      <c r="CC46" s="62">
        <f t="shared" si="11"/>
        <v>495.38208055183208</v>
      </c>
      <c r="CD46" s="62">
        <f ca="1">AVERAGE(OFFSET($CC$3,0,0,'Données projet'!$E$12+1,1))-AVERAGE(OFFSET($H$3,0,0,'Données projet'!$E$12+1,1))</f>
        <v>293.996396026019</v>
      </c>
      <c r="CE46" s="62">
        <f t="shared" si="40"/>
        <v>152.23954167722536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11.2</v>
      </c>
      <c r="N47" s="14">
        <f>IF('Données projet'!$A$36&gt;35,N46+M47-V46,IF(A47&lt;'Données projet'!$A$36,$K$205^A47,IF(A47='Données projet'!$A$36,'Données projet'!$B$36,N46+M47-V46)))</f>
        <v>232.7999999999999</v>
      </c>
      <c r="O47" s="14">
        <f>N47*VLOOKUP('Données projet'!$B$9,Paramètres!$A$1:$I$89,3,0)*VLOOKUP('Données projet'!$B$9,Paramètres!$A$1:$I$89,5,0)</f>
        <v>203.37407999999996</v>
      </c>
      <c r="P47" s="14">
        <f t="shared" si="33"/>
        <v>50.484964849140574</v>
      </c>
      <c r="Q47" s="22">
        <f t="shared" si="53"/>
        <v>442.1378364455864</v>
      </c>
      <c r="R47" s="62">
        <f t="shared" si="0"/>
        <v>735.47116977891972</v>
      </c>
      <c r="S47" s="62">
        <f ca="1">AVERAGE(OFFSET($R$3,0,0,'Données projet'!$E$9+1,1))-AVERAGE(OFFSET($H$3,0,0,'Données projet'!$E$9+1,1))</f>
        <v>303.33040062722074</v>
      </c>
      <c r="T47" s="62">
        <f t="shared" si="34"/>
        <v>425.30058672361548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22.952599116673959</v>
      </c>
      <c r="AB47" s="23">
        <f>EXP(-LN(2)/2)*AB46+(1-EXP(-LN(2)/2))/(LN(2)/2)*V47*Y47*VLOOKUP('Données projet'!$B$9,Paramètres!$A$1:$I$89,3,0)*0.475*44/12</f>
        <v>0.1272343694154846</v>
      </c>
      <c r="AC47" s="24">
        <f t="shared" si="3"/>
        <v>23.079833486089445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371.75294069149942</v>
      </c>
      <c r="AO47" s="62">
        <f t="shared" si="36"/>
        <v>233.32640143610547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1.8307057753919835</v>
      </c>
      <c r="AW47" s="23">
        <f>EXP(-LN(2)/2)*AW46+(1-EXP(-LN(2)/2))/(LN(2)/2)*AQ47*AT47*VLOOKUP('Données projet'!$B$10,Paramètres!$A$1:$I$89,3,0)*0.475*44/12</f>
        <v>9.8042471400967515E-2</v>
      </c>
      <c r="AX47" s="23">
        <f t="shared" si="6"/>
        <v>1.9287482467929511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24.8</v>
      </c>
      <c r="BD47" s="13">
        <f>IF('Données projet'!$A$88&gt;35,BD46+BC47-BL46,IF(A47&lt;'Données projet'!$A$88,$BA$205^A47,IF(A47='Données projet'!$A$88,'Données projet'!$B$88,BD46+BC47-BL46)))</f>
        <v>661.1999999999997</v>
      </c>
      <c r="BE47" s="14">
        <f>BD47*VLOOKUP('Données projet'!$B$11,Paramètres!$A$1:$I$89,3,0)*VLOOKUP('Données projet'!$B$11,Paramètres!$A$1:$I$89,5,0)</f>
        <v>369.61079999999981</v>
      </c>
      <c r="BF47" s="14">
        <f t="shared" si="37"/>
        <v>85.587677206936931</v>
      </c>
      <c r="BG47" s="22">
        <f t="shared" si="7"/>
        <v>792.80401446874805</v>
      </c>
      <c r="BH47" s="62">
        <f t="shared" si="8"/>
        <v>1086.1373478020814</v>
      </c>
      <c r="BI47" s="62">
        <f ca="1">AVERAGE(OFFSET($BH$3,0,0,'Données projet'!$E$11+1,1))-AVERAGE(OFFSET($H$3,0,0,'Données projet'!$E$11+1,1))</f>
        <v>555.15881087162279</v>
      </c>
      <c r="BJ47" s="62">
        <f t="shared" si="38"/>
        <v>668.20427590250733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21.718445213541443</v>
      </c>
      <c r="BQ47" s="23">
        <f>EXP(-LN(2)/25)*BQ46+(1-EXP(-LN(2)/25))/(LN(2)/25)*Calculateur!BL47*Calculateur!BN47*VLOOKUP('Données projet'!$B$11,Paramètres!$A$1:$I$89,3,0)*0.475*44/12</f>
        <v>15.349966880540498</v>
      </c>
      <c r="BR47" s="23">
        <f>EXP(-LN(2)/2)*BR46+(1-EXP(-LN(2)/2))/(LN(2)/2)*BL47*BO47*VLOOKUP('Données projet'!$B$11,Paramètres!$A$1:$I$89,3,0)*0.475*44/12</f>
        <v>0.10806011985413155</v>
      </c>
      <c r="BS47" s="24">
        <f t="shared" si="9"/>
        <v>37.176472213936073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96.492239999999995</v>
      </c>
      <c r="CA47" s="14">
        <f t="shared" si="39"/>
        <v>26.124593361596208</v>
      </c>
      <c r="CB47" s="22">
        <f t="shared" si="10"/>
        <v>213.55765143811337</v>
      </c>
      <c r="CC47" s="62">
        <f t="shared" si="11"/>
        <v>506.89098477144671</v>
      </c>
      <c r="CD47" s="62">
        <f ca="1">AVERAGE(OFFSET($CC$3,0,0,'Données projet'!$E$12+1,1))-AVERAGE(OFFSET($H$3,0,0,'Données projet'!$E$12+1,1))</f>
        <v>293.996396026019</v>
      </c>
      <c r="CE47" s="62">
        <f t="shared" si="40"/>
        <v>152.23954167722536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244</v>
      </c>
      <c r="L48" s="13">
        <f>VLOOKUP(A48,'Données projet'!$A$35:$I$55,9,0)</f>
        <v>11.2</v>
      </c>
      <c r="M48" s="13">
        <f t="array" ref="M48">INDEX(L:L,MIN(IF(ISNUMBER(L48:L244),ROW(L48:L244),"")))</f>
        <v>11.2</v>
      </c>
      <c r="N48" s="14">
        <f>IF('Données projet'!$A$36&gt;35,N47+M48-V47,IF(A48&lt;'Données projet'!$A$36,$K$205^A48,IF(A48='Données projet'!$A$36,'Données projet'!$B$36,N47+M48-V47)))</f>
        <v>243.99999999999989</v>
      </c>
      <c r="O48" s="14">
        <f>N48*VLOOKUP('Données projet'!$B$9,Paramètres!$A$1:$I$89,3,0)*VLOOKUP('Données projet'!$B$9,Paramètres!$A$1:$I$89,5,0)</f>
        <v>213.15839999999994</v>
      </c>
      <c r="P48" s="14">
        <f t="shared" si="33"/>
        <v>52.62517477463237</v>
      </c>
      <c r="Q48" s="22">
        <f t="shared" si="53"/>
        <v>462.90639273248456</v>
      </c>
      <c r="R48" s="62">
        <f t="shared" si="0"/>
        <v>756.23972606581788</v>
      </c>
      <c r="S48" s="62">
        <f ca="1">AVERAGE(OFFSET($R$3,0,0,'Données projet'!$E$9+1,1))-AVERAGE(OFFSET($H$3,0,0,'Données projet'!$E$9+1,1))</f>
        <v>303.33040062722074</v>
      </c>
      <c r="T48" s="62">
        <f t="shared" si="34"/>
        <v>425.30058672361548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41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22.32495908680378</v>
      </c>
      <c r="AB48" s="23">
        <f>EXP(-LN(2)/2)*AB47+(1-EXP(-LN(2)/2))/(LN(2)/2)*V48*Y48*VLOOKUP('Données projet'!$B$9,Paramètres!$A$1:$I$89,3,0)*0.475*44/12</f>
        <v>8.996828541368343E-2</v>
      </c>
      <c r="AC48" s="24">
        <f t="shared" si="3"/>
        <v>22.414927372217463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371.75294069149942</v>
      </c>
      <c r="AO48" s="62">
        <f t="shared" si="36"/>
        <v>233.32640143610547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1.7806450296912573</v>
      </c>
      <c r="AW48" s="23">
        <f>EXP(-LN(2)/2)*AW47+(1-EXP(-LN(2)/2))/(LN(2)/2)*AQ48*AT48*VLOOKUP('Données projet'!$B$10,Paramètres!$A$1:$I$89,3,0)*0.475*44/12</f>
        <v>6.932649637191228E-2</v>
      </c>
      <c r="AX48" s="23">
        <f t="shared" si="6"/>
        <v>1.8499715260631695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686</v>
      </c>
      <c r="BB48" s="13">
        <f>VLOOKUP(A48,'Données projet'!$A$87:$I$107,9,0)</f>
        <v>24.8</v>
      </c>
      <c r="BC48" s="13">
        <f t="array" ref="BC48">INDEX(BB:BB,MIN(IF(ISNUMBER(BB48:BB244),ROW(BB48:BB244),"")))</f>
        <v>24.8</v>
      </c>
      <c r="BD48" s="13">
        <f>IF('Données projet'!$A$88&gt;35,BD47+BC48-BL47,IF(A48&lt;'Données projet'!$A$88,$BA$205^A48,IF(A48='Données projet'!$A$88,'Données projet'!$B$88,BD47+BC48-BL47)))</f>
        <v>685.99999999999966</v>
      </c>
      <c r="BE48" s="14">
        <f>BD48*VLOOKUP('Données projet'!$B$11,Paramètres!$A$1:$I$89,3,0)*VLOOKUP('Données projet'!$B$11,Paramètres!$A$1:$I$89,5,0)</f>
        <v>383.47399999999982</v>
      </c>
      <c r="BF48" s="14">
        <f t="shared" si="37"/>
        <v>88.418089567872116</v>
      </c>
      <c r="BG48" s="22">
        <f t="shared" si="7"/>
        <v>821.87872266404372</v>
      </c>
      <c r="BH48" s="62">
        <f t="shared" si="8"/>
        <v>1115.2120559973771</v>
      </c>
      <c r="BI48" s="62">
        <f ca="1">AVERAGE(OFFSET($BH$3,0,0,'Données projet'!$E$11+1,1))-AVERAGE(OFFSET($H$3,0,0,'Données projet'!$E$11+1,1))</f>
        <v>555.15881087162279</v>
      </c>
      <c r="BJ48" s="62">
        <f t="shared" si="38"/>
        <v>668.20427590250733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64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21.292559749847449</v>
      </c>
      <c r="BQ48" s="23">
        <f>EXP(-LN(2)/25)*BQ47+(1-EXP(-LN(2)/25))/(LN(2)/25)*Calculateur!BL48*Calculateur!BN48*VLOOKUP('Données projet'!$B$11,Paramètres!$A$1:$I$89,3,0)*0.475*44/12</f>
        <v>14.930221228972442</v>
      </c>
      <c r="BR48" s="23">
        <f>EXP(-LN(2)/2)*BR47+(1-EXP(-LN(2)/2))/(LN(2)/2)*BL48*BO48*VLOOKUP('Données projet'!$B$11,Paramètres!$A$1:$I$89,3,0)*0.475*44/12</f>
        <v>7.6410043524687499E-2</v>
      </c>
      <c r="BS48" s="24">
        <f t="shared" si="9"/>
        <v>36.29919102234458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101.82119999999999</v>
      </c>
      <c r="CA48" s="14">
        <f t="shared" si="39"/>
        <v>27.395416540066275</v>
      </c>
      <c r="CB48" s="22">
        <f t="shared" si="10"/>
        <v>225.05227380728206</v>
      </c>
      <c r="CC48" s="62">
        <f t="shared" si="11"/>
        <v>518.38560714061532</v>
      </c>
      <c r="CD48" s="62">
        <f ca="1">AVERAGE(OFFSET($CC$3,0,0,'Données projet'!$E$12+1,1))-AVERAGE(OFFSET($H$3,0,0,'Données projet'!$E$12+1,1))</f>
        <v>293.996396026019</v>
      </c>
      <c r="CE48" s="62">
        <f t="shared" si="40"/>
        <v>152.23954167722536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9.8000000000000007</v>
      </c>
      <c r="N49" s="14">
        <f>IF('Données projet'!$A$36&gt;35,N48+M49-V48,IF(A49&lt;'Données projet'!$A$36,$K$205^A49,IF(A49='Données projet'!$A$36,'Données projet'!$B$36,N48+M49-V48)))</f>
        <v>212.7999999999999</v>
      </c>
      <c r="O49" s="14">
        <f>N49*VLOOKUP('Données projet'!$B$9,Paramètres!$A$1:$I$89,3,0)*VLOOKUP('Données projet'!$B$9,Paramètres!$A$1:$I$89,5,0)</f>
        <v>185.90207999999993</v>
      </c>
      <c r="P49" s="14">
        <f t="shared" si="33"/>
        <v>46.632814435744606</v>
      </c>
      <c r="Q49" s="22">
        <f t="shared" si="53"/>
        <v>404.9982744755884</v>
      </c>
      <c r="R49" s="62">
        <f t="shared" si="0"/>
        <v>698.33160780892172</v>
      </c>
      <c r="S49" s="62">
        <f ca="1">AVERAGE(OFFSET($R$3,0,0,'Données projet'!$E$9+1,1))-AVERAGE(OFFSET($H$3,0,0,'Données projet'!$E$9+1,1))</f>
        <v>303.33040062722074</v>
      </c>
      <c r="T49" s="62">
        <f t="shared" si="34"/>
        <v>425.30058672361548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21.714481906556557</v>
      </c>
      <c r="AB49" s="23">
        <f>EXP(-LN(2)/2)*AB48+(1-EXP(-LN(2)/2))/(LN(2)/2)*V49*Y49*VLOOKUP('Données projet'!$B$9,Paramètres!$A$1:$I$89,3,0)*0.475*44/12</f>
        <v>6.3617184707742302E-2</v>
      </c>
      <c r="AC49" s="24">
        <f t="shared" si="3"/>
        <v>21.778099091264298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582.30024964318545</v>
      </c>
      <c r="AN49" s="62">
        <f ca="1">AVERAGE(OFFSET($AM$3,0,0,'Données projet'!$E$10+1,1))-AVERAGE(OFFSET($H$3,0,0,'Données projet'!$E$10+1,1))</f>
        <v>371.75294069149942</v>
      </c>
      <c r="AO49" s="62">
        <f t="shared" si="36"/>
        <v>233.32640143610547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1.7319531977142975</v>
      </c>
      <c r="AW49" s="23">
        <f>EXP(-LN(2)/2)*AW48+(1-EXP(-LN(2)/2))/(LN(2)/2)*AQ49*AT49*VLOOKUP('Données projet'!$B$10,Paramètres!$A$1:$I$89,3,0)*0.475*44/12</f>
        <v>4.9021235700483758E-2</v>
      </c>
      <c r="AX49" s="23">
        <f t="shared" si="6"/>
        <v>1.7809744334147812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20.399999999999999</v>
      </c>
      <c r="BD49" s="13">
        <f>IF('Données projet'!$A$88&gt;35,BD48+BC49-BL48,IF(A49&lt;'Données projet'!$A$88,$BA$205^A49,IF(A49='Données projet'!$A$88,'Données projet'!$B$88,BD48+BC49-BL48)))</f>
        <v>642.39999999999964</v>
      </c>
      <c r="BE49" s="14">
        <f>BD49*VLOOKUP('Données projet'!$B$11,Paramètres!$A$1:$I$89,3,0)*VLOOKUP('Données projet'!$B$11,Paramètres!$A$1:$I$89,5,0)</f>
        <v>359.10159999999985</v>
      </c>
      <c r="BF49" s="14">
        <f t="shared" si="37"/>
        <v>83.433815871723468</v>
      </c>
      <c r="BG49" s="22">
        <f t="shared" si="7"/>
        <v>770.74918264325152</v>
      </c>
      <c r="BH49" s="62">
        <f t="shared" si="8"/>
        <v>1064.0825159765848</v>
      </c>
      <c r="BI49" s="62">
        <f ca="1">AVERAGE(OFFSET($BH$3,0,0,'Données projet'!$E$11+1,1))-AVERAGE(OFFSET($H$3,0,0,'Données projet'!$E$11+1,1))</f>
        <v>555.15881087162279</v>
      </c>
      <c r="BJ49" s="62">
        <f t="shared" si="38"/>
        <v>668.20427590250733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20.875025640332009</v>
      </c>
      <c r="BQ49" s="23">
        <f>EXP(-LN(2)/25)*BQ48+(1-EXP(-LN(2)/25))/(LN(2)/25)*Calculateur!BL49*Calculateur!BN49*VLOOKUP('Données projet'!$B$11,Paramètres!$A$1:$I$89,3,0)*0.475*44/12</f>
        <v>14.521953544319979</v>
      </c>
      <c r="BR49" s="23">
        <f>EXP(-LN(2)/2)*BR48+(1-EXP(-LN(2)/2))/(LN(2)/2)*BL49*BO49*VLOOKUP('Données projet'!$B$11,Paramètres!$A$1:$I$89,3,0)*0.475*44/12</f>
        <v>5.4030059927065777E-2</v>
      </c>
      <c r="BS49" s="24">
        <f t="shared" si="9"/>
        <v>35.451009244579055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93.827759999999984</v>
      </c>
      <c r="CA49" s="14">
        <f t="shared" si="39"/>
        <v>25.486138814422123</v>
      </c>
      <c r="CB49" s="22">
        <f t="shared" si="10"/>
        <v>207.80504043511849</v>
      </c>
      <c r="CC49" s="62">
        <f t="shared" si="11"/>
        <v>501.1383737684518</v>
      </c>
      <c r="CD49" s="62">
        <f ca="1">AVERAGE(OFFSET($CC$3,0,0,'Données projet'!$E$12+1,1))-AVERAGE(OFFSET($H$3,0,0,'Données projet'!$E$12+1,1))</f>
        <v>293.996396026019</v>
      </c>
      <c r="CE49" s="62">
        <f t="shared" si="40"/>
        <v>152.23954167722536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9.8000000000000007</v>
      </c>
      <c r="N50" s="14">
        <f>IF('Données projet'!$A$36&gt;35,N49+M50-V49,IF(A50&lt;'Données projet'!$A$36,$K$205^A50,IF(A50='Données projet'!$A$36,'Données projet'!$B$36,N49+M50-V49)))</f>
        <v>222.59999999999991</v>
      </c>
      <c r="O50" s="14">
        <f>N50*VLOOKUP('Données projet'!$B$9,Paramètres!$A$1:$I$89,3,0)*VLOOKUP('Données projet'!$B$9,Paramètres!$A$1:$I$89,5,0)</f>
        <v>194.46335999999994</v>
      </c>
      <c r="P50" s="14">
        <f t="shared" si="33"/>
        <v>48.525400894162644</v>
      </c>
      <c r="Q50" s="22">
        <f t="shared" si="53"/>
        <v>423.20542522399978</v>
      </c>
      <c r="R50" s="62">
        <f t="shared" si="0"/>
        <v>716.53875855733304</v>
      </c>
      <c r="S50" s="62">
        <f ca="1">AVERAGE(OFFSET($R$3,0,0,'Données projet'!$E$9+1,1))-AVERAGE(OFFSET($H$3,0,0,'Données projet'!$E$9+1,1))</f>
        <v>303.33040062722074</v>
      </c>
      <c r="T50" s="62">
        <f t="shared" si="34"/>
        <v>425.30058672361548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21.120698256906795</v>
      </c>
      <c r="AB50" s="23">
        <f>EXP(-LN(2)/2)*AB49+(1-EXP(-LN(2)/2))/(LN(2)/2)*V50*Y50*VLOOKUP('Données projet'!$B$9,Paramètres!$A$1:$I$89,3,0)*0.475*44/12</f>
        <v>4.4984142706841715E-2</v>
      </c>
      <c r="AC50" s="24">
        <f t="shared" si="3"/>
        <v>21.165682399613637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598.5819131330129</v>
      </c>
      <c r="AN50" s="62">
        <f ca="1">AVERAGE(OFFSET($AM$3,0,0,'Données projet'!$E$10+1,1))-AVERAGE(OFFSET($H$3,0,0,'Données projet'!$E$10+1,1))</f>
        <v>371.75294069149942</v>
      </c>
      <c r="AO50" s="62">
        <f t="shared" si="36"/>
        <v>233.32640143610547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1.6845928464433397</v>
      </c>
      <c r="AW50" s="23">
        <f>EXP(-LN(2)/2)*AW49+(1-EXP(-LN(2)/2))/(LN(2)/2)*AQ50*AT50*VLOOKUP('Données projet'!$B$10,Paramètres!$A$1:$I$89,3,0)*0.475*44/12</f>
        <v>3.466324818595614E-2</v>
      </c>
      <c r="AX50" s="23">
        <f t="shared" si="6"/>
        <v>1.7192560946292959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20.399999999999999</v>
      </c>
      <c r="BD50" s="13">
        <f>IF('Données projet'!$A$88&gt;35,BD49+BC50-BL49,IF(A50&lt;'Données projet'!$A$88,$BA$205^A50,IF(A50='Données projet'!$A$88,'Données projet'!$B$88,BD49+BC50-BL49)))</f>
        <v>662.79999999999961</v>
      </c>
      <c r="BE50" s="14">
        <f>BD50*VLOOKUP('Données projet'!$B$11,Paramètres!$A$1:$I$89,3,0)*VLOOKUP('Données projet'!$B$11,Paramètres!$A$1:$I$89,5,0)</f>
        <v>370.50519999999983</v>
      </c>
      <c r="BF50" s="14">
        <f t="shared" si="37"/>
        <v>85.770652719303072</v>
      </c>
      <c r="BG50" s="22">
        <f t="shared" si="7"/>
        <v>794.6804434861192</v>
      </c>
      <c r="BH50" s="62">
        <f t="shared" si="8"/>
        <v>1088.0137768194525</v>
      </c>
      <c r="BI50" s="62">
        <f ca="1">AVERAGE(OFFSET($BH$3,0,0,'Données projet'!$E$11+1,1))-AVERAGE(OFFSET($H$3,0,0,'Données projet'!$E$11+1,1))</f>
        <v>555.15881087162279</v>
      </c>
      <c r="BJ50" s="62">
        <f t="shared" si="38"/>
        <v>668.20427590250733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20.465679120033506</v>
      </c>
      <c r="BQ50" s="23">
        <f>EXP(-LN(2)/25)*BQ49+(1-EXP(-LN(2)/25))/(LN(2)/25)*Calculateur!BL50*Calculateur!BN50*VLOOKUP('Données projet'!$B$11,Paramètres!$A$1:$I$89,3,0)*0.475*44/12</f>
        <v>14.124849960974203</v>
      </c>
      <c r="BR50" s="23">
        <f>EXP(-LN(2)/2)*BR49+(1-EXP(-LN(2)/2))/(LN(2)/2)*BL50*BO50*VLOOKUP('Données projet'!$B$11,Paramètres!$A$1:$I$89,3,0)*0.475*44/12</f>
        <v>3.8205021762343749E-2</v>
      </c>
      <c r="BS50" s="24">
        <f t="shared" si="9"/>
        <v>34.628734102770053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99.156719999999979</v>
      </c>
      <c r="CA50" s="14">
        <f t="shared" si="39"/>
        <v>26.7609988066732</v>
      </c>
      <c r="CB50" s="22">
        <f t="shared" si="10"/>
        <v>219.30669358828911</v>
      </c>
      <c r="CC50" s="62">
        <f t="shared" si="11"/>
        <v>512.64002692162239</v>
      </c>
      <c r="CD50" s="62">
        <f ca="1">AVERAGE(OFFSET($CC$3,0,0,'Données projet'!$E$12+1,1))-AVERAGE(OFFSET($H$3,0,0,'Données projet'!$E$12+1,1))</f>
        <v>293.996396026019</v>
      </c>
      <c r="CE50" s="62">
        <f t="shared" si="40"/>
        <v>152.23954167722536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9.8000000000000007</v>
      </c>
      <c r="N51" s="14">
        <f>IF('Données projet'!$A$36&gt;35,N50+M51-V50,IF(A51&lt;'Données projet'!$A$36,$K$205^A51,IF(A51='Données projet'!$A$36,'Données projet'!$B$36,N50+M51-V50)))</f>
        <v>232.39999999999992</v>
      </c>
      <c r="O51" s="14">
        <f>N51*VLOOKUP('Données projet'!$B$9,Paramètres!$A$1:$I$89,3,0)*VLOOKUP('Données projet'!$B$9,Paramètres!$A$1:$I$89,5,0)</f>
        <v>203.02463999999998</v>
      </c>
      <c r="P51" s="14">
        <f t="shared" si="33"/>
        <v>50.408310246654189</v>
      </c>
      <c r="Q51" s="22">
        <f t="shared" si="53"/>
        <v>441.39572167958931</v>
      </c>
      <c r="R51" s="62">
        <f t="shared" si="0"/>
        <v>734.72905501292257</v>
      </c>
      <c r="S51" s="62">
        <f ca="1">AVERAGE(OFFSET($R$3,0,0,'Données projet'!$E$9+1,1))-AVERAGE(OFFSET($H$3,0,0,'Données projet'!$E$9+1,1))</f>
        <v>303.33040062722074</v>
      </c>
      <c r="T51" s="62">
        <f t="shared" si="34"/>
        <v>425.30058672361548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20.543151652382431</v>
      </c>
      <c r="AB51" s="23">
        <f>EXP(-LN(2)/2)*AB50+(1-EXP(-LN(2)/2))/(LN(2)/2)*V51*Y51*VLOOKUP('Données projet'!$B$9,Paramètres!$A$1:$I$89,3,0)*0.475*44/12</f>
        <v>3.1808592353871151E-2</v>
      </c>
      <c r="AC51" s="24">
        <f t="shared" si="3"/>
        <v>20.574960244736303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614.84427332521136</v>
      </c>
      <c r="AN51" s="62">
        <f ca="1">AVERAGE(OFFSET($AM$3,0,0,'Données projet'!$E$10+1,1))-AVERAGE(OFFSET($H$3,0,0,'Données projet'!$E$10+1,1))</f>
        <v>371.75294069149942</v>
      </c>
      <c r="AO51" s="62">
        <f t="shared" si="36"/>
        <v>233.32640143610547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1.6385275664684591</v>
      </c>
      <c r="AW51" s="23">
        <f>EXP(-LN(2)/2)*AW50+(1-EXP(-LN(2)/2))/(LN(2)/2)*AQ51*AT51*VLOOKUP('Données projet'!$B$10,Paramètres!$A$1:$I$89,3,0)*0.475*44/12</f>
        <v>2.4510617850241879E-2</v>
      </c>
      <c r="AX51" s="23">
        <f t="shared" si="6"/>
        <v>1.663038184318701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20.399999999999999</v>
      </c>
      <c r="BD51" s="13">
        <f>IF('Données projet'!$A$88&gt;35,BD50+BC51-BL50,IF(A51&lt;'Données projet'!$A$88,$BA$205^A51,IF(A51='Données projet'!$A$88,'Données projet'!$B$88,BD50+BC51-BL50)))</f>
        <v>683.19999999999959</v>
      </c>
      <c r="BE51" s="14">
        <f>BD51*VLOOKUP('Données projet'!$B$11,Paramètres!$A$1:$I$89,3,0)*VLOOKUP('Données projet'!$B$11,Paramètres!$A$1:$I$89,5,0)</f>
        <v>381.90879999999981</v>
      </c>
      <c r="BF51" s="14">
        <f t="shared" si="37"/>
        <v>88.099131154986978</v>
      </c>
      <c r="BG51" s="22">
        <f t="shared" si="7"/>
        <v>818.59714676160195</v>
      </c>
      <c r="BH51" s="62">
        <f t="shared" si="8"/>
        <v>1111.9304800949353</v>
      </c>
      <c r="BI51" s="62">
        <f ca="1">AVERAGE(OFFSET($BH$3,0,0,'Données projet'!$E$11+1,1))-AVERAGE(OFFSET($H$3,0,0,'Données projet'!$E$11+1,1))</f>
        <v>555.15881087162279</v>
      </c>
      <c r="BJ51" s="62">
        <f t="shared" si="38"/>
        <v>668.20427590250733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20.064359635321335</v>
      </c>
      <c r="BQ51" s="23">
        <f>EXP(-LN(2)/25)*BQ50+(1-EXP(-LN(2)/25))/(LN(2)/25)*Calculateur!BL51*Calculateur!BN51*VLOOKUP('Données projet'!$B$11,Paramètres!$A$1:$I$89,3,0)*0.475*44/12</f>
        <v>13.738605195997787</v>
      </c>
      <c r="BR51" s="23">
        <f>EXP(-LN(2)/2)*BR50+(1-EXP(-LN(2)/2))/(LN(2)/2)*BL51*BO51*VLOOKUP('Données projet'!$B$11,Paramètres!$A$1:$I$89,3,0)*0.475*44/12</f>
        <v>2.7015029963532888E-2</v>
      </c>
      <c r="BS51" s="24">
        <f t="shared" si="9"/>
        <v>33.829979861282659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104.48567999999997</v>
      </c>
      <c r="CA51" s="14">
        <f t="shared" si="39"/>
        <v>28.027904556241349</v>
      </c>
      <c r="CB51" s="22">
        <f t="shared" si="10"/>
        <v>230.7944931021203</v>
      </c>
      <c r="CC51" s="62">
        <f t="shared" si="11"/>
        <v>524.12782643545358</v>
      </c>
      <c r="CD51" s="62">
        <f ca="1">AVERAGE(OFFSET($CC$3,0,0,'Données projet'!$E$12+1,1))-AVERAGE(OFFSET($H$3,0,0,'Données projet'!$E$12+1,1))</f>
        <v>293.996396026019</v>
      </c>
      <c r="CE51" s="62">
        <f t="shared" si="40"/>
        <v>152.23954167722536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9.8000000000000007</v>
      </c>
      <c r="N52" s="14">
        <f>IF('Données projet'!$A$36&gt;35,N51+M52-V51,IF(A52&lt;'Données projet'!$A$36,$K$205^A52,IF(A52='Données projet'!$A$36,'Données projet'!$B$36,N51+M52-V51)))</f>
        <v>242.19999999999993</v>
      </c>
      <c r="O52" s="14">
        <f>N52*VLOOKUP('Données projet'!$B$9,Paramètres!$A$1:$I$89,3,0)*VLOOKUP('Données projet'!$B$9,Paramètres!$A$1:$I$89,5,0)</f>
        <v>211.58591999999996</v>
      </c>
      <c r="P52" s="14">
        <f t="shared" si="33"/>
        <v>52.281997222074629</v>
      </c>
      <c r="Q52" s="22">
        <f t="shared" si="53"/>
        <v>459.56995582844655</v>
      </c>
      <c r="R52" s="62">
        <f t="shared" si="0"/>
        <v>752.90328916177987</v>
      </c>
      <c r="S52" s="62">
        <f ca="1">AVERAGE(OFFSET($R$3,0,0,'Données projet'!$E$9+1,1))-AVERAGE(OFFSET($H$3,0,0,'Données projet'!$E$9+1,1))</f>
        <v>303.33040062722074</v>
      </c>
      <c r="T52" s="62">
        <f t="shared" si="34"/>
        <v>425.30058672361548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19.981398090130639</v>
      </c>
      <c r="AB52" s="23">
        <f>EXP(-LN(2)/2)*AB51+(1-EXP(-LN(2)/2))/(LN(2)/2)*V52*Y52*VLOOKUP('Données projet'!$B$9,Paramètres!$A$1:$I$89,3,0)*0.475*44/12</f>
        <v>2.2492071353420857E-2</v>
      </c>
      <c r="AC52" s="24">
        <f t="shared" si="3"/>
        <v>20.003890161484062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631.08844392332617</v>
      </c>
      <c r="AN52" s="62">
        <f ca="1">AVERAGE(OFFSET($AM$3,0,0,'Données projet'!$E$10+1,1))-AVERAGE(OFFSET($H$3,0,0,'Données projet'!$E$10+1,1))</f>
        <v>371.75294069149942</v>
      </c>
      <c r="AO52" s="62">
        <f t="shared" si="36"/>
        <v>233.32640143610547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1.5937219439969592</v>
      </c>
      <c r="AW52" s="23">
        <f>EXP(-LN(2)/2)*AW51+(1-EXP(-LN(2)/2))/(LN(2)/2)*AQ52*AT52*VLOOKUP('Données projet'!$B$10,Paramètres!$A$1:$I$89,3,0)*0.475*44/12</f>
        <v>1.733162409297807E-2</v>
      </c>
      <c r="AX52" s="23">
        <f t="shared" si="6"/>
        <v>1.6110535680899374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20.399999999999999</v>
      </c>
      <c r="BD52" s="13">
        <f>IF('Données projet'!$A$88&gt;35,BD51+BC52-BL51,IF(A52&lt;'Données projet'!$A$88,$BA$205^A52,IF(A52='Données projet'!$A$88,'Données projet'!$B$88,BD51+BC52-BL51)))</f>
        <v>703.59999999999957</v>
      </c>
      <c r="BE52" s="14">
        <f>BD52*VLOOKUP('Données projet'!$B$11,Paramètres!$A$1:$I$89,3,0)*VLOOKUP('Données projet'!$B$11,Paramètres!$A$1:$I$89,5,0)</f>
        <v>393.3123999999998</v>
      </c>
      <c r="BF52" s="14">
        <f t="shared" si="37"/>
        <v>90.419529407700907</v>
      </c>
      <c r="BG52" s="22">
        <f t="shared" si="7"/>
        <v>842.49977705174535</v>
      </c>
      <c r="BH52" s="62">
        <f t="shared" si="8"/>
        <v>1135.8331103850787</v>
      </c>
      <c r="BI52" s="62">
        <f ca="1">AVERAGE(OFFSET($BH$3,0,0,'Données projet'!$E$11+1,1))-AVERAGE(OFFSET($H$3,0,0,'Données projet'!$E$11+1,1))</f>
        <v>555.15881087162279</v>
      </c>
      <c r="BJ52" s="62">
        <f t="shared" si="38"/>
        <v>668.20427590250733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19.670909780923655</v>
      </c>
      <c r="BQ52" s="23">
        <f>EXP(-LN(2)/25)*BQ51+(1-EXP(-LN(2)/25))/(LN(2)/25)*Calculateur!BL52*Calculateur!BN52*VLOOKUP('Données projet'!$B$11,Paramètres!$A$1:$I$89,3,0)*0.475*44/12</f>
        <v>13.36292231443138</v>
      </c>
      <c r="BR52" s="23">
        <f>EXP(-LN(2)/2)*BR51+(1-EXP(-LN(2)/2))/(LN(2)/2)*BL52*BO52*VLOOKUP('Données projet'!$B$11,Paramètres!$A$1:$I$89,3,0)*0.475*44/12</f>
        <v>1.9102510881171875E-2</v>
      </c>
      <c r="BS52" s="24">
        <f t="shared" si="9"/>
        <v>33.052934606236207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109.81463999999997</v>
      </c>
      <c r="CA52" s="14">
        <f t="shared" si="39"/>
        <v>29.287308025077461</v>
      </c>
      <c r="CB52" s="22">
        <f t="shared" si="10"/>
        <v>242.26922614367652</v>
      </c>
      <c r="CC52" s="62">
        <f t="shared" si="11"/>
        <v>535.60255947700989</v>
      </c>
      <c r="CD52" s="62">
        <f ca="1">AVERAGE(OFFSET($CC$3,0,0,'Données projet'!$E$12+1,1))-AVERAGE(OFFSET($H$3,0,0,'Données projet'!$E$12+1,1))</f>
        <v>293.996396026019</v>
      </c>
      <c r="CE52" s="62">
        <f t="shared" si="40"/>
        <v>152.23954167722536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252</v>
      </c>
      <c r="L53" s="13">
        <f>VLOOKUP(A53,'Données projet'!$A$35:$I$55,9,0)</f>
        <v>9.8000000000000007</v>
      </c>
      <c r="M53" s="13">
        <f t="array" ref="M53">INDEX(L:L,MIN(IF(ISNUMBER(L53:L249),ROW(L53:L249),"")))</f>
        <v>9.8000000000000007</v>
      </c>
      <c r="N53" s="14">
        <f>IF('Données projet'!$A$36&gt;35,N52+M53-V52,IF(A53&lt;'Données projet'!$A$36,$K$205^A53,IF(A53='Données projet'!$A$36,'Données projet'!$B$36,N52+M53-V52)))</f>
        <v>251.99999999999994</v>
      </c>
      <c r="O53" s="14">
        <f>N53*VLOOKUP('Données projet'!$B$9,Paramètres!$A$1:$I$89,3,0)*VLOOKUP('Données projet'!$B$9,Paramètres!$A$1:$I$89,5,0)</f>
        <v>220.14719999999997</v>
      </c>
      <c r="P53" s="14">
        <f t="shared" si="33"/>
        <v>54.146877667769637</v>
      </c>
      <c r="Q53" s="22">
        <f t="shared" si="53"/>
        <v>477.72885193803205</v>
      </c>
      <c r="R53" s="62">
        <f t="shared" si="0"/>
        <v>771.06218527136537</v>
      </c>
      <c r="S53" s="62">
        <f ca="1">AVERAGE(OFFSET($R$3,0,0,'Données projet'!$E$9+1,1))-AVERAGE(OFFSET($H$3,0,0,'Données projet'!$E$9+1,1))</f>
        <v>303.33040062722074</v>
      </c>
      <c r="T53" s="62">
        <f t="shared" si="34"/>
        <v>425.30058672361548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19.435005708579961</v>
      </c>
      <c r="AB53" s="23">
        <f>EXP(-LN(2)/2)*AB52+(1-EXP(-LN(2)/2))/(LN(2)/2)*V53*Y53*VLOOKUP('Données projet'!$B$9,Paramètres!$A$1:$I$89,3,0)*0.475*44/12</f>
        <v>1.5904296176935576E-2</v>
      </c>
      <c r="AC53" s="24">
        <f t="shared" si="3"/>
        <v>19.450910004756896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647.31542276201071</v>
      </c>
      <c r="AN53" s="62">
        <f ca="1">AVERAGE(OFFSET($AM$3,0,0,'Données projet'!$E$10+1,1))-AVERAGE(OFFSET($H$3,0,0,'Données projet'!$E$10+1,1))</f>
        <v>371.75294069149942</v>
      </c>
      <c r="AO53" s="62">
        <f t="shared" si="36"/>
        <v>233.32640143610547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1.5501415336281679</v>
      </c>
      <c r="AW53" s="23">
        <f>EXP(-LN(2)/2)*AW52+(1-EXP(-LN(2)/2))/(LN(2)/2)*AQ53*AT53*VLOOKUP('Données projet'!$B$10,Paramètres!$A$1:$I$89,3,0)*0.475*44/12</f>
        <v>1.2255308925120939E-2</v>
      </c>
      <c r="AX53" s="23">
        <f t="shared" si="6"/>
        <v>1.5623968425532888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724</v>
      </c>
      <c r="BB53" s="13">
        <f>VLOOKUP(A53,'Données projet'!$A$87:$I$107,9,0)</f>
        <v>20.399999999999999</v>
      </c>
      <c r="BC53" s="13">
        <f t="array" ref="BC53">INDEX(BB:BB,MIN(IF(ISNUMBER(BB53:BB249),ROW(BB53:BB249),"")))</f>
        <v>20.399999999999999</v>
      </c>
      <c r="BD53" s="13">
        <f>IF('Données projet'!$A$88&gt;35,BD52+BC53-BL52,IF(A53&lt;'Données projet'!$A$88,$BA$205^A53,IF(A53='Données projet'!$A$88,'Données projet'!$B$88,BD52+BC53-BL52)))</f>
        <v>723.99999999999955</v>
      </c>
      <c r="BE53" s="14">
        <f>BD53*VLOOKUP('Données projet'!$B$11,Paramètres!$A$1:$I$89,3,0)*VLOOKUP('Données projet'!$B$11,Paramètres!$A$1:$I$89,5,0)</f>
        <v>404.71599999999978</v>
      </c>
      <c r="BF53" s="14">
        <f t="shared" si="37"/>
        <v>92.732108655131142</v>
      </c>
      <c r="BG53" s="22">
        <f t="shared" si="7"/>
        <v>866.38878924101971</v>
      </c>
      <c r="BH53" s="62">
        <f t="shared" si="8"/>
        <v>1159.7221225743531</v>
      </c>
      <c r="BI53" s="62">
        <f ca="1">AVERAGE(OFFSET($BH$3,0,0,'Données projet'!$E$11+1,1))-AVERAGE(OFFSET($H$3,0,0,'Données projet'!$E$11+1,1))</f>
        <v>555.15881087162279</v>
      </c>
      <c r="BJ53" s="62">
        <f t="shared" si="38"/>
        <v>668.20427590250733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62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19.285175238189996</v>
      </c>
      <c r="BQ53" s="23">
        <f>EXP(-LN(2)/25)*BQ52+(1-EXP(-LN(2)/25))/(LN(2)/25)*Calculateur!BL53*Calculateur!BN53*VLOOKUP('Données projet'!$B$11,Paramètres!$A$1:$I$89,3,0)*0.475*44/12</f>
        <v>12.997512501017711</v>
      </c>
      <c r="BR53" s="23">
        <f>EXP(-LN(2)/2)*BR52+(1-EXP(-LN(2)/2))/(LN(2)/2)*BL53*BO53*VLOOKUP('Données projet'!$B$11,Paramètres!$A$1:$I$89,3,0)*0.475*44/12</f>
        <v>1.3507514981766444E-2</v>
      </c>
      <c r="BS53" s="24">
        <f t="shared" si="9"/>
        <v>32.296195254189477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115.14359999999996</v>
      </c>
      <c r="CA53" s="14">
        <f t="shared" si="39"/>
        <v>30.539614832250223</v>
      </c>
      <c r="CB53" s="22">
        <f t="shared" si="10"/>
        <v>253.7315991661691</v>
      </c>
      <c r="CC53" s="62">
        <f t="shared" si="11"/>
        <v>547.06493249950245</v>
      </c>
      <c r="CD53" s="62">
        <f ca="1">AVERAGE(OFFSET($CC$3,0,0,'Données projet'!$E$12+1,1))-AVERAGE(OFFSET($H$3,0,0,'Données projet'!$E$12+1,1))</f>
        <v>293.996396026019</v>
      </c>
      <c r="CE53" s="62">
        <f t="shared" si="40"/>
        <v>152.23954167722536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8.6</v>
      </c>
      <c r="N54" s="14">
        <f>IF('Données projet'!$A$36&gt;35,N53+M54-V53,IF(A54&lt;'Données projet'!$A$36,$K$205^A54,IF(A54='Données projet'!$A$36,'Données projet'!$B$36,N53+M54-V53)))</f>
        <v>223.59999999999997</v>
      </c>
      <c r="O54" s="14">
        <f>N54*VLOOKUP('Données projet'!$B$9,Paramètres!$A$1:$I$89,3,0)*VLOOKUP('Données projet'!$B$9,Paramètres!$A$1:$I$89,5,0)</f>
        <v>195.33696</v>
      </c>
      <c r="P54" s="14">
        <f t="shared" si="33"/>
        <v>48.717969863105488</v>
      </c>
      <c r="Q54" s="22">
        <f t="shared" si="53"/>
        <v>425.06233617824205</v>
      </c>
      <c r="R54" s="62">
        <f t="shared" si="0"/>
        <v>718.39566951157531</v>
      </c>
      <c r="S54" s="62">
        <f ca="1">AVERAGE(OFFSET($R$3,0,0,'Données projet'!$E$9+1,1))-AVERAGE(OFFSET($H$3,0,0,'Données projet'!$E$9+1,1))</f>
        <v>303.33040062722074</v>
      </c>
      <c r="T54" s="62">
        <f t="shared" si="34"/>
        <v>425.30058672361548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18.903554455436311</v>
      </c>
      <c r="AB54" s="23">
        <f>EXP(-LN(2)/2)*AB53+(1-EXP(-LN(2)/2))/(LN(2)/2)*V54*Y54*VLOOKUP('Données projet'!$B$9,Paramètres!$A$1:$I$89,3,0)*0.475*44/12</f>
        <v>1.1246035676710429E-2</v>
      </c>
      <c r="AC54" s="24">
        <f t="shared" si="3"/>
        <v>18.91480049111302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622.1950174513513</v>
      </c>
      <c r="AN54" s="62">
        <f ca="1">AVERAGE(OFFSET($AM$3,0,0,'Données projet'!$E$10+1,1))-AVERAGE(OFFSET($H$3,0,0,'Données projet'!$E$10+1,1))</f>
        <v>371.75294069149942</v>
      </c>
      <c r="AO54" s="62">
        <f t="shared" si="36"/>
        <v>233.32640143610547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1.5077528318727054</v>
      </c>
      <c r="AW54" s="23">
        <f>EXP(-LN(2)/2)*AW53+(1-EXP(-LN(2)/2))/(LN(2)/2)*AQ54*AT54*VLOOKUP('Données projet'!$B$10,Paramètres!$A$1:$I$89,3,0)*0.475*44/12</f>
        <v>8.665812046489035E-3</v>
      </c>
      <c r="AX54" s="23">
        <f t="shared" si="6"/>
        <v>1.5164186439191945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15.4</v>
      </c>
      <c r="BD54" s="13">
        <f>IF('Données projet'!$A$88&gt;35,BD53+BC54-BL53,IF(A54&lt;'Données projet'!$A$88,$BA$205^A54,IF(A54='Données projet'!$A$88,'Données projet'!$B$88,BD53+BC54-BL53)))</f>
        <v>677.39999999999952</v>
      </c>
      <c r="BE54" s="14">
        <f>BD54*VLOOKUP('Données projet'!$B$11,Paramètres!$A$1:$I$89,3,0)*VLOOKUP('Données projet'!$B$11,Paramètres!$A$1:$I$89,5,0)</f>
        <v>378.66659999999979</v>
      </c>
      <c r="BF54" s="14">
        <f t="shared" si="37"/>
        <v>87.437946637883755</v>
      </c>
      <c r="BG54" s="22">
        <f t="shared" si="7"/>
        <v>811.79875206098052</v>
      </c>
      <c r="BH54" s="62">
        <f t="shared" si="8"/>
        <v>1105.1320853943139</v>
      </c>
      <c r="BI54" s="62">
        <f ca="1">AVERAGE(OFFSET($BH$3,0,0,'Données projet'!$E$11+1,1))-AVERAGE(OFFSET($H$3,0,0,'Données projet'!$E$11+1,1))</f>
        <v>555.15881087162279</v>
      </c>
      <c r="BJ54" s="62">
        <f t="shared" si="38"/>
        <v>668.20427590250733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18.907004714564508</v>
      </c>
      <c r="BQ54" s="23">
        <f>EXP(-LN(2)/25)*BQ53+(1-EXP(-LN(2)/25))/(LN(2)/25)*Calculateur!BL54*Calculateur!BN54*VLOOKUP('Données projet'!$B$11,Paramètres!$A$1:$I$89,3,0)*0.475*44/12</f>
        <v>12.642094838167905</v>
      </c>
      <c r="BR54" s="23">
        <f>EXP(-LN(2)/2)*BR53+(1-EXP(-LN(2)/2))/(LN(2)/2)*BL54*BO54*VLOOKUP('Données projet'!$B$11,Paramètres!$A$1:$I$89,3,0)*0.475*44/12</f>
        <v>9.5512554405859373E-3</v>
      </c>
      <c r="BS54" s="24">
        <f t="shared" si="9"/>
        <v>31.558650808172999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107.15015999999994</v>
      </c>
      <c r="CA54" s="14">
        <f t="shared" si="39"/>
        <v>28.658517723314318</v>
      </c>
      <c r="CB54" s="22">
        <f t="shared" si="10"/>
        <v>236.53344703477231</v>
      </c>
      <c r="CC54" s="62">
        <f t="shared" si="11"/>
        <v>529.86678036810565</v>
      </c>
      <c r="CD54" s="62">
        <f ca="1">AVERAGE(OFFSET($CC$3,0,0,'Données projet'!$E$12+1,1))-AVERAGE(OFFSET($H$3,0,0,'Données projet'!$E$12+1,1))</f>
        <v>293.996396026019</v>
      </c>
      <c r="CE54" s="62">
        <f t="shared" si="40"/>
        <v>152.23954167722536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8.6</v>
      </c>
      <c r="N55" s="14">
        <f>IF('Données projet'!$A$36&gt;35,N54+M55-V54,IF(A55&lt;'Données projet'!$A$36,$K$205^A55,IF(A55='Données projet'!$A$36,'Données projet'!$B$36,N54+M55-V54)))</f>
        <v>232.19999999999996</v>
      </c>
      <c r="O55" s="14">
        <f>N55*VLOOKUP('Données projet'!$B$9,Paramètres!$A$1:$I$89,3,0)*VLOOKUP('Données projet'!$B$9,Paramètres!$A$1:$I$89,5,0)</f>
        <v>202.84991999999997</v>
      </c>
      <c r="P55" s="14">
        <f t="shared" si="33"/>
        <v>50.369977187686075</v>
      </c>
      <c r="Q55" s="22">
        <f t="shared" si="53"/>
        <v>441.02465426855321</v>
      </c>
      <c r="R55" s="62">
        <f t="shared" si="0"/>
        <v>734.35798760188652</v>
      </c>
      <c r="S55" s="62">
        <f ca="1">AVERAGE(OFFSET($R$3,0,0,'Données projet'!$E$9+1,1))-AVERAGE(OFFSET($H$3,0,0,'Données projet'!$E$9+1,1))</f>
        <v>303.33040062722074</v>
      </c>
      <c r="T55" s="62">
        <f t="shared" si="34"/>
        <v>425.30058672361548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18.386635764757681</v>
      </c>
      <c r="AB55" s="23">
        <f>EXP(-LN(2)/2)*AB54+(1-EXP(-LN(2)/2))/(LN(2)/2)*V55*Y55*VLOOKUP('Données projet'!$B$9,Paramètres!$A$1:$I$89,3,0)*0.475*44/12</f>
        <v>7.9521480884677878E-3</v>
      </c>
      <c r="AC55" s="24">
        <f t="shared" si="3"/>
        <v>18.394587912846148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637.65852502095504</v>
      </c>
      <c r="AN55" s="62">
        <f ca="1">AVERAGE(OFFSET($AM$3,0,0,'Données projet'!$E$10+1,1))-AVERAGE(OFFSET($H$3,0,0,'Données projet'!$E$10+1,1))</f>
        <v>371.75294069149942</v>
      </c>
      <c r="AO55" s="62">
        <f t="shared" si="36"/>
        <v>233.32640143610547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1.4665232513958708</v>
      </c>
      <c r="AW55" s="23">
        <f>EXP(-LN(2)/2)*AW54+(1-EXP(-LN(2)/2))/(LN(2)/2)*AQ55*AT55*VLOOKUP('Données projet'!$B$10,Paramètres!$A$1:$I$89,3,0)*0.475*44/12</f>
        <v>6.1276544625604697E-3</v>
      </c>
      <c r="AX55" s="23">
        <f t="shared" si="6"/>
        <v>1.4726509058584312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15.4</v>
      </c>
      <c r="BD55" s="13">
        <f>IF('Données projet'!$A$88&gt;35,BD54+BC55-BL54,IF(A55&lt;'Données projet'!$A$88,$BA$205^A55,IF(A55='Données projet'!$A$88,'Données projet'!$B$88,BD54+BC55-BL54)))</f>
        <v>692.7999999999995</v>
      </c>
      <c r="BE55" s="14">
        <f>BD55*VLOOKUP('Données projet'!$B$11,Paramètres!$A$1:$I$89,3,0)*VLOOKUP('Données projet'!$B$11,Paramètres!$A$1:$I$89,5,0)</f>
        <v>387.2751999999997</v>
      </c>
      <c r="BF55" s="14">
        <f t="shared" si="37"/>
        <v>89.192073473767834</v>
      </c>
      <c r="BG55" s="22">
        <f t="shared" si="7"/>
        <v>829.84716796681175</v>
      </c>
      <c r="BH55" s="62">
        <f t="shared" si="8"/>
        <v>1123.1805013001451</v>
      </c>
      <c r="BI55" s="62">
        <f ca="1">AVERAGE(OFFSET($BH$3,0,0,'Données projet'!$E$11+1,1))-AVERAGE(OFFSET($H$3,0,0,'Données projet'!$E$11+1,1))</f>
        <v>555.15881087162279</v>
      </c>
      <c r="BJ55" s="62">
        <f t="shared" si="38"/>
        <v>668.20427590250733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18.536249884246072</v>
      </c>
      <c r="BQ55" s="23">
        <f>EXP(-LN(2)/25)*BQ54+(1-EXP(-LN(2)/25))/(LN(2)/25)*Calculateur!BL55*Calculateur!BN55*VLOOKUP('Données projet'!$B$11,Paramètres!$A$1:$I$89,3,0)*0.475*44/12</f>
        <v>12.29639608999933</v>
      </c>
      <c r="BR55" s="23">
        <f>EXP(-LN(2)/2)*BR54+(1-EXP(-LN(2)/2))/(LN(2)/2)*BL55*BO55*VLOOKUP('Données projet'!$B$11,Paramètres!$A$1:$I$89,3,0)*0.475*44/12</f>
        <v>6.7537574908832221E-3</v>
      </c>
      <c r="BS55" s="24">
        <f t="shared" si="9"/>
        <v>30.839399731736286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112.47911999999994</v>
      </c>
      <c r="CA55" s="14">
        <f t="shared" si="39"/>
        <v>29.914324778874605</v>
      </c>
      <c r="CB55" s="22">
        <f t="shared" si="10"/>
        <v>248.00191632320647</v>
      </c>
      <c r="CC55" s="62">
        <f t="shared" si="11"/>
        <v>541.33524965653976</v>
      </c>
      <c r="CD55" s="62">
        <f ca="1">AVERAGE(OFFSET($CC$3,0,0,'Données projet'!$E$12+1,1))-AVERAGE(OFFSET($H$3,0,0,'Données projet'!$E$12+1,1))</f>
        <v>293.996396026019</v>
      </c>
      <c r="CE55" s="62">
        <f t="shared" si="40"/>
        <v>152.23954167722536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8.6</v>
      </c>
      <c r="N56" s="14">
        <f>IF('Données projet'!$A$36&gt;35,N55+M56-V55,IF(A56&lt;'Données projet'!$A$36,$K$205^A56,IF(A56='Données projet'!$A$36,'Données projet'!$B$36,N55+M56-V55)))</f>
        <v>240.79999999999995</v>
      </c>
      <c r="O56" s="14">
        <f>N56*VLOOKUP('Données projet'!$B$9,Paramètres!$A$1:$I$89,3,0)*VLOOKUP('Données projet'!$B$9,Paramètres!$A$1:$I$89,5,0)</f>
        <v>210.36287999999999</v>
      </c>
      <c r="P56" s="14">
        <f t="shared" si="33"/>
        <v>52.014876138342963</v>
      </c>
      <c r="Q56" s="22">
        <f t="shared" si="53"/>
        <v>456.97459194094722</v>
      </c>
      <c r="R56" s="62">
        <f t="shared" si="0"/>
        <v>750.30792527428048</v>
      </c>
      <c r="S56" s="62">
        <f ca="1">AVERAGE(OFFSET($R$3,0,0,'Données projet'!$E$9+1,1))-AVERAGE(OFFSET($H$3,0,0,'Données projet'!$E$9+1,1))</f>
        <v>303.33040062722074</v>
      </c>
      <c r="T56" s="62">
        <f t="shared" si="34"/>
        <v>425.30058672361548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17.883852242859231</v>
      </c>
      <c r="AB56" s="23">
        <f>EXP(-LN(2)/2)*AB55+(1-EXP(-LN(2)/2))/(LN(2)/2)*V56*Y56*VLOOKUP('Données projet'!$B$9,Paramètres!$A$1:$I$89,3,0)*0.475*44/12</f>
        <v>5.6230178383552144E-3</v>
      </c>
      <c r="AC56" s="24">
        <f t="shared" si="3"/>
        <v>17.889475260697587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653.10677986901817</v>
      </c>
      <c r="AN56" s="62">
        <f ca="1">AVERAGE(OFFSET($AM$3,0,0,'Données projet'!$E$10+1,1))-AVERAGE(OFFSET($H$3,0,0,'Données projet'!$E$10+1,1))</f>
        <v>371.75294069149942</v>
      </c>
      <c r="AO56" s="62">
        <f t="shared" si="36"/>
        <v>233.32640143610547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1.4264210959653447</v>
      </c>
      <c r="AW56" s="23">
        <f>EXP(-LN(2)/2)*AW55+(1-EXP(-LN(2)/2))/(LN(2)/2)*AQ56*AT56*VLOOKUP('Données projet'!$B$10,Paramètres!$A$1:$I$89,3,0)*0.475*44/12</f>
        <v>4.3329060232445175E-3</v>
      </c>
      <c r="AX56" s="23">
        <f t="shared" si="6"/>
        <v>1.4307540019885892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15.4</v>
      </c>
      <c r="BD56" s="13">
        <f>IF('Données projet'!$A$88&gt;35,BD55+BC56-BL55,IF(A56&lt;'Données projet'!$A$88,$BA$205^A56,IF(A56='Données projet'!$A$88,'Données projet'!$B$88,BD55+BC56-BL55)))</f>
        <v>708.19999999999948</v>
      </c>
      <c r="BE56" s="14">
        <f>BD56*VLOOKUP('Données projet'!$B$11,Paramètres!$A$1:$I$89,3,0)*VLOOKUP('Données projet'!$B$11,Paramètres!$A$1:$I$89,5,0)</f>
        <v>395.88379999999972</v>
      </c>
      <c r="BF56" s="14">
        <f t="shared" si="37"/>
        <v>90.941667130422957</v>
      </c>
      <c r="BG56" s="22">
        <f t="shared" si="7"/>
        <v>847.8876885854861</v>
      </c>
      <c r="BH56" s="62">
        <f t="shared" si="8"/>
        <v>1141.2210219188194</v>
      </c>
      <c r="BI56" s="62">
        <f ca="1">AVERAGE(OFFSET($BH$3,0,0,'Données projet'!$E$11+1,1))-AVERAGE(OFFSET($H$3,0,0,'Données projet'!$E$11+1,1))</f>
        <v>555.15881087162279</v>
      </c>
      <c r="BJ56" s="62">
        <f t="shared" si="38"/>
        <v>668.20427590250733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18.172765330012062</v>
      </c>
      <c r="BQ56" s="23">
        <f>EXP(-LN(2)/25)*BQ55+(1-EXP(-LN(2)/25))/(LN(2)/25)*Calculateur!BL56*Calculateur!BN56*VLOOKUP('Données projet'!$B$11,Paramètres!$A$1:$I$89,3,0)*0.475*44/12</f>
        <v>11.960150492278933</v>
      </c>
      <c r="BR56" s="23">
        <f>EXP(-LN(2)/2)*BR55+(1-EXP(-LN(2)/2))/(LN(2)/2)*BL56*BO56*VLOOKUP('Données projet'!$B$11,Paramètres!$A$1:$I$89,3,0)*0.475*44/12</f>
        <v>4.7756277202929687E-3</v>
      </c>
      <c r="BS56" s="24">
        <f t="shared" si="9"/>
        <v>30.137691450011289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117.80807999999993</v>
      </c>
      <c r="CA56" s="14">
        <f t="shared" si="39"/>
        <v>31.163222740883338</v>
      </c>
      <c r="CB56" s="22">
        <f t="shared" si="10"/>
        <v>259.45835227370497</v>
      </c>
      <c r="CC56" s="62">
        <f t="shared" si="11"/>
        <v>552.79168560703829</v>
      </c>
      <c r="CD56" s="62">
        <f ca="1">AVERAGE(OFFSET($CC$3,0,0,'Données projet'!$E$12+1,1))-AVERAGE(OFFSET($H$3,0,0,'Données projet'!$E$12+1,1))</f>
        <v>293.996396026019</v>
      </c>
      <c r="CE56" s="62">
        <f t="shared" si="40"/>
        <v>152.23954167722536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8.6</v>
      </c>
      <c r="N57" s="14">
        <f>IF('Données projet'!$A$36&gt;35,N56+M57-V56,IF(A57&lt;'Données projet'!$A$36,$K$205^A57,IF(A57='Données projet'!$A$36,'Données projet'!$B$36,N56+M57-V56)))</f>
        <v>249.39999999999995</v>
      </c>
      <c r="O57" s="14">
        <f>N57*VLOOKUP('Données projet'!$B$9,Paramètres!$A$1:$I$89,3,0)*VLOOKUP('Données projet'!$B$9,Paramètres!$A$1:$I$89,5,0)</f>
        <v>217.87583999999998</v>
      </c>
      <c r="P57" s="14">
        <f t="shared" si="33"/>
        <v>53.652949670124926</v>
      </c>
      <c r="Q57" s="22">
        <f t="shared" si="53"/>
        <v>472.9126420088009</v>
      </c>
      <c r="R57" s="62">
        <f t="shared" si="0"/>
        <v>766.24597534213422</v>
      </c>
      <c r="S57" s="62">
        <f ca="1">AVERAGE(OFFSET($R$3,0,0,'Données projet'!$E$9+1,1))-AVERAGE(OFFSET($H$3,0,0,'Données projet'!$E$9+1,1))</f>
        <v>303.33040062722074</v>
      </c>
      <c r="T57" s="62">
        <f t="shared" si="34"/>
        <v>425.30058672361548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17.394817362807331</v>
      </c>
      <c r="AB57" s="23">
        <f>EXP(-LN(2)/2)*AB56+(1-EXP(-LN(2)/2))/(LN(2)/2)*V57*Y57*VLOOKUP('Données projet'!$B$9,Paramètres!$A$1:$I$89,3,0)*0.475*44/12</f>
        <v>3.9760740442338939E-3</v>
      </c>
      <c r="AC57" s="24">
        <f t="shared" si="3"/>
        <v>17.398793436851566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668.54052906480672</v>
      </c>
      <c r="AN57" s="62">
        <f ca="1">AVERAGE(OFFSET($AM$3,0,0,'Données projet'!$E$10+1,1))-AVERAGE(OFFSET($H$3,0,0,'Données projet'!$E$10+1,1))</f>
        <v>371.75294069149942</v>
      </c>
      <c r="AO57" s="62">
        <f t="shared" si="36"/>
        <v>233.32640143610547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1.3874155360839471</v>
      </c>
      <c r="AW57" s="23">
        <f>EXP(-LN(2)/2)*AW56+(1-EXP(-LN(2)/2))/(LN(2)/2)*AQ57*AT57*VLOOKUP('Données projet'!$B$10,Paramètres!$A$1:$I$89,3,0)*0.475*44/12</f>
        <v>3.0638272312802349E-3</v>
      </c>
      <c r="AX57" s="23">
        <f t="shared" si="6"/>
        <v>1.3904793633152273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15.4</v>
      </c>
      <c r="BD57" s="13">
        <f>IF('Données projet'!$A$88&gt;35,BD56+BC57-BL56,IF(A57&lt;'Données projet'!$A$88,$BA$205^A57,IF(A57='Données projet'!$A$88,'Données projet'!$B$88,BD56+BC57-BL56)))</f>
        <v>723.59999999999945</v>
      </c>
      <c r="BE57" s="14">
        <f>BD57*VLOOKUP('Données projet'!$B$11,Paramètres!$A$1:$I$89,3,0)*VLOOKUP('Données projet'!$B$11,Paramètres!$A$1:$I$89,5,0)</f>
        <v>404.49239999999969</v>
      </c>
      <c r="BF57" s="14">
        <f t="shared" si="37"/>
        <v>92.686837535548761</v>
      </c>
      <c r="BG57" s="22">
        <f t="shared" si="7"/>
        <v>865.92050537441344</v>
      </c>
      <c r="BH57" s="62">
        <f t="shared" si="8"/>
        <v>1159.2538387077468</v>
      </c>
      <c r="BI57" s="62">
        <f ca="1">AVERAGE(OFFSET($BH$3,0,0,'Données projet'!$E$11+1,1))-AVERAGE(OFFSET($H$3,0,0,'Données projet'!$E$11+1,1))</f>
        <v>555.15881087162279</v>
      </c>
      <c r="BJ57" s="62">
        <f t="shared" si="38"/>
        <v>668.20427590250733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17.816408486182894</v>
      </c>
      <c r="BQ57" s="23">
        <f>EXP(-LN(2)/25)*BQ56+(1-EXP(-LN(2)/25))/(LN(2)/25)*Calculateur!BL57*Calculateur!BN57*VLOOKUP('Données projet'!$B$11,Paramètres!$A$1:$I$89,3,0)*0.475*44/12</f>
        <v>11.633099548110586</v>
      </c>
      <c r="BR57" s="23">
        <f>EXP(-LN(2)/2)*BR56+(1-EXP(-LN(2)/2))/(LN(2)/2)*BL57*BO57*VLOOKUP('Données projet'!$B$11,Paramètres!$A$1:$I$89,3,0)*0.475*44/12</f>
        <v>3.376878745441611E-3</v>
      </c>
      <c r="BS57" s="24">
        <f t="shared" si="9"/>
        <v>29.452884913038922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123.13703999999996</v>
      </c>
      <c r="CA57" s="14">
        <f t="shared" si="39"/>
        <v>32.40555984092714</v>
      </c>
      <c r="CB57" s="22">
        <f t="shared" si="10"/>
        <v>270.9033613896147</v>
      </c>
      <c r="CC57" s="62">
        <f t="shared" si="11"/>
        <v>564.23669472294796</v>
      </c>
      <c r="CD57" s="62">
        <f ca="1">AVERAGE(OFFSET($CC$3,0,0,'Données projet'!$E$12+1,1))-AVERAGE(OFFSET($H$3,0,0,'Données projet'!$E$12+1,1))</f>
        <v>293.996396026019</v>
      </c>
      <c r="CE57" s="62">
        <f t="shared" si="40"/>
        <v>152.23954167722536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258</v>
      </c>
      <c r="L58" s="13">
        <f>VLOOKUP(A58,'Données projet'!$A$35:$I$55,9,0)</f>
        <v>8.6</v>
      </c>
      <c r="M58" s="13">
        <f t="array" ref="M58">INDEX(L:L,MIN(IF(ISNUMBER(L58:L254),ROW(L58:L254),"")))</f>
        <v>8.6</v>
      </c>
      <c r="N58" s="14">
        <f>IF('Données projet'!$A$36&gt;35,N57+M58-V57,IF(A58&lt;'Données projet'!$A$36,$K$205^A58,IF(A58='Données projet'!$A$36,'Données projet'!$B$36,N57+M58-V57)))</f>
        <v>257.99999999999994</v>
      </c>
      <c r="O58" s="14">
        <f>N58*VLOOKUP('Données projet'!$B$9,Paramètres!$A$1:$I$89,3,0)*VLOOKUP('Données projet'!$B$9,Paramètres!$A$1:$I$89,5,0)</f>
        <v>225.3888</v>
      </c>
      <c r="P58" s="14">
        <f t="shared" si="33"/>
        <v>55.284460117161593</v>
      </c>
      <c r="Q58" s="22">
        <f t="shared" si="53"/>
        <v>488.83926137072308</v>
      </c>
      <c r="R58" s="62">
        <f t="shared" si="0"/>
        <v>782.17259470405634</v>
      </c>
      <c r="S58" s="62">
        <f ca="1">AVERAGE(OFFSET($R$3,0,0,'Données projet'!$E$9+1,1))-AVERAGE(OFFSET($H$3,0,0,'Données projet'!$E$9+1,1))</f>
        <v>303.33040062722074</v>
      </c>
      <c r="T58" s="62">
        <f t="shared" si="34"/>
        <v>425.30058672361548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258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16.919155167267675</v>
      </c>
      <c r="AB58" s="23">
        <f>EXP(-LN(2)/2)*AB57+(1-EXP(-LN(2)/2))/(LN(2)/2)*V58*Y58*VLOOKUP('Données projet'!$B$9,Paramètres!$A$1:$I$89,3,0)*0.475*44/12</f>
        <v>2.8115089191776072E-3</v>
      </c>
      <c r="AC58" s="24">
        <f t="shared" si="3"/>
        <v>16.921966676186852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683.96045320765336</v>
      </c>
      <c r="AN58" s="62">
        <f ca="1">AVERAGE(OFFSET($AM$3,0,0,'Données projet'!$E$10+1,1))-AVERAGE(OFFSET($H$3,0,0,'Données projet'!$E$10+1,1))</f>
        <v>371.75294069149942</v>
      </c>
      <c r="AO58" s="62">
        <f t="shared" si="36"/>
        <v>233.32640143610547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1.3494765852887194</v>
      </c>
      <c r="AW58" s="23">
        <f>EXP(-LN(2)/2)*AW57+(1-EXP(-LN(2)/2))/(LN(2)/2)*AQ58*AT58*VLOOKUP('Données projet'!$B$10,Paramètres!$A$1:$I$89,3,0)*0.475*44/12</f>
        <v>2.1664530116222588E-3</v>
      </c>
      <c r="AX58" s="23">
        <f t="shared" si="6"/>
        <v>1.3516430383003417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739</v>
      </c>
      <c r="BB58" s="13">
        <f>VLOOKUP(A58,'Données projet'!$A$87:$I$107,9,0)</f>
        <v>15.4</v>
      </c>
      <c r="BC58" s="13">
        <f t="array" ref="BC58">INDEX(BB:BB,MIN(IF(ISNUMBER(BB58:BB254),ROW(BB58:BB254),"")))</f>
        <v>15.4</v>
      </c>
      <c r="BD58" s="13">
        <f>IF('Données projet'!$A$88&gt;35,BD57+BC58-BL57,IF(A58&lt;'Données projet'!$A$88,$BA$205^A58,IF(A58='Données projet'!$A$88,'Données projet'!$B$88,BD57+BC58-BL57)))</f>
        <v>738.99999999999943</v>
      </c>
      <c r="BE58" s="14">
        <f>BD58*VLOOKUP('Données projet'!$B$11,Paramètres!$A$1:$I$89,3,0)*VLOOKUP('Données projet'!$B$11,Paramètres!$A$1:$I$89,5,0)</f>
        <v>413.10099999999971</v>
      </c>
      <c r="BF58" s="14">
        <f t="shared" si="37"/>
        <v>94.427689670462271</v>
      </c>
      <c r="BG58" s="22">
        <f t="shared" si="7"/>
        <v>883.94580117605472</v>
      </c>
      <c r="BH58" s="62">
        <f t="shared" si="8"/>
        <v>1177.2791345093881</v>
      </c>
      <c r="BI58" s="62">
        <f ca="1">AVERAGE(OFFSET($BH$3,0,0,'Données projet'!$E$11+1,1))-AVERAGE(OFFSET($H$3,0,0,'Données projet'!$E$11+1,1))</f>
        <v>555.15881087162279</v>
      </c>
      <c r="BJ58" s="62">
        <f t="shared" si="38"/>
        <v>668.20427590250733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46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17.467039582705002</v>
      </c>
      <c r="BQ58" s="23">
        <f>EXP(-LN(2)/25)*BQ57+(1-EXP(-LN(2)/25))/(LN(2)/25)*Calculateur!BL58*Calculateur!BN58*VLOOKUP('Données projet'!$B$11,Paramètres!$A$1:$I$89,3,0)*0.475*44/12</f>
        <v>11.314991829209385</v>
      </c>
      <c r="BR58" s="23">
        <f>EXP(-LN(2)/2)*BR57+(1-EXP(-LN(2)/2))/(LN(2)/2)*BL58*BO58*VLOOKUP('Données projet'!$B$11,Paramètres!$A$1:$I$89,3,0)*0.475*44/12</f>
        <v>2.3878138601464843E-3</v>
      </c>
      <c r="BS58" s="24">
        <f t="shared" si="9"/>
        <v>28.784419225774535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128.46599999999995</v>
      </c>
      <c r="CA58" s="14">
        <f t="shared" si="39"/>
        <v>33.64165246545825</v>
      </c>
      <c r="CB58" s="22">
        <f t="shared" si="10"/>
        <v>282.33749471067301</v>
      </c>
      <c r="CC58" s="62">
        <f t="shared" si="11"/>
        <v>575.67082804400638</v>
      </c>
      <c r="CD58" s="62">
        <f ca="1">AVERAGE(OFFSET($CC$3,0,0,'Données projet'!$E$12+1,1))-AVERAGE(OFFSET($H$3,0,0,'Données projet'!$E$12+1,1))</f>
        <v>293.996396026019</v>
      </c>
      <c r="CE58" s="62">
        <f t="shared" si="40"/>
        <v>152.23954167722536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-4.9658410716801891E-14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303.33040062722074</v>
      </c>
      <c r="T59" s="62">
        <f t="shared" si="34"/>
        <v>425.30058672361548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16.456499979479041</v>
      </c>
      <c r="AB59" s="23">
        <f>EXP(-LN(2)/2)*AB58+(1-EXP(-LN(2)/2))/(LN(2)/2)*V59*Y59*VLOOKUP('Données projet'!$B$9,Paramètres!$A$1:$I$89,3,0)*0.475*44/12</f>
        <v>1.988037022116947E-3</v>
      </c>
      <c r="AC59" s="24">
        <f t="shared" si="3"/>
        <v>16.458488016501157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657.73839554893721</v>
      </c>
      <c r="AN59" s="62">
        <f ca="1">AVERAGE(OFFSET($AM$3,0,0,'Données projet'!$E$10+1,1))-AVERAGE(OFFSET($H$3,0,0,'Données projet'!$E$10+1,1))</f>
        <v>371.75294069149942</v>
      </c>
      <c r="AO59" s="62">
        <f t="shared" si="36"/>
        <v>233.32640143610547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1.3125750770981099</v>
      </c>
      <c r="AW59" s="23">
        <f>EXP(-LN(2)/2)*AW58+(1-EXP(-LN(2)/2))/(LN(2)/2)*AQ59*AT59*VLOOKUP('Données projet'!$B$10,Paramètres!$A$1:$I$89,3,0)*0.475*44/12</f>
        <v>1.5319136156401174E-3</v>
      </c>
      <c r="AX59" s="23">
        <f t="shared" si="6"/>
        <v>1.3141069907137501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12.2</v>
      </c>
      <c r="BD59" s="13">
        <f>IF('Données projet'!$A$88&gt;35,BD58+BC59-BL58,IF(A59&lt;'Données projet'!$A$88,$BA$205^A59,IF(A59='Données projet'!$A$88,'Données projet'!$B$88,BD58+BC59-BL58)))</f>
        <v>705.19999999999948</v>
      </c>
      <c r="BE59" s="14">
        <f>BD59*VLOOKUP('Données projet'!$B$11,Paramètres!$A$1:$I$89,3,0)*VLOOKUP('Données projet'!$B$11,Paramètres!$A$1:$I$89,5,0)</f>
        <v>394.2067999999997</v>
      </c>
      <c r="BF59" s="14">
        <f t="shared" si="37"/>
        <v>90.601187466199292</v>
      </c>
      <c r="BG59" s="22">
        <f t="shared" si="7"/>
        <v>844.37391150362998</v>
      </c>
      <c r="BH59" s="62">
        <f t="shared" si="8"/>
        <v>1137.7072448369634</v>
      </c>
      <c r="BI59" s="62">
        <f ca="1">AVERAGE(OFFSET($BH$3,0,0,'Données projet'!$E$11+1,1))-AVERAGE(OFFSET($H$3,0,0,'Données projet'!$E$11+1,1))</f>
        <v>555.15881087162279</v>
      </c>
      <c r="BJ59" s="62">
        <f t="shared" si="38"/>
        <v>668.20427590250733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17.124521590330325</v>
      </c>
      <c r="BQ59" s="23">
        <f>EXP(-LN(2)/25)*BQ58+(1-EXP(-LN(2)/25))/(LN(2)/25)*Calculateur!BL59*Calculateur!BN59*VLOOKUP('Données projet'!$B$11,Paramètres!$A$1:$I$89,3,0)*0.475*44/12</f>
        <v>11.005582782610094</v>
      </c>
      <c r="BR59" s="23">
        <f>EXP(-LN(2)/2)*BR58+(1-EXP(-LN(2)/2))/(LN(2)/2)*BL59*BO59*VLOOKUP('Données projet'!$B$11,Paramètres!$A$1:$I$89,3,0)*0.475*44/12</f>
        <v>1.6884393727208055E-3</v>
      </c>
      <c r="BS59" s="24">
        <f t="shared" si="9"/>
        <v>28.13179281231314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120.47255999999993</v>
      </c>
      <c r="CA59" s="14">
        <f t="shared" si="39"/>
        <v>31.785190929970177</v>
      </c>
      <c r="CB59" s="22">
        <f t="shared" si="10"/>
        <v>265.18224953636462</v>
      </c>
      <c r="CC59" s="62">
        <f t="shared" si="11"/>
        <v>558.51558286969794</v>
      </c>
      <c r="CD59" s="62">
        <f ca="1">AVERAGE(OFFSET($CC$3,0,0,'Données projet'!$E$12+1,1))-AVERAGE(OFFSET($H$3,0,0,'Données projet'!$E$12+1,1))</f>
        <v>293.996396026019</v>
      </c>
      <c r="CE59" s="62">
        <f t="shared" si="40"/>
        <v>152.23954167722536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-4.9658410716801891E-14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303.33040062722074</v>
      </c>
      <c r="T60" s="62">
        <f t="shared" si="34"/>
        <v>425.30058672361548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16.006496122130464</v>
      </c>
      <c r="AB60" s="23">
        <f>EXP(-LN(2)/2)*AB59+(1-EXP(-LN(2)/2))/(LN(2)/2)*V60*Y60*VLOOKUP('Données projet'!$B$9,Paramètres!$A$1:$I$89,3,0)*0.475*44/12</f>
        <v>1.4057544595888036E-3</v>
      </c>
      <c r="AC60" s="24">
        <f t="shared" si="3"/>
        <v>16.007901876590054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672.01119434243128</v>
      </c>
      <c r="AN60" s="62">
        <f ca="1">AVERAGE(OFFSET($AM$3,0,0,'Données projet'!$E$10+1,1))-AVERAGE(OFFSET($H$3,0,0,'Données projet'!$E$10+1,1))</f>
        <v>371.75294069149942</v>
      </c>
      <c r="AO60" s="62">
        <f t="shared" si="36"/>
        <v>233.32640143610547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1.2766826425895388</v>
      </c>
      <c r="AW60" s="23">
        <f>EXP(-LN(2)/2)*AW59+(1-EXP(-LN(2)/2))/(LN(2)/2)*AQ60*AT60*VLOOKUP('Données projet'!$B$10,Paramètres!$A$1:$I$89,3,0)*0.475*44/12</f>
        <v>1.0832265058111294E-3</v>
      </c>
      <c r="AX60" s="23">
        <f t="shared" si="6"/>
        <v>1.2777658690953499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12.2</v>
      </c>
      <c r="BD60" s="13">
        <f>IF('Données projet'!$A$88&gt;35,BD59+BC60-BL59,IF(A60&lt;'Données projet'!$A$88,$BA$205^A60,IF(A60='Données projet'!$A$88,'Données projet'!$B$88,BD59+BC60-BL59)))</f>
        <v>717.39999999999952</v>
      </c>
      <c r="BE60" s="14">
        <f>BD60*VLOOKUP('Données projet'!$B$11,Paramètres!$A$1:$I$89,3,0)*VLOOKUP('Données projet'!$B$11,Paramètres!$A$1:$I$89,5,0)</f>
        <v>401.02659999999975</v>
      </c>
      <c r="BF60" s="14">
        <f t="shared" si="37"/>
        <v>91.984761558101539</v>
      </c>
      <c r="BG60" s="22">
        <f t="shared" si="7"/>
        <v>858.66145471369293</v>
      </c>
      <c r="BH60" s="62">
        <f t="shared" si="8"/>
        <v>1151.9947880470263</v>
      </c>
      <c r="BI60" s="62">
        <f ca="1">AVERAGE(OFFSET($BH$3,0,0,'Données projet'!$E$11+1,1))-AVERAGE(OFFSET($H$3,0,0,'Données projet'!$E$11+1,1))</f>
        <v>555.15881087162279</v>
      </c>
      <c r="BJ60" s="62">
        <f t="shared" si="38"/>
        <v>668.20427590250733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16.788720166870768</v>
      </c>
      <c r="BQ60" s="23">
        <f>EXP(-LN(2)/25)*BQ59+(1-EXP(-LN(2)/25))/(LN(2)/25)*Calculateur!BL60*Calculateur!BN60*VLOOKUP('Données projet'!$B$11,Paramètres!$A$1:$I$89,3,0)*0.475*44/12</f>
        <v>10.704634542661177</v>
      </c>
      <c r="BR60" s="23">
        <f>EXP(-LN(2)/2)*BR59+(1-EXP(-LN(2)/2))/(LN(2)/2)*BL60*BO60*VLOOKUP('Données projet'!$B$11,Paramètres!$A$1:$I$89,3,0)*0.475*44/12</f>
        <v>1.1939069300732422E-3</v>
      </c>
      <c r="BS60" s="24">
        <f t="shared" si="9"/>
        <v>27.494548616462016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125.80151999999993</v>
      </c>
      <c r="CA60" s="14">
        <f t="shared" si="39"/>
        <v>33.024368065037834</v>
      </c>
      <c r="CB60" s="22">
        <f t="shared" si="10"/>
        <v>276.6217550466074</v>
      </c>
      <c r="CC60" s="62">
        <f t="shared" si="11"/>
        <v>569.95508837994066</v>
      </c>
      <c r="CD60" s="62">
        <f ca="1">AVERAGE(OFFSET($CC$3,0,0,'Données projet'!$E$12+1,1))-AVERAGE(OFFSET($H$3,0,0,'Données projet'!$E$12+1,1))</f>
        <v>293.996396026019</v>
      </c>
      <c r="CE60" s="62">
        <f t="shared" si="40"/>
        <v>152.23954167722536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-4.9658410716801891E-14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303.33040062722074</v>
      </c>
      <c r="T61" s="62">
        <f t="shared" si="34"/>
        <v>425.30058672361548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15.568797643925759</v>
      </c>
      <c r="AB61" s="23">
        <f>EXP(-LN(2)/2)*AB60+(1-EXP(-LN(2)/2))/(LN(2)/2)*V61*Y61*VLOOKUP('Données projet'!$B$9,Paramètres!$A$1:$I$89,3,0)*0.475*44/12</f>
        <v>9.9401851105847348E-4</v>
      </c>
      <c r="AC61" s="24">
        <f t="shared" si="3"/>
        <v>15.569791662436817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686.27228859802744</v>
      </c>
      <c r="AN61" s="62">
        <f ca="1">AVERAGE(OFFSET($AM$3,0,0,'Données projet'!$E$10+1,1))-AVERAGE(OFFSET($H$3,0,0,'Données projet'!$E$10+1,1))</f>
        <v>371.75294069149942</v>
      </c>
      <c r="AO61" s="62">
        <f t="shared" si="36"/>
        <v>233.32640143610547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1.2417716885901056</v>
      </c>
      <c r="AW61" s="23">
        <f>EXP(-LN(2)/2)*AW60+(1-EXP(-LN(2)/2))/(LN(2)/2)*AQ61*AT61*VLOOKUP('Données projet'!$B$10,Paramètres!$A$1:$I$89,3,0)*0.475*44/12</f>
        <v>7.6595680782005871E-4</v>
      </c>
      <c r="AX61" s="23">
        <f t="shared" si="6"/>
        <v>1.2425376453979255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12.2</v>
      </c>
      <c r="BD61" s="13">
        <f>IF('Données projet'!$A$88&gt;35,BD60+BC61-BL60,IF(A61&lt;'Données projet'!$A$88,$BA$205^A61,IF(A61='Données projet'!$A$88,'Données projet'!$B$88,BD60+BC61-BL60)))</f>
        <v>729.59999999999957</v>
      </c>
      <c r="BE61" s="14">
        <f>BD61*VLOOKUP('Données projet'!$B$11,Paramètres!$A$1:$I$89,3,0)*VLOOKUP('Données projet'!$B$11,Paramètres!$A$1:$I$89,5,0)</f>
        <v>407.84639999999973</v>
      </c>
      <c r="BF61" s="14">
        <f t="shared" si="37"/>
        <v>93.365599460181741</v>
      </c>
      <c r="BG61" s="22">
        <f t="shared" si="7"/>
        <v>872.94423239314926</v>
      </c>
      <c r="BH61" s="62">
        <f t="shared" si="8"/>
        <v>1166.2775657264826</v>
      </c>
      <c r="BI61" s="62">
        <f ca="1">AVERAGE(OFFSET($BH$3,0,0,'Données projet'!$E$11+1,1))-AVERAGE(OFFSET($H$3,0,0,'Données projet'!$E$11+1,1))</f>
        <v>555.15881087162279</v>
      </c>
      <c r="BJ61" s="62">
        <f t="shared" si="38"/>
        <v>668.20427590250733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16.459503604506608</v>
      </c>
      <c r="BQ61" s="23">
        <f>EXP(-LN(2)/25)*BQ60+(1-EXP(-LN(2)/25))/(LN(2)/25)*Calculateur!BL61*Calculateur!BN61*VLOOKUP('Données projet'!$B$11,Paramètres!$A$1:$I$89,3,0)*0.475*44/12</f>
        <v>10.411915748159842</v>
      </c>
      <c r="BR61" s="23">
        <f>EXP(-LN(2)/2)*BR60+(1-EXP(-LN(2)/2))/(LN(2)/2)*BL61*BO61*VLOOKUP('Données projet'!$B$11,Paramètres!$A$1:$I$89,3,0)*0.475*44/12</f>
        <v>8.4421968636040276E-4</v>
      </c>
      <c r="BS61" s="24">
        <f t="shared" si="9"/>
        <v>26.872263572352811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131.13047999999992</v>
      </c>
      <c r="CA61" s="14">
        <f t="shared" si="39"/>
        <v>34.257448288813869</v>
      </c>
      <c r="CB61" s="22">
        <f t="shared" si="10"/>
        <v>288.05064176968398</v>
      </c>
      <c r="CC61" s="62">
        <f t="shared" si="11"/>
        <v>581.38397510301729</v>
      </c>
      <c r="CD61" s="62">
        <f ca="1">AVERAGE(OFFSET($CC$3,0,0,'Données projet'!$E$12+1,1))-AVERAGE(OFFSET($H$3,0,0,'Données projet'!$E$12+1,1))</f>
        <v>293.996396026019</v>
      </c>
      <c r="CE61" s="62">
        <f t="shared" si="40"/>
        <v>152.23954167722536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-4.9658410716801891E-14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303.33040062722074</v>
      </c>
      <c r="T62" s="62">
        <f t="shared" si="34"/>
        <v>425.30058672361548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15.143068053625123</v>
      </c>
      <c r="AB62" s="23">
        <f>EXP(-LN(2)/2)*AB61+(1-EXP(-LN(2)/2))/(LN(2)/2)*V62*Y62*VLOOKUP('Données projet'!$B$9,Paramètres!$A$1:$I$89,3,0)*0.475*44/12</f>
        <v>7.028772297944018E-4</v>
      </c>
      <c r="AC62" s="24">
        <f t="shared" si="3"/>
        <v>15.143770930854918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700.52216291323407</v>
      </c>
      <c r="AN62" s="62">
        <f ca="1">AVERAGE(OFFSET($AM$3,0,0,'Données projet'!$E$10+1,1))-AVERAGE(OFFSET($H$3,0,0,'Données projet'!$E$10+1,1))</f>
        <v>371.75294069149942</v>
      </c>
      <c r="AO62" s="62">
        <f t="shared" si="36"/>
        <v>233.32640143610547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1.2078153764636741</v>
      </c>
      <c r="AW62" s="23">
        <f>EXP(-LN(2)/2)*AW61+(1-EXP(-LN(2)/2))/(LN(2)/2)*AQ62*AT62*VLOOKUP('Données projet'!$B$10,Paramètres!$A$1:$I$89,3,0)*0.475*44/12</f>
        <v>5.4161325290556469E-4</v>
      </c>
      <c r="AX62" s="23">
        <f t="shared" si="6"/>
        <v>1.2083569897165796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12.2</v>
      </c>
      <c r="BD62" s="13">
        <f>IF('Données projet'!$A$88&gt;35,BD61+BC62-BL61,IF(A62&lt;'Données projet'!$A$88,$BA$205^A62,IF(A62='Données projet'!$A$88,'Données projet'!$B$88,BD61+BC62-BL61)))</f>
        <v>741.79999999999961</v>
      </c>
      <c r="BE62" s="14">
        <f>BD62*VLOOKUP('Données projet'!$B$11,Paramètres!$A$1:$I$89,3,0)*VLOOKUP('Données projet'!$B$11,Paramètres!$A$1:$I$89,5,0)</f>
        <v>414.66619999999978</v>
      </c>
      <c r="BF62" s="14">
        <f t="shared" si="37"/>
        <v>94.743752206399009</v>
      </c>
      <c r="BG62" s="22">
        <f t="shared" si="7"/>
        <v>887.22233342614447</v>
      </c>
      <c r="BH62" s="62">
        <f t="shared" si="8"/>
        <v>1180.5556667594778</v>
      </c>
      <c r="BI62" s="62">
        <f ca="1">AVERAGE(OFFSET($BH$3,0,0,'Données projet'!$E$11+1,1))-AVERAGE(OFFSET($H$3,0,0,'Données projet'!$E$11+1,1))</f>
        <v>555.15881087162279</v>
      </c>
      <c r="BJ62" s="62">
        <f t="shared" si="38"/>
        <v>668.20427590250733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16.136742778128134</v>
      </c>
      <c r="BQ62" s="23">
        <f>EXP(-LN(2)/25)*BQ61+(1-EXP(-LN(2)/25))/(LN(2)/25)*Calculateur!BL62*Calculateur!BN62*VLOOKUP('Données projet'!$B$11,Paramètres!$A$1:$I$89,3,0)*0.475*44/12</f>
        <v>10.12720136448756</v>
      </c>
      <c r="BR62" s="23">
        <f>EXP(-LN(2)/2)*BR61+(1-EXP(-LN(2)/2))/(LN(2)/2)*BL62*BO62*VLOOKUP('Données projet'!$B$11,Paramètres!$A$1:$I$89,3,0)*0.475*44/12</f>
        <v>5.9695346503662108E-4</v>
      </c>
      <c r="BS62" s="24">
        <f t="shared" si="9"/>
        <v>26.26454109608073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136.45943999999992</v>
      </c>
      <c r="CA62" s="14">
        <f t="shared" si="39"/>
        <v>35.484707713429785</v>
      </c>
      <c r="CB62" s="22">
        <f t="shared" si="10"/>
        <v>299.46939060089005</v>
      </c>
      <c r="CC62" s="62">
        <f t="shared" si="11"/>
        <v>592.80272393422342</v>
      </c>
      <c r="CD62" s="62">
        <f ca="1">AVERAGE(OFFSET($CC$3,0,0,'Données projet'!$E$12+1,1))-AVERAGE(OFFSET($H$3,0,0,'Données projet'!$E$12+1,1))</f>
        <v>293.996396026019</v>
      </c>
      <c r="CE62" s="62">
        <f t="shared" si="40"/>
        <v>152.23954167722536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-4.9658410716801891E-14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303.33040062722074</v>
      </c>
      <c r="T63" s="62">
        <f t="shared" si="34"/>
        <v>425.30058672361548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14.728980061359405</v>
      </c>
      <c r="AB63" s="23">
        <f>EXP(-LN(2)/2)*AB62+(1-EXP(-LN(2)/2))/(LN(2)/2)*V63*Y63*VLOOKUP('Données projet'!$B$9,Paramètres!$A$1:$I$89,3,0)*0.475*44/12</f>
        <v>4.9700925552923674E-4</v>
      </c>
      <c r="AC63" s="24">
        <f t="shared" si="3"/>
        <v>14.729477070614934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714.76126520309447</v>
      </c>
      <c r="AN63" s="62">
        <f ca="1">AVERAGE(OFFSET($AM$3,0,0,'Données projet'!$E$10+1,1))-AVERAGE(OFFSET($H$3,0,0,'Données projet'!$E$10+1,1))</f>
        <v>371.75294069149942</v>
      </c>
      <c r="AO63" s="62">
        <f t="shared" si="36"/>
        <v>233.32640143610547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1.1747876014780247</v>
      </c>
      <c r="AW63" s="23">
        <f>EXP(-LN(2)/2)*AW62+(1-EXP(-LN(2)/2))/(LN(2)/2)*AQ63*AT63*VLOOKUP('Données projet'!$B$10,Paramètres!$A$1:$I$89,3,0)*0.475*44/12</f>
        <v>3.8297840391002936E-4</v>
      </c>
      <c r="AX63" s="23">
        <f t="shared" si="6"/>
        <v>1.1751705798819347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754</v>
      </c>
      <c r="BB63" s="13">
        <f>VLOOKUP(A63,'Données projet'!$A$87:$I$107,9,0)</f>
        <v>12.2</v>
      </c>
      <c r="BC63" s="13">
        <f t="array" ref="BC63">INDEX(BB:BB,MIN(IF(ISNUMBER(BB63:BB259),ROW(BB63:BB259),"")))</f>
        <v>12.2</v>
      </c>
      <c r="BD63" s="13">
        <f>IF('Données projet'!$A$88&gt;35,BD62+BC63-BL62,IF(A63&lt;'Données projet'!$A$88,$BA$205^A63,IF(A63='Données projet'!$A$88,'Données projet'!$B$88,BD62+BC63-BL62)))</f>
        <v>753.99999999999966</v>
      </c>
      <c r="BE63" s="14">
        <f>BD63*VLOOKUP('Données projet'!$B$11,Paramètres!$A$1:$I$89,3,0)*VLOOKUP('Données projet'!$B$11,Paramètres!$A$1:$I$89,5,0)</f>
        <v>421.48599999999982</v>
      </c>
      <c r="BF63" s="14">
        <f t="shared" si="37"/>
        <v>96.119269055816147</v>
      </c>
      <c r="BG63" s="22">
        <f t="shared" si="7"/>
        <v>901.49584360554616</v>
      </c>
      <c r="BH63" s="62">
        <f t="shared" si="8"/>
        <v>1194.8291769388795</v>
      </c>
      <c r="BI63" s="62">
        <f ca="1">AVERAGE(OFFSET($BH$3,0,0,'Données projet'!$E$11+1,1))-AVERAGE(OFFSET($H$3,0,0,'Données projet'!$E$11+1,1))</f>
        <v>555.15881087162279</v>
      </c>
      <c r="BJ63" s="62">
        <f t="shared" si="38"/>
        <v>668.20427590250733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35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15.820311094690275</v>
      </c>
      <c r="BQ63" s="23">
        <f>EXP(-LN(2)/25)*BQ62+(1-EXP(-LN(2)/25))/(LN(2)/25)*Calculateur!BL63*Calculateur!BN63*VLOOKUP('Données projet'!$B$11,Paramètres!$A$1:$I$89,3,0)*0.475*44/12</f>
        <v>9.8502725106092743</v>
      </c>
      <c r="BR63" s="23">
        <f>EXP(-LN(2)/2)*BR62+(1-EXP(-LN(2)/2))/(LN(2)/2)*BL63*BO63*VLOOKUP('Données projet'!$B$11,Paramètres!$A$1:$I$89,3,0)*0.475*44/12</f>
        <v>4.2210984318020138E-4</v>
      </c>
      <c r="BS63" s="24">
        <f t="shared" si="9"/>
        <v>25.671005715142726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141.78839999999991</v>
      </c>
      <c r="CA63" s="14">
        <f t="shared" si="39"/>
        <v>36.706399664746023</v>
      </c>
      <c r="CB63" s="22">
        <f t="shared" si="10"/>
        <v>310.87844274943245</v>
      </c>
      <c r="CC63" s="62">
        <f t="shared" si="11"/>
        <v>604.21177608276571</v>
      </c>
      <c r="CD63" s="62">
        <f ca="1">AVERAGE(OFFSET($CC$3,0,0,'Données projet'!$E$12+1,1))-AVERAGE(OFFSET($H$3,0,0,'Données projet'!$E$12+1,1))</f>
        <v>293.996396026019</v>
      </c>
      <c r="CE63" s="62">
        <f t="shared" si="40"/>
        <v>152.23954167722536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-4.9658410716801891E-14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303.33040062722074</v>
      </c>
      <c r="T64" s="62">
        <f t="shared" si="34"/>
        <v>425.30058672361548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14.326215327018133</v>
      </c>
      <c r="AB64" s="23">
        <f>EXP(-LN(2)/2)*AB63+(1-EXP(-LN(2)/2))/(LN(2)/2)*V64*Y64*VLOOKUP('Données projet'!$B$9,Paramètres!$A$1:$I$89,3,0)*0.475*44/12</f>
        <v>3.514386148972009E-4</v>
      </c>
      <c r="AC64" s="24">
        <f t="shared" si="3"/>
        <v>14.32656676563303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688.19859268339746</v>
      </c>
      <c r="AN64" s="62">
        <f ca="1">AVERAGE(OFFSET($AM$3,0,0,'Données projet'!$E$10+1,1))-AVERAGE(OFFSET($H$3,0,0,'Données projet'!$E$10+1,1))</f>
        <v>371.75294069149942</v>
      </c>
      <c r="AO64" s="62">
        <f t="shared" si="36"/>
        <v>233.32640143610547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1.1426629727362132</v>
      </c>
      <c r="AW64" s="23">
        <f>EXP(-LN(2)/2)*AW63+(1-EXP(-LN(2)/2))/(LN(2)/2)*AQ64*AT64*VLOOKUP('Données projet'!$B$10,Paramètres!$A$1:$I$89,3,0)*0.475*44/12</f>
        <v>2.7080662645278234E-4</v>
      </c>
      <c r="AX64" s="23">
        <f t="shared" si="6"/>
        <v>1.1429337793626659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</v>
      </c>
      <c r="BD64" s="13">
        <f>IF('Données projet'!$A$88&gt;35,BD63+BC64-BL63,IF(A64&lt;'Données projet'!$A$88,$BA$205^A64,IF(A64='Données projet'!$A$88,'Données projet'!$B$88,BD63+BC64-BL63)))</f>
        <v>728.99999999999966</v>
      </c>
      <c r="BE64" s="14">
        <f>BD64*VLOOKUP('Données projet'!$B$11,Paramètres!$A$1:$I$89,3,0)*VLOOKUP('Données projet'!$B$11,Paramètres!$A$1:$I$89,5,0)</f>
        <v>407.51099999999985</v>
      </c>
      <c r="BF64" s="14">
        <f t="shared" si="37"/>
        <v>93.297752590617137</v>
      </c>
      <c r="BG64" s="22">
        <f t="shared" si="7"/>
        <v>872.24191076199133</v>
      </c>
      <c r="BH64" s="62">
        <f t="shared" si="8"/>
        <v>1165.5752440953247</v>
      </c>
      <c r="BI64" s="62">
        <f ca="1">AVERAGE(OFFSET($BH$3,0,0,'Données projet'!$E$11+1,1))-AVERAGE(OFFSET($H$3,0,0,'Données projet'!$E$11+1,1))</f>
        <v>555.15881087162279</v>
      </c>
      <c r="BJ64" s="62">
        <f t="shared" si="38"/>
        <v>668.20427590250733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15.510084443560364</v>
      </c>
      <c r="BQ64" s="23">
        <f>EXP(-LN(2)/25)*BQ63+(1-EXP(-LN(2)/25))/(LN(2)/25)*Calculateur!BL64*Calculateur!BN64*VLOOKUP('Données projet'!$B$11,Paramètres!$A$1:$I$89,3,0)*0.475*44/12</f>
        <v>9.5809162908033461</v>
      </c>
      <c r="BR64" s="23">
        <f>EXP(-LN(2)/2)*BR63+(1-EXP(-LN(2)/2))/(LN(2)/2)*BL64*BO64*VLOOKUP('Données projet'!$B$11,Paramètres!$A$1:$I$89,3,0)*0.475*44/12</f>
        <v>2.9847673251831054E-4</v>
      </c>
      <c r="BS64" s="24">
        <f t="shared" si="9"/>
        <v>25.091299211096228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133.41431999999989</v>
      </c>
      <c r="CA64" s="14">
        <f t="shared" si="39"/>
        <v>34.78411410316037</v>
      </c>
      <c r="CB64" s="22">
        <f t="shared" si="10"/>
        <v>292.94560606300411</v>
      </c>
      <c r="CC64" s="62">
        <f t="shared" si="11"/>
        <v>586.27893939633736</v>
      </c>
      <c r="CD64" s="62">
        <f ca="1">AVERAGE(OFFSET($CC$3,0,0,'Données projet'!$E$12+1,1))-AVERAGE(OFFSET($H$3,0,0,'Données projet'!$E$12+1,1))</f>
        <v>293.996396026019</v>
      </c>
      <c r="CE64" s="62">
        <f t="shared" si="40"/>
        <v>152.23954167722536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-4.9658410716801891E-14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303.33040062722074</v>
      </c>
      <c r="T65" s="62">
        <f t="shared" si="34"/>
        <v>425.30058672361548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13.934464215517901</v>
      </c>
      <c r="AB65" s="23">
        <f>EXP(-LN(2)/2)*AB64+(1-EXP(-LN(2)/2))/(LN(2)/2)*V65*Y65*VLOOKUP('Données projet'!$B$9,Paramètres!$A$1:$I$89,3,0)*0.475*44/12</f>
        <v>2.4850462776461837E-4</v>
      </c>
      <c r="AC65" s="24">
        <f t="shared" si="3"/>
        <v>13.934712720145665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702.06203699024286</v>
      </c>
      <c r="AN65" s="62">
        <f ca="1">AVERAGE(OFFSET($AM$3,0,0,'Données projet'!$E$10+1,1))-AVERAGE(OFFSET($H$3,0,0,'Données projet'!$E$10+1,1))</f>
        <v>371.75294069149942</v>
      </c>
      <c r="AO65" s="62">
        <f t="shared" si="36"/>
        <v>233.32640143610547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1.1114167936567072</v>
      </c>
      <c r="AW65" s="23">
        <f>EXP(-LN(2)/2)*AW64+(1-EXP(-LN(2)/2))/(LN(2)/2)*AQ65*AT65*VLOOKUP('Données projet'!$B$10,Paramètres!$A$1:$I$89,3,0)*0.475*44/12</f>
        <v>1.9148920195501468E-4</v>
      </c>
      <c r="AX65" s="23">
        <f t="shared" si="6"/>
        <v>1.1116082828586622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</v>
      </c>
      <c r="BD65" s="13">
        <f>IF('Données projet'!$A$88&gt;35,BD64+BC65-BL64,IF(A65&lt;'Données projet'!$A$88,$BA$205^A65,IF(A65='Données projet'!$A$88,'Données projet'!$B$88,BD64+BC65-BL64)))</f>
        <v>738.99999999999966</v>
      </c>
      <c r="BE65" s="14">
        <f>BD65*VLOOKUP('Données projet'!$B$11,Paramètres!$A$1:$I$89,3,0)*VLOOKUP('Données projet'!$B$11,Paramètres!$A$1:$I$89,5,0)</f>
        <v>413.10099999999983</v>
      </c>
      <c r="BF65" s="14">
        <f t="shared" si="37"/>
        <v>94.427689670462357</v>
      </c>
      <c r="BG65" s="22">
        <f t="shared" si="7"/>
        <v>883.94580117605494</v>
      </c>
      <c r="BH65" s="62">
        <f t="shared" si="8"/>
        <v>1177.2791345093883</v>
      </c>
      <c r="BI65" s="62">
        <f ca="1">AVERAGE(OFFSET($BH$3,0,0,'Données projet'!$E$11+1,1))-AVERAGE(OFFSET($H$3,0,0,'Données projet'!$E$11+1,1))</f>
        <v>555.15881087162279</v>
      </c>
      <c r="BJ65" s="62">
        <f t="shared" si="38"/>
        <v>668.20427590250733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15.205941147839537</v>
      </c>
      <c r="BQ65" s="23">
        <f>EXP(-LN(2)/25)*BQ64+(1-EXP(-LN(2)/25))/(LN(2)/25)*Calculateur!BL65*Calculateur!BN65*VLOOKUP('Données projet'!$B$11,Paramètres!$A$1:$I$89,3,0)*0.475*44/12</f>
        <v>9.3189256309928385</v>
      </c>
      <c r="BR65" s="23">
        <f>EXP(-LN(2)/2)*BR64+(1-EXP(-LN(2)/2))/(LN(2)/2)*BL65*BO65*VLOOKUP('Données projet'!$B$11,Paramètres!$A$1:$I$89,3,0)*0.475*44/12</f>
        <v>2.1105492159010069E-4</v>
      </c>
      <c r="BS65" s="24">
        <f t="shared" si="9"/>
        <v>24.525077833753965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138.36263999999989</v>
      </c>
      <c r="CA65" s="14">
        <f t="shared" si="39"/>
        <v>35.921652875236965</v>
      </c>
      <c r="CB65" s="22">
        <f t="shared" si="10"/>
        <v>303.54514342437079</v>
      </c>
      <c r="CC65" s="62">
        <f t="shared" si="11"/>
        <v>596.87847675770411</v>
      </c>
      <c r="CD65" s="62">
        <f ca="1">AVERAGE(OFFSET($CC$3,0,0,'Données projet'!$E$12+1,1))-AVERAGE(OFFSET($H$3,0,0,'Données projet'!$E$12+1,1))</f>
        <v>293.996396026019</v>
      </c>
      <c r="CE65" s="62">
        <f t="shared" si="40"/>
        <v>152.23954167722536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-4.9658410716801891E-14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303.33040062722074</v>
      </c>
      <c r="T66" s="62">
        <f t="shared" si="34"/>
        <v>425.30058672361548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13.553425558762939</v>
      </c>
      <c r="AB66" s="23">
        <f>EXP(-LN(2)/2)*AB65+(1-EXP(-LN(2)/2))/(LN(2)/2)*V66*Y66*VLOOKUP('Données projet'!$B$9,Paramètres!$A$1:$I$89,3,0)*0.475*44/12</f>
        <v>1.7571930744860045E-4</v>
      </c>
      <c r="AC66" s="24">
        <f t="shared" si="3"/>
        <v>13.553601278070387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715.9153277342615</v>
      </c>
      <c r="AN66" s="62">
        <f ca="1">AVERAGE(OFFSET($AM$3,0,0,'Données projet'!$E$10+1,1))-AVERAGE(OFFSET($H$3,0,0,'Données projet'!$E$10+1,1))</f>
        <v>371.75294069149942</v>
      </c>
      <c r="AO66" s="62">
        <f t="shared" si="36"/>
        <v>233.32640143610547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1.0810250429872956</v>
      </c>
      <c r="AW66" s="23">
        <f>EXP(-LN(2)/2)*AW65+(1-EXP(-LN(2)/2))/(LN(2)/2)*AQ66*AT66*VLOOKUP('Données projet'!$B$10,Paramètres!$A$1:$I$89,3,0)*0.475*44/12</f>
        <v>1.3540331322639117E-4</v>
      </c>
      <c r="AX66" s="23">
        <f t="shared" si="6"/>
        <v>1.081160446300522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</v>
      </c>
      <c r="BD66" s="13">
        <f>IF('Données projet'!$A$88&gt;35,BD65+BC66-BL65,IF(A66&lt;'Données projet'!$A$88,$BA$205^A66,IF(A66='Données projet'!$A$88,'Données projet'!$B$88,BD65+BC66-BL65)))</f>
        <v>748.99999999999966</v>
      </c>
      <c r="BE66" s="14">
        <f>BD66*VLOOKUP('Données projet'!$B$11,Paramètres!$A$1:$I$89,3,0)*VLOOKUP('Données projet'!$B$11,Paramètres!$A$1:$I$89,5,0)</f>
        <v>418.6909999999998</v>
      </c>
      <c r="BF66" s="14">
        <f t="shared" si="37"/>
        <v>95.555848328260851</v>
      </c>
      <c r="BG66" s="22">
        <f t="shared" si="7"/>
        <v>895.64659417172061</v>
      </c>
      <c r="BH66" s="62">
        <f t="shared" si="8"/>
        <v>1188.9799275050539</v>
      </c>
      <c r="BI66" s="62">
        <f ca="1">AVERAGE(OFFSET($BH$3,0,0,'Données projet'!$E$11+1,1))-AVERAGE(OFFSET($H$3,0,0,'Données projet'!$E$11+1,1))</f>
        <v>555.15881087162279</v>
      </c>
      <c r="BJ66" s="62">
        <f t="shared" si="38"/>
        <v>668.20427590250733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14.907761916638703</v>
      </c>
      <c r="BQ66" s="23">
        <f>EXP(-LN(2)/25)*BQ65+(1-EXP(-LN(2)/25))/(LN(2)/25)*Calculateur!BL66*Calculateur!BN66*VLOOKUP('Données projet'!$B$11,Paramètres!$A$1:$I$89,3,0)*0.475*44/12</f>
        <v>9.0640991195523384</v>
      </c>
      <c r="BR66" s="23">
        <f>EXP(-LN(2)/2)*BR65+(1-EXP(-LN(2)/2))/(LN(2)/2)*BL66*BO66*VLOOKUP('Données projet'!$B$11,Paramètres!$A$1:$I$89,3,0)*0.475*44/12</f>
        <v>1.4923836625915527E-4</v>
      </c>
      <c r="BS66" s="24">
        <f t="shared" si="9"/>
        <v>23.972010274557302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143.31095999999988</v>
      </c>
      <c r="CA66" s="14">
        <f t="shared" si="39"/>
        <v>37.054465009884851</v>
      </c>
      <c r="CB66" s="22">
        <f t="shared" si="10"/>
        <v>314.13644855888259</v>
      </c>
      <c r="CC66" s="62">
        <f t="shared" si="11"/>
        <v>607.46978189221591</v>
      </c>
      <c r="CD66" s="62">
        <f ca="1">AVERAGE(OFFSET($CC$3,0,0,'Données projet'!$E$12+1,1))-AVERAGE(OFFSET($H$3,0,0,'Données projet'!$E$12+1,1))</f>
        <v>293.996396026019</v>
      </c>
      <c r="CE66" s="62">
        <f t="shared" si="40"/>
        <v>152.23954167722536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-4.9658410716801891E-14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303.33040062722074</v>
      </c>
      <c r="T67" s="62">
        <f t="shared" si="34"/>
        <v>425.30058672361548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13.182806424114894</v>
      </c>
      <c r="AB67" s="23">
        <f>EXP(-LN(2)/2)*AB66+(1-EXP(-LN(2)/2))/(LN(2)/2)*V67*Y67*VLOOKUP('Données projet'!$B$9,Paramètres!$A$1:$I$89,3,0)*0.475*44/12</f>
        <v>1.2425231388230918E-4</v>
      </c>
      <c r="AC67" s="24">
        <f t="shared" si="3"/>
        <v>13.182930676428777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371.75294069149942</v>
      </c>
      <c r="AO67" s="62">
        <f t="shared" si="36"/>
        <v>233.32640143610547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1.0514643563381718</v>
      </c>
      <c r="AW67" s="23">
        <f>EXP(-LN(2)/2)*AW66+(1-EXP(-LN(2)/2))/(LN(2)/2)*AQ67*AT67*VLOOKUP('Données projet'!$B$10,Paramètres!$A$1:$I$89,3,0)*0.475*44/12</f>
        <v>9.5744600977507339E-5</v>
      </c>
      <c r="AX67" s="23">
        <f t="shared" si="6"/>
        <v>1.0515601009391493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</v>
      </c>
      <c r="BD67" s="13">
        <f>IF('Données projet'!$A$88&gt;35,BD66+BC67-BL66,IF(A67&lt;'Données projet'!$A$88,$BA$205^A67,IF(A67='Données projet'!$A$88,'Données projet'!$B$88,BD66+BC67-BL66)))</f>
        <v>758.99999999999966</v>
      </c>
      <c r="BE67" s="14">
        <f>BD67*VLOOKUP('Données projet'!$B$11,Paramètres!$A$1:$I$89,3,0)*VLOOKUP('Données projet'!$B$11,Paramètres!$A$1:$I$89,5,0)</f>
        <v>424.28099999999978</v>
      </c>
      <c r="BF67" s="14">
        <f t="shared" si="37"/>
        <v>96.682255052757768</v>
      </c>
      <c r="BG67" s="22">
        <f t="shared" si="7"/>
        <v>907.34433588355262</v>
      </c>
      <c r="BH67" s="62">
        <f t="shared" si="8"/>
        <v>1200.677669216886</v>
      </c>
      <c r="BI67" s="62">
        <f ca="1">AVERAGE(OFFSET($BH$3,0,0,'Données projet'!$E$11+1,1))-AVERAGE(OFFSET($H$3,0,0,'Données projet'!$E$11+1,1))</f>
        <v>555.15881087162279</v>
      </c>
      <c r="BJ67" s="62">
        <f t="shared" si="38"/>
        <v>668.20427590250733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14.615429798290345</v>
      </c>
      <c r="BQ67" s="23">
        <f>EXP(-LN(2)/25)*BQ66+(1-EXP(-LN(2)/25))/(LN(2)/25)*Calculateur!BL67*Calculateur!BN67*VLOOKUP('Données projet'!$B$11,Paramètres!$A$1:$I$89,3,0)*0.475*44/12</f>
        <v>8.8162408524679226</v>
      </c>
      <c r="BR67" s="23">
        <f>EXP(-LN(2)/2)*BR66+(1-EXP(-LN(2)/2))/(LN(2)/2)*BL67*BO67*VLOOKUP('Données projet'!$B$11,Paramètres!$A$1:$I$89,3,0)*0.475*44/12</f>
        <v>1.0552746079505035E-4</v>
      </c>
      <c r="BS67" s="24">
        <f t="shared" si="9"/>
        <v>23.431776178219064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148.25927999999988</v>
      </c>
      <c r="CA67" s="14">
        <f t="shared" si="39"/>
        <v>38.182732415799116</v>
      </c>
      <c r="CB67" s="22">
        <f t="shared" si="10"/>
        <v>324.71983829084985</v>
      </c>
      <c r="CC67" s="62">
        <f t="shared" si="11"/>
        <v>618.05317162418316</v>
      </c>
      <c r="CD67" s="62">
        <f ca="1">AVERAGE(OFFSET($CC$3,0,0,'Données projet'!$E$12+1,1))-AVERAGE(OFFSET($H$3,0,0,'Données projet'!$E$12+1,1))</f>
        <v>293.996396026019</v>
      </c>
      <c r="CE67" s="62">
        <f t="shared" si="40"/>
        <v>152.23954167722536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-4.9658410716801891E-14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303.33040062722074</v>
      </c>
      <c r="T68" s="62">
        <f t="shared" si="34"/>
        <v>425.30058672361548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12.822321889193812</v>
      </c>
      <c r="AB68" s="23">
        <f>EXP(-LN(2)/2)*AB67+(1-EXP(-LN(2)/2))/(LN(2)/2)*V68*Y68*VLOOKUP('Données projet'!$B$9,Paramètres!$A$1:$I$89,3,0)*0.475*44/12</f>
        <v>8.7859653724300224E-5</v>
      </c>
      <c r="AC68" s="24">
        <f t="shared" ref="AC68:AC131" si="57">SUM(Z68:AB68)</f>
        <v>12.822409748847537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743.59294134580068</v>
      </c>
      <c r="AN68" s="62">
        <f ca="1">AVERAGE(OFFSET($AM$3,0,0,'Données projet'!$E$10+1,1))-AVERAGE(OFFSET($H$3,0,0,'Données projet'!$E$10+1,1))</f>
        <v>371.75294069149942</v>
      </c>
      <c r="AO68" s="62">
        <f t="shared" si="36"/>
        <v>233.32640143610547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1.0227120082199972</v>
      </c>
      <c r="AW68" s="23">
        <f>EXP(-LN(2)/2)*AW67+(1-EXP(-LN(2)/2))/(LN(2)/2)*AQ68*AT68*VLOOKUP('Données projet'!$B$10,Paramètres!$A$1:$I$89,3,0)*0.475*44/12</f>
        <v>6.7701656613195586E-5</v>
      </c>
      <c r="AX68" s="23">
        <f t="shared" ref="AX68:AX131" si="60">SUM(AU68:AW68)</f>
        <v>1.0227797098766105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769</v>
      </c>
      <c r="BB68" s="13">
        <f>VLOOKUP(A68,'Données projet'!$A$87:$I$107,9,0)</f>
        <v>10</v>
      </c>
      <c r="BC68" s="13">
        <f t="array" ref="BC68">INDEX(BB:BB,MIN(IF(ISNUMBER(BB68:BB264),ROW(BB68:BB264),"")))</f>
        <v>10</v>
      </c>
      <c r="BD68" s="13">
        <f>IF('Données projet'!$A$88&gt;35,BD67+BC68-BL67,IF(A68&lt;'Données projet'!$A$88,$BA$205^A68,IF(A68='Données projet'!$A$88,'Données projet'!$B$88,BD67+BC68-BL67)))</f>
        <v>768.99999999999966</v>
      </c>
      <c r="BE68" s="14">
        <f>BD68*VLOOKUP('Données projet'!$B$11,Paramètres!$A$1:$I$89,3,0)*VLOOKUP('Données projet'!$B$11,Paramètres!$A$1:$I$89,5,0)</f>
        <v>429.87099999999981</v>
      </c>
      <c r="BF68" s="14">
        <f t="shared" si="37"/>
        <v>97.806935594587088</v>
      </c>
      <c r="BG68" s="22">
        <f t="shared" ref="BG68:BG131" si="61">(BE68+BF68)*0.475*44/12</f>
        <v>919.03907116057201</v>
      </c>
      <c r="BH68" s="62">
        <f t="shared" ref="BH68:BH131" si="62">BG68+(AY68+AZ68)*44/12</f>
        <v>1212.3724044939054</v>
      </c>
      <c r="BI68" s="62">
        <f ca="1">AVERAGE(OFFSET($BH$3,0,0,'Données projet'!$E$11+1,1))-AVERAGE(OFFSET($H$3,0,0,'Données projet'!$E$11+1,1))</f>
        <v>555.15881087162279</v>
      </c>
      <c r="BJ68" s="62">
        <f t="shared" si="38"/>
        <v>668.20427590250733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769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14.328830134477812</v>
      </c>
      <c r="BQ68" s="23">
        <f>EXP(-LN(2)/25)*BQ67+(1-EXP(-LN(2)/25))/(LN(2)/25)*Calculateur!BL68*Calculateur!BN68*VLOOKUP('Données projet'!$B$11,Paramètres!$A$1:$I$89,3,0)*0.475*44/12</f>
        <v>8.5751602827312308</v>
      </c>
      <c r="BR68" s="23">
        <f>EXP(-LN(2)/2)*BR67+(1-EXP(-LN(2)/2))/(LN(2)/2)*BL68*BO68*VLOOKUP('Données projet'!$B$11,Paramètres!$A$1:$I$89,3,0)*0.475*44/12</f>
        <v>7.4619183129577635E-5</v>
      </c>
      <c r="BS68" s="24">
        <f t="shared" ref="BS68:BS131" si="63">SUM(BP68:BR68)</f>
        <v>22.904065036392176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153.20759999999987</v>
      </c>
      <c r="CA68" s="14">
        <f t="shared" si="39"/>
        <v>39.306624169832098</v>
      </c>
      <c r="CB68" s="22">
        <f t="shared" ref="CB68:CB131" si="64">(BZ68+CA68)*0.475*44/12</f>
        <v>335.29560709579067</v>
      </c>
      <c r="CC68" s="62">
        <f t="shared" ref="CC68:CC131" si="65">CB68+(BT68+BU68)*44/12</f>
        <v>628.62894042912399</v>
      </c>
      <c r="CD68" s="62">
        <f ca="1">AVERAGE(OFFSET($CC$3,0,0,'Données projet'!$E$12+1,1))-AVERAGE(OFFSET($H$3,0,0,'Données projet'!$E$12+1,1))</f>
        <v>293.996396026019</v>
      </c>
      <c r="CE68" s="62">
        <f t="shared" si="40"/>
        <v>152.23954167722536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-4.9658410716801891E-14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303.33040062722074</v>
      </c>
      <c r="T69" s="62">
        <f t="shared" ref="T69:T132" si="88">$T$3</f>
        <v>425.30058672361548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12.471694822837206</v>
      </c>
      <c r="AB69" s="23">
        <f>EXP(-LN(2)/2)*AB68+(1-EXP(-LN(2)/2))/(LN(2)/2)*V69*Y69*VLOOKUP('Données projet'!$B$9,Paramètres!$A$1:$I$89,3,0)*0.475*44/12</f>
        <v>6.2126156941154592E-5</v>
      </c>
      <c r="AC69" s="24">
        <f t="shared" si="57"/>
        <v>12.471756948994146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716.30000015441942</v>
      </c>
      <c r="AN69" s="62">
        <f ca="1">AVERAGE(OFFSET($AM$3,0,0,'Données projet'!$E$10+1,1))-AVERAGE(OFFSET($H$3,0,0,'Données projet'!$E$10+1,1))</f>
        <v>371.75294069149942</v>
      </c>
      <c r="AO69" s="62">
        <f t="shared" ref="AO69:AO132" si="90">$AO$3</f>
        <v>233.32640143610547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0.99474589457313434</v>
      </c>
      <c r="AW69" s="23">
        <f>EXP(-LN(2)/2)*AW68+(1-EXP(-LN(2)/2))/(LN(2)/2)*AQ69*AT69*VLOOKUP('Données projet'!$B$10,Paramètres!$A$1:$I$89,3,0)*0.475*44/12</f>
        <v>4.787230048875367E-5</v>
      </c>
      <c r="AX69" s="23">
        <f t="shared" si="60"/>
        <v>0.99479376687362309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-3.4106051316484809E-13</v>
      </c>
      <c r="BE69" s="14">
        <f>BD69*VLOOKUP('Données projet'!$B$11,Paramètres!$A$1:$I$89,3,0)*VLOOKUP('Données projet'!$B$11,Paramètres!$A$1:$I$89,5,0)</f>
        <v>-1.9065282685915009E-13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555.15881087162279</v>
      </c>
      <c r="BJ69" s="62">
        <f t="shared" ref="BJ69:BJ132" si="92">$BJ$3</f>
        <v>668.20427590250733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14.047850515264107</v>
      </c>
      <c r="BQ69" s="23">
        <f>EXP(-LN(2)/25)*BQ68+(1-EXP(-LN(2)/25))/(LN(2)/25)*Calculateur!BL69*Calculateur!BN69*VLOOKUP('Données projet'!$B$11,Paramètres!$A$1:$I$89,3,0)*0.475*44/12</f>
        <v>8.3406720738518647</v>
      </c>
      <c r="BR69" s="23">
        <f>EXP(-LN(2)/2)*BR68+(1-EXP(-LN(2)/2))/(LN(2)/2)*BL69*BO69*VLOOKUP('Données projet'!$B$11,Paramètres!$A$1:$I$89,3,0)*0.475*44/12</f>
        <v>5.2763730397525173E-5</v>
      </c>
      <c r="BS69" s="24">
        <f t="shared" si="63"/>
        <v>22.38857535284637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144.83351999999985</v>
      </c>
      <c r="CA69" s="14">
        <f t="shared" ref="CA69:CA132" si="93">EXP(-1.0587+0.8836*LN(BZ69)+0.284)</f>
        <v>37.40210017631793</v>
      </c>
      <c r="CB69" s="22">
        <f t="shared" si="64"/>
        <v>317.39370514042008</v>
      </c>
      <c r="CC69" s="62">
        <f t="shared" si="65"/>
        <v>610.7270384737534</v>
      </c>
      <c r="CD69" s="62">
        <f ca="1">AVERAGE(OFFSET($CC$3,0,0,'Données projet'!$E$12+1,1))-AVERAGE(OFFSET($H$3,0,0,'Données projet'!$E$12+1,1))</f>
        <v>293.996396026019</v>
      </c>
      <c r="CE69" s="62">
        <f t="shared" ref="CE69:CE132" si="94">$CE$3</f>
        <v>152.23954167722536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-4.9658410716801891E-14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303.33040062722074</v>
      </c>
      <c r="T70" s="62">
        <f t="shared" si="88"/>
        <v>425.30058672361548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12.130655672048796</v>
      </c>
      <c r="AB70" s="23">
        <f>EXP(-LN(2)/2)*AB69+(1-EXP(-LN(2)/2))/(LN(2)/2)*V70*Y70*VLOOKUP('Données projet'!$B$9,Paramètres!$A$1:$I$89,3,0)*0.475*44/12</f>
        <v>4.3929826862150112E-5</v>
      </c>
      <c r="AC70" s="24">
        <f t="shared" si="57"/>
        <v>12.130699601875659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729.374431277192</v>
      </c>
      <c r="AN70" s="62">
        <f ca="1">AVERAGE(OFFSET($AM$3,0,0,'Données projet'!$E$10+1,1))-AVERAGE(OFFSET($H$3,0,0,'Données projet'!$E$10+1,1))</f>
        <v>371.75294069149942</v>
      </c>
      <c r="AO70" s="62">
        <f t="shared" si="90"/>
        <v>233.32640143610547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0.96754451577461886</v>
      </c>
      <c r="AW70" s="23">
        <f>EXP(-LN(2)/2)*AW69+(1-EXP(-LN(2)/2))/(LN(2)/2)*AQ70*AT70*VLOOKUP('Données projet'!$B$10,Paramètres!$A$1:$I$89,3,0)*0.475*44/12</f>
        <v>3.3850828306597793E-5</v>
      </c>
      <c r="AX70" s="23">
        <f t="shared" si="60"/>
        <v>0.96757836660292551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-3.4106051316484809E-13</v>
      </c>
      <c r="BE70" s="14">
        <f>BD70*VLOOKUP('Données projet'!$B$11,Paramètres!$A$1:$I$89,3,0)*VLOOKUP('Données projet'!$B$11,Paramètres!$A$1:$I$89,5,0)</f>
        <v>-1.9065282685915009E-13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555.15881087162279</v>
      </c>
      <c r="BJ70" s="62">
        <f t="shared" si="92"/>
        <v>668.20427590250733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13.772380735002539</v>
      </c>
      <c r="BQ70" s="23">
        <f>EXP(-LN(2)/25)*BQ69+(1-EXP(-LN(2)/25))/(LN(2)/25)*Calculateur!BL70*Calculateur!BN70*VLOOKUP('Données projet'!$B$11,Paramètres!$A$1:$I$89,3,0)*0.475*44/12</f>
        <v>8.112595957375504</v>
      </c>
      <c r="BR70" s="23">
        <f>EXP(-LN(2)/2)*BR69+(1-EXP(-LN(2)/2))/(LN(2)/2)*BL70*BO70*VLOOKUP('Données projet'!$B$11,Paramètres!$A$1:$I$89,3,0)*0.475*44/12</f>
        <v>3.7309591564788818E-5</v>
      </c>
      <c r="BS70" s="24">
        <f t="shared" si="63"/>
        <v>21.885014001969608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149.78183999999985</v>
      </c>
      <c r="CA70" s="14">
        <f t="shared" si="93"/>
        <v>38.529003779190006</v>
      </c>
      <c r="CB70" s="22">
        <f t="shared" si="64"/>
        <v>327.97471958208894</v>
      </c>
      <c r="CC70" s="62">
        <f t="shared" si="65"/>
        <v>621.30805291542219</v>
      </c>
      <c r="CD70" s="62">
        <f ca="1">AVERAGE(OFFSET($CC$3,0,0,'Données projet'!$E$12+1,1))-AVERAGE(OFFSET($H$3,0,0,'Données projet'!$E$12+1,1))</f>
        <v>293.996396026019</v>
      </c>
      <c r="CE70" s="62">
        <f t="shared" si="94"/>
        <v>152.23954167722536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-4.9658410716801891E-14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303.33040062722074</v>
      </c>
      <c r="T71" s="62">
        <f t="shared" si="88"/>
        <v>425.30058672361548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11.798942254773165</v>
      </c>
      <c r="AB71" s="23">
        <f>EXP(-LN(2)/2)*AB70+(1-EXP(-LN(2)/2))/(LN(2)/2)*V71*Y71*VLOOKUP('Données projet'!$B$9,Paramètres!$A$1:$I$89,3,0)*0.475*44/12</f>
        <v>3.1063078470577296E-5</v>
      </c>
      <c r="AC71" s="24">
        <f t="shared" si="57"/>
        <v>11.798973317851635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742.4404515486342</v>
      </c>
      <c r="AN71" s="62">
        <f ca="1">AVERAGE(OFFSET($AM$3,0,0,'Données projet'!$E$10+1,1))-AVERAGE(OFFSET($H$3,0,0,'Données projet'!$E$10+1,1))</f>
        <v>371.75294069149942</v>
      </c>
      <c r="AO71" s="62">
        <f t="shared" si="90"/>
        <v>233.32640143610547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0.94108696010980719</v>
      </c>
      <c r="AW71" s="23">
        <f>EXP(-LN(2)/2)*AW70+(1-EXP(-LN(2)/2))/(LN(2)/2)*AQ71*AT71*VLOOKUP('Données projet'!$B$10,Paramètres!$A$1:$I$89,3,0)*0.475*44/12</f>
        <v>2.3936150244376835E-5</v>
      </c>
      <c r="AX71" s="23">
        <f t="shared" si="60"/>
        <v>0.94111089626005162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-3.4106051316484809E-13</v>
      </c>
      <c r="BE71" s="14">
        <f>BD71*VLOOKUP('Données projet'!$B$11,Paramètres!$A$1:$I$89,3,0)*VLOOKUP('Données projet'!$B$11,Paramètres!$A$1:$I$89,5,0)</f>
        <v>-1.9065282685915009E-13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555.15881087162279</v>
      </c>
      <c r="BJ71" s="62">
        <f t="shared" si="92"/>
        <v>668.20427590250733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13.502312749111924</v>
      </c>
      <c r="BQ71" s="23">
        <f>EXP(-LN(2)/25)*BQ70+(1-EXP(-LN(2)/25))/(LN(2)/25)*Calculateur!BL71*Calculateur!BN71*VLOOKUP('Données projet'!$B$11,Paramètres!$A$1:$I$89,3,0)*0.475*44/12</f>
        <v>7.8907565942981908</v>
      </c>
      <c r="BR71" s="23">
        <f>EXP(-LN(2)/2)*BR70+(1-EXP(-LN(2)/2))/(LN(2)/2)*BL71*BO71*VLOOKUP('Données projet'!$B$11,Paramètres!$A$1:$I$89,3,0)*0.475*44/12</f>
        <v>2.6381865198762586E-5</v>
      </c>
      <c r="BS71" s="24">
        <f t="shared" si="63"/>
        <v>21.393095725275312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154.73015999999984</v>
      </c>
      <c r="CA71" s="14">
        <f t="shared" si="93"/>
        <v>39.65158137662015</v>
      </c>
      <c r="CB71" s="22">
        <f t="shared" si="64"/>
        <v>338.5481995642798</v>
      </c>
      <c r="CC71" s="62">
        <f t="shared" si="65"/>
        <v>631.88153289761317</v>
      </c>
      <c r="CD71" s="62">
        <f ca="1">AVERAGE(OFFSET($CC$3,0,0,'Données projet'!$E$12+1,1))-AVERAGE(OFFSET($H$3,0,0,'Données projet'!$E$12+1,1))</f>
        <v>293.996396026019</v>
      </c>
      <c r="CE71" s="62">
        <f t="shared" si="94"/>
        <v>152.23954167722536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-4.9658410716801891E-14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303.33040062722074</v>
      </c>
      <c r="T72" s="62">
        <f t="shared" si="88"/>
        <v>425.30058672361548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11.476299558336986</v>
      </c>
      <c r="AB72" s="23">
        <f>EXP(-LN(2)/2)*AB71+(1-EXP(-LN(2)/2))/(LN(2)/2)*V72*Y72*VLOOKUP('Données projet'!$B$9,Paramètres!$A$1:$I$89,3,0)*0.475*44/12</f>
        <v>2.1964913431075056E-5</v>
      </c>
      <c r="AC72" s="24">
        <f t="shared" si="57"/>
        <v>11.476321523250418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755.49834012695464</v>
      </c>
      <c r="AN72" s="62">
        <f ca="1">AVERAGE(OFFSET($AM$3,0,0,'Données projet'!$E$10+1,1))-AVERAGE(OFFSET($H$3,0,0,'Données projet'!$E$10+1,1))</f>
        <v>371.75294069149942</v>
      </c>
      <c r="AO72" s="62">
        <f t="shared" si="90"/>
        <v>233.32640143610547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0.91535288769599221</v>
      </c>
      <c r="AW72" s="23">
        <f>EXP(-LN(2)/2)*AW71+(1-EXP(-LN(2)/2))/(LN(2)/2)*AQ72*AT72*VLOOKUP('Données projet'!$B$10,Paramètres!$A$1:$I$89,3,0)*0.475*44/12</f>
        <v>1.6925414153298897E-5</v>
      </c>
      <c r="AX72" s="23">
        <f t="shared" si="60"/>
        <v>0.91536981311014554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-3.4106051316484809E-13</v>
      </c>
      <c r="BE72" s="14">
        <f>BD72*VLOOKUP('Données projet'!$B$11,Paramètres!$A$1:$I$89,3,0)*VLOOKUP('Données projet'!$B$11,Paramètres!$A$1:$I$89,5,0)</f>
        <v>-1.9065282685915009E-13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555.15881087162279</v>
      </c>
      <c r="BJ72" s="62">
        <f t="shared" si="92"/>
        <v>668.20427590250733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13.237540631699419</v>
      </c>
      <c r="BQ72" s="23">
        <f>EXP(-LN(2)/25)*BQ71+(1-EXP(-LN(2)/25))/(LN(2)/25)*Calculateur!BL72*Calculateur!BN72*VLOOKUP('Données projet'!$B$11,Paramètres!$A$1:$I$89,3,0)*0.475*44/12</f>
        <v>7.6749834402702524</v>
      </c>
      <c r="BR72" s="23">
        <f>EXP(-LN(2)/2)*BR71+(1-EXP(-LN(2)/2))/(LN(2)/2)*BL72*BO72*VLOOKUP('Données projet'!$B$11,Paramètres!$A$1:$I$89,3,0)*0.475*44/12</f>
        <v>1.8654795782394409E-5</v>
      </c>
      <c r="BS72" s="24">
        <f t="shared" si="63"/>
        <v>20.912542726765452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159.67847999999984</v>
      </c>
      <c r="CA72" s="14">
        <f t="shared" si="93"/>
        <v>40.769987185483963</v>
      </c>
      <c r="CB72" s="22">
        <f t="shared" si="64"/>
        <v>349.11441368138429</v>
      </c>
      <c r="CC72" s="62">
        <f t="shared" si="65"/>
        <v>642.44774701471761</v>
      </c>
      <c r="CD72" s="62">
        <f ca="1">AVERAGE(OFFSET($CC$3,0,0,'Données projet'!$E$12+1,1))-AVERAGE(OFFSET($H$3,0,0,'Données projet'!$E$12+1,1))</f>
        <v>293.996396026019</v>
      </c>
      <c r="CE72" s="62">
        <f t="shared" si="94"/>
        <v>152.23954167722536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-4.9658410716801891E-14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303.33040062722074</v>
      </c>
      <c r="T73" s="62">
        <f t="shared" si="88"/>
        <v>425.30058672361548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11.162479543401897</v>
      </c>
      <c r="AB73" s="23">
        <f>EXP(-LN(2)/2)*AB72+(1-EXP(-LN(2)/2))/(LN(2)/2)*V73*Y73*VLOOKUP('Données projet'!$B$9,Paramètres!$A$1:$I$89,3,0)*0.475*44/12</f>
        <v>1.5531539235288648E-5</v>
      </c>
      <c r="AC73" s="24">
        <f t="shared" si="57"/>
        <v>11.162495074941132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768.54835911062378</v>
      </c>
      <c r="AN73" s="62">
        <f ca="1">AVERAGE(OFFSET($AM$3,0,0,'Données projet'!$E$10+1,1))-AVERAGE(OFFSET($H$3,0,0,'Données projet'!$E$10+1,1))</f>
        <v>371.75294069149942</v>
      </c>
      <c r="AO73" s="62">
        <f t="shared" si="90"/>
        <v>233.32640143610547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0.89032251484562897</v>
      </c>
      <c r="AW73" s="23">
        <f>EXP(-LN(2)/2)*AW72+(1-EXP(-LN(2)/2))/(LN(2)/2)*AQ73*AT73*VLOOKUP('Données projet'!$B$10,Paramètres!$A$1:$I$89,3,0)*0.475*44/12</f>
        <v>1.1968075122188417E-5</v>
      </c>
      <c r="AX73" s="23">
        <f t="shared" si="60"/>
        <v>0.89033448292075112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-3.4106051316484809E-13</v>
      </c>
      <c r="BE73" s="14">
        <f>BD73*VLOOKUP('Données projet'!$B$11,Paramètres!$A$1:$I$89,3,0)*VLOOKUP('Données projet'!$B$11,Paramètres!$A$1:$I$89,5,0)</f>
        <v>-1.9065282685915009E-13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555.15881087162279</v>
      </c>
      <c r="BJ73" s="62">
        <f t="shared" si="92"/>
        <v>668.20427590250733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12.977960534014327</v>
      </c>
      <c r="BQ73" s="23">
        <f>EXP(-LN(2)/25)*BQ72+(1-EXP(-LN(2)/25))/(LN(2)/25)*Calculateur!BL73*Calculateur!BN73*VLOOKUP('Données projet'!$B$11,Paramètres!$A$1:$I$89,3,0)*0.475*44/12</f>
        <v>7.4651106144862247</v>
      </c>
      <c r="BR73" s="23">
        <f>EXP(-LN(2)/2)*BR72+(1-EXP(-LN(2)/2))/(LN(2)/2)*BL73*BO73*VLOOKUP('Données projet'!$B$11,Paramètres!$A$1:$I$89,3,0)*0.475*44/12</f>
        <v>1.3190932599381293E-5</v>
      </c>
      <c r="BS73" s="24">
        <f t="shared" si="63"/>
        <v>20.443084339433149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164.6267999999998</v>
      </c>
      <c r="CA73" s="14">
        <f t="shared" si="93"/>
        <v>41.884365321551833</v>
      </c>
      <c r="CB73" s="22">
        <f t="shared" si="64"/>
        <v>359.67361293503569</v>
      </c>
      <c r="CC73" s="62">
        <f t="shared" si="65"/>
        <v>653.00694626836901</v>
      </c>
      <c r="CD73" s="62">
        <f ca="1">AVERAGE(OFFSET($CC$3,0,0,'Données projet'!$E$12+1,1))-AVERAGE(OFFSET($H$3,0,0,'Données projet'!$E$12+1,1))</f>
        <v>293.996396026019</v>
      </c>
      <c r="CE73" s="62">
        <f t="shared" si="94"/>
        <v>152.23954167722536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-4.9658410716801891E-14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303.33040062722074</v>
      </c>
      <c r="T74" s="62">
        <f t="shared" si="88"/>
        <v>425.30058672361548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10.857240953278286</v>
      </c>
      <c r="AB74" s="23">
        <f>EXP(-LN(2)/2)*AB73+(1-EXP(-LN(2)/2))/(LN(2)/2)*V74*Y74*VLOOKUP('Données projet'!$B$9,Paramètres!$A$1:$I$89,3,0)*0.475*44/12</f>
        <v>1.0982456715537528E-5</v>
      </c>
      <c r="AC74" s="24">
        <f t="shared" si="57"/>
        <v>10.857251935735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740.5194944657726</v>
      </c>
      <c r="AN74" s="62">
        <f ca="1">AVERAGE(OFFSET($AM$3,0,0,'Données projet'!$E$10+1,1))-AVERAGE(OFFSET($H$3,0,0,'Données projet'!$E$10+1,1))</f>
        <v>371.75294069149942</v>
      </c>
      <c r="AO74" s="62">
        <f t="shared" si="90"/>
        <v>233.32640143610547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0.86597659885714906</v>
      </c>
      <c r="AW74" s="23">
        <f>EXP(-LN(2)/2)*AW73+(1-EXP(-LN(2)/2))/(LN(2)/2)*AQ74*AT74*VLOOKUP('Données projet'!$B$10,Paramètres!$A$1:$I$89,3,0)*0.475*44/12</f>
        <v>8.4627070766494483E-6</v>
      </c>
      <c r="AX74" s="23">
        <f t="shared" si="60"/>
        <v>0.86598506156422572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-3.4106051316484809E-13</v>
      </c>
      <c r="BE74" s="14">
        <f>BD74*VLOOKUP('Données projet'!$B$11,Paramètres!$A$1:$I$89,3,0)*VLOOKUP('Données projet'!$B$11,Paramètres!$A$1:$I$89,5,0)</f>
        <v>-1.9065282685915009E-13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555.15881087162279</v>
      </c>
      <c r="BJ74" s="62">
        <f t="shared" si="92"/>
        <v>668.20427590250733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12.723470643716615</v>
      </c>
      <c r="BQ74" s="23">
        <f>EXP(-LN(2)/25)*BQ73+(1-EXP(-LN(2)/25))/(LN(2)/25)*Calculateur!BL74*Calculateur!BN74*VLOOKUP('Données projet'!$B$11,Paramètres!$A$1:$I$89,3,0)*0.475*44/12</f>
        <v>7.2609767721599932</v>
      </c>
      <c r="BR74" s="23">
        <f>EXP(-LN(2)/2)*BR73+(1-EXP(-LN(2)/2))/(LN(2)/2)*BL74*BO74*VLOOKUP('Données projet'!$B$11,Paramètres!$A$1:$I$89,3,0)*0.475*44/12</f>
        <v>9.3273978911972044E-6</v>
      </c>
      <c r="BS74" s="24">
        <f t="shared" si="63"/>
        <v>19.9844567432745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155.87207999999981</v>
      </c>
      <c r="CA74" s="14">
        <f t="shared" si="93"/>
        <v>39.910039898694734</v>
      </c>
      <c r="CB74" s="22">
        <f t="shared" si="64"/>
        <v>340.98719215689295</v>
      </c>
      <c r="CC74" s="62">
        <f t="shared" si="65"/>
        <v>634.32052549022626</v>
      </c>
      <c r="CD74" s="62">
        <f ca="1">AVERAGE(OFFSET($CC$3,0,0,'Données projet'!$E$12+1,1))-AVERAGE(OFFSET($H$3,0,0,'Données projet'!$E$12+1,1))</f>
        <v>293.996396026019</v>
      </c>
      <c r="CE74" s="62">
        <f t="shared" si="94"/>
        <v>152.23954167722536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-4.9658410716801891E-14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303.33040062722074</v>
      </c>
      <c r="T75" s="62">
        <f t="shared" si="88"/>
        <v>425.30058672361548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10.560349128453403</v>
      </c>
      <c r="AB75" s="23">
        <f>EXP(-LN(2)/2)*AB74+(1-EXP(-LN(2)/2))/(LN(2)/2)*V75*Y75*VLOOKUP('Données projet'!$B$9,Paramètres!$A$1:$I$89,3,0)*0.475*44/12</f>
        <v>7.765769617644324E-6</v>
      </c>
      <c r="AC75" s="24">
        <f t="shared" si="57"/>
        <v>10.560356894223021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752.81060299470619</v>
      </c>
      <c r="AN75" s="62">
        <f ca="1">AVERAGE(OFFSET($AM$3,0,0,'Données projet'!$E$10+1,1))-AVERAGE(OFFSET($H$3,0,0,'Données projet'!$E$10+1,1))</f>
        <v>371.75294069149942</v>
      </c>
      <c r="AO75" s="62">
        <f t="shared" si="90"/>
        <v>233.32640143610547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0.8422964232216702</v>
      </c>
      <c r="AW75" s="23">
        <f>EXP(-LN(2)/2)*AW74+(1-EXP(-LN(2)/2))/(LN(2)/2)*AQ75*AT75*VLOOKUP('Données projet'!$B$10,Paramètres!$A$1:$I$89,3,0)*0.475*44/12</f>
        <v>5.9840375610942087E-6</v>
      </c>
      <c r="AX75" s="23">
        <f t="shared" si="60"/>
        <v>0.84230240725923133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-3.4106051316484809E-13</v>
      </c>
      <c r="BE75" s="14">
        <f>BD75*VLOOKUP('Données projet'!$B$11,Paramètres!$A$1:$I$89,3,0)*VLOOKUP('Données projet'!$B$11,Paramètres!$A$1:$I$89,5,0)</f>
        <v>-1.9065282685915009E-13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555.15881087162279</v>
      </c>
      <c r="BJ75" s="62">
        <f t="shared" si="92"/>
        <v>668.20427590250733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12.473971144944134</v>
      </c>
      <c r="BQ75" s="23">
        <f>EXP(-LN(2)/25)*BQ74+(1-EXP(-LN(2)/25))/(LN(2)/25)*Calculateur!BL75*Calculateur!BN75*VLOOKUP('Données projet'!$B$11,Paramètres!$A$1:$I$89,3,0)*0.475*44/12</f>
        <v>7.0624249804871049</v>
      </c>
      <c r="BR75" s="23">
        <f>EXP(-LN(2)/2)*BR74+(1-EXP(-LN(2)/2))/(LN(2)/2)*BL75*BO75*VLOOKUP('Données projet'!$B$11,Paramètres!$A$1:$I$89,3,0)*0.475*44/12</f>
        <v>6.5954662996906466E-6</v>
      </c>
      <c r="BS75" s="24">
        <f t="shared" si="63"/>
        <v>19.536402720897538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160.43975999999984</v>
      </c>
      <c r="CA75" s="14">
        <f t="shared" si="93"/>
        <v>40.941688651861952</v>
      </c>
      <c r="CB75" s="22">
        <f t="shared" si="64"/>
        <v>350.73935640199261</v>
      </c>
      <c r="CC75" s="62">
        <f t="shared" si="65"/>
        <v>644.07268973532587</v>
      </c>
      <c r="CD75" s="62">
        <f ca="1">AVERAGE(OFFSET($CC$3,0,0,'Données projet'!$E$12+1,1))-AVERAGE(OFFSET($H$3,0,0,'Données projet'!$E$12+1,1))</f>
        <v>293.996396026019</v>
      </c>
      <c r="CE75" s="62">
        <f t="shared" si="94"/>
        <v>152.23954167722536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-4.9658410716801891E-14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303.33040062722074</v>
      </c>
      <c r="T76" s="62">
        <f t="shared" si="88"/>
        <v>425.30058672361548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10.271575826191221</v>
      </c>
      <c r="AB76" s="23">
        <f>EXP(-LN(2)/2)*AB75+(1-EXP(-LN(2)/2))/(LN(2)/2)*V76*Y76*VLOOKUP('Données projet'!$B$9,Paramètres!$A$1:$I$89,3,0)*0.475*44/12</f>
        <v>5.491228357768764E-6</v>
      </c>
      <c r="AC76" s="24">
        <f t="shared" si="57"/>
        <v>10.271581317419578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765.09469403538446</v>
      </c>
      <c r="AN76" s="62">
        <f ca="1">AVERAGE(OFFSET($AM$3,0,0,'Données projet'!$E$10+1,1))-AVERAGE(OFFSET($H$3,0,0,'Données projet'!$E$10+1,1))</f>
        <v>371.75294069149942</v>
      </c>
      <c r="AO76" s="62">
        <f t="shared" si="90"/>
        <v>233.32640143610547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0.81926378323422977</v>
      </c>
      <c r="AW76" s="23">
        <f>EXP(-LN(2)/2)*AW75+(1-EXP(-LN(2)/2))/(LN(2)/2)*AQ76*AT76*VLOOKUP('Données projet'!$B$10,Paramètres!$A$1:$I$89,3,0)*0.475*44/12</f>
        <v>4.2313535383247241E-6</v>
      </c>
      <c r="AX76" s="23">
        <f t="shared" si="60"/>
        <v>0.8192680145877681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-3.4106051316484809E-13</v>
      </c>
      <c r="BE76" s="14">
        <f>BD76*VLOOKUP('Données projet'!$B$11,Paramètres!$A$1:$I$89,3,0)*VLOOKUP('Données projet'!$B$11,Paramètres!$A$1:$I$89,5,0)</f>
        <v>-1.9065282685915009E-13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555.15881087162279</v>
      </c>
      <c r="BJ76" s="62">
        <f t="shared" si="92"/>
        <v>668.20427590250733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12.229364179162914</v>
      </c>
      <c r="BQ76" s="23">
        <f>EXP(-LN(2)/25)*BQ75+(1-EXP(-LN(2)/25))/(LN(2)/25)*Calculateur!BL76*Calculateur!BN76*VLOOKUP('Données projet'!$B$11,Paramètres!$A$1:$I$89,3,0)*0.475*44/12</f>
        <v>6.8693025979988969</v>
      </c>
      <c r="BR76" s="23">
        <f>EXP(-LN(2)/2)*BR75+(1-EXP(-LN(2)/2))/(LN(2)/2)*BL76*BO76*VLOOKUP('Données projet'!$B$11,Paramètres!$A$1:$I$89,3,0)*0.475*44/12</f>
        <v>4.6636989455986022E-6</v>
      </c>
      <c r="BS76" s="24">
        <f t="shared" si="63"/>
        <v>19.098671440860755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165.00743999999986</v>
      </c>
      <c r="CA76" s="14">
        <f t="shared" si="93"/>
        <v>41.969923817052226</v>
      </c>
      <c r="CB76" s="22">
        <f t="shared" si="64"/>
        <v>360.48557531469902</v>
      </c>
      <c r="CC76" s="62">
        <f t="shared" si="65"/>
        <v>653.81890864803233</v>
      </c>
      <c r="CD76" s="62">
        <f ca="1">AVERAGE(OFFSET($CC$3,0,0,'Données projet'!$E$12+1,1))-AVERAGE(OFFSET($H$3,0,0,'Données projet'!$E$12+1,1))</f>
        <v>293.996396026019</v>
      </c>
      <c r="CE76" s="62">
        <f t="shared" si="94"/>
        <v>152.23954167722536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-4.9658410716801891E-14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303.33040062722074</v>
      </c>
      <c r="T77" s="62">
        <f t="shared" si="88"/>
        <v>425.30058672361548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9.990699045065325</v>
      </c>
      <c r="AB77" s="23">
        <f>EXP(-LN(2)/2)*AB76+(1-EXP(-LN(2)/2))/(LN(2)/2)*V77*Y77*VLOOKUP('Données projet'!$B$9,Paramètres!$A$1:$I$89,3,0)*0.475*44/12</f>
        <v>3.882884808822162E-6</v>
      </c>
      <c r="AC77" s="24">
        <f t="shared" si="57"/>
        <v>9.9907029279501334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777.37197605573681</v>
      </c>
      <c r="AN77" s="62">
        <f ca="1">AVERAGE(OFFSET($AM$3,0,0,'Données projet'!$E$10+1,1))-AVERAGE(OFFSET($H$3,0,0,'Données projet'!$E$10+1,1))</f>
        <v>371.75294069149942</v>
      </c>
      <c r="AO77" s="62">
        <f t="shared" si="90"/>
        <v>233.32640143610547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0.79686097199847983</v>
      </c>
      <c r="AW77" s="23">
        <f>EXP(-LN(2)/2)*AW76+(1-EXP(-LN(2)/2))/(LN(2)/2)*AQ77*AT77*VLOOKUP('Données projet'!$B$10,Paramètres!$A$1:$I$89,3,0)*0.475*44/12</f>
        <v>2.9920187805471043E-6</v>
      </c>
      <c r="AX77" s="23">
        <f t="shared" si="60"/>
        <v>0.79686396401726034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-3.4106051316484809E-13</v>
      </c>
      <c r="BE77" s="14">
        <f>BD77*VLOOKUP('Données projet'!$B$11,Paramètres!$A$1:$I$89,3,0)*VLOOKUP('Données projet'!$B$11,Paramètres!$A$1:$I$89,5,0)</f>
        <v>-1.9065282685915009E-13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555.15881087162279</v>
      </c>
      <c r="BJ77" s="62">
        <f t="shared" si="92"/>
        <v>668.20427590250733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11.989553806785146</v>
      </c>
      <c r="BQ77" s="23">
        <f>EXP(-LN(2)/25)*BQ76+(1-EXP(-LN(2)/25))/(LN(2)/25)*Calculateur!BL77*Calculateur!BN77*VLOOKUP('Données projet'!$B$11,Paramètres!$A$1:$I$89,3,0)*0.475*44/12</f>
        <v>6.6814611572156934</v>
      </c>
      <c r="BR77" s="23">
        <f>EXP(-LN(2)/2)*BR76+(1-EXP(-LN(2)/2))/(LN(2)/2)*BL77*BO77*VLOOKUP('Données projet'!$B$11,Paramètres!$A$1:$I$89,3,0)*0.475*44/12</f>
        <v>3.2977331498453233E-6</v>
      </c>
      <c r="BS77" s="24">
        <f t="shared" si="63"/>
        <v>18.671018261733991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169.57511999999986</v>
      </c>
      <c r="CA77" s="14">
        <f t="shared" si="93"/>
        <v>42.994850744606296</v>
      </c>
      <c r="CB77" s="22">
        <f t="shared" si="64"/>
        <v>370.22603238018905</v>
      </c>
      <c r="CC77" s="62">
        <f t="shared" si="65"/>
        <v>663.55936571352231</v>
      </c>
      <c r="CD77" s="62">
        <f ca="1">AVERAGE(OFFSET($CC$3,0,0,'Données projet'!$E$12+1,1))-AVERAGE(OFFSET($H$3,0,0,'Données projet'!$E$12+1,1))</f>
        <v>293.996396026019</v>
      </c>
      <c r="CE77" s="62">
        <f t="shared" si="94"/>
        <v>152.23954167722536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-4.9658410716801891E-14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303.33040062722074</v>
      </c>
      <c r="T78" s="62">
        <f t="shared" si="88"/>
        <v>425.30058672361548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9.7175028542899842</v>
      </c>
      <c r="AB78" s="23">
        <f>EXP(-LN(2)/2)*AB77+(1-EXP(-LN(2)/2))/(LN(2)/2)*V78*Y78*VLOOKUP('Données projet'!$B$9,Paramètres!$A$1:$I$89,3,0)*0.475*44/12</f>
        <v>2.745614178884382E-6</v>
      </c>
      <c r="AC78" s="24">
        <f t="shared" si="57"/>
        <v>9.7175055999041628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789.64264608661051</v>
      </c>
      <c r="AN78" s="62">
        <f ca="1">AVERAGE(OFFSET($AM$3,0,0,'Données projet'!$E$10+1,1))-AVERAGE(OFFSET($H$3,0,0,'Données projet'!$E$10+1,1))</f>
        <v>371.75294069149942</v>
      </c>
      <c r="AO78" s="62">
        <f t="shared" si="90"/>
        <v>233.32640143610547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0.77507076681408416</v>
      </c>
      <c r="AW78" s="23">
        <f>EXP(-LN(2)/2)*AW77+(1-EXP(-LN(2)/2))/(LN(2)/2)*AQ78*AT78*VLOOKUP('Données projet'!$B$10,Paramètres!$A$1:$I$89,3,0)*0.475*44/12</f>
        <v>2.1156767691623621E-6</v>
      </c>
      <c r="AX78" s="23">
        <f t="shared" si="60"/>
        <v>0.77507288249085327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-3.4106051316484809E-13</v>
      </c>
      <c r="BE78" s="14">
        <f>BD78*VLOOKUP('Données projet'!$B$11,Paramètres!$A$1:$I$89,3,0)*VLOOKUP('Données projet'!$B$11,Paramètres!$A$1:$I$89,5,0)</f>
        <v>-1.9065282685915009E-13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555.15881087162279</v>
      </c>
      <c r="BJ78" s="62">
        <f t="shared" si="92"/>
        <v>668.20427590250733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11.754445969539821</v>
      </c>
      <c r="BQ78" s="23">
        <f>EXP(-LN(2)/25)*BQ77+(1-EXP(-LN(2)/25))/(LN(2)/25)*Calculateur!BL78*Calculateur!BN78*VLOOKUP('Données projet'!$B$11,Paramètres!$A$1:$I$89,3,0)*0.475*44/12</f>
        <v>6.4987562505088583</v>
      </c>
      <c r="BR78" s="23">
        <f>EXP(-LN(2)/2)*BR77+(1-EXP(-LN(2)/2))/(LN(2)/2)*BL78*BO78*VLOOKUP('Données projet'!$B$11,Paramètres!$A$1:$I$89,3,0)*0.475*44/12</f>
        <v>2.3318494727993011E-6</v>
      </c>
      <c r="BS78" s="24">
        <f t="shared" si="63"/>
        <v>18.25320455189815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174.14279999999985</v>
      </c>
      <c r="CA78" s="14">
        <f t="shared" si="93"/>
        <v>44.016568786329309</v>
      </c>
      <c r="CB78" s="22">
        <f t="shared" si="64"/>
        <v>379.96090063618993</v>
      </c>
      <c r="CC78" s="62">
        <f t="shared" si="65"/>
        <v>673.29423396952325</v>
      </c>
      <c r="CD78" s="62">
        <f ca="1">AVERAGE(OFFSET($CC$3,0,0,'Données projet'!$E$12+1,1))-AVERAGE(OFFSET($H$3,0,0,'Données projet'!$E$12+1,1))</f>
        <v>293.996396026019</v>
      </c>
      <c r="CE78" s="62">
        <f t="shared" si="94"/>
        <v>152.23954167722536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-4.9658410716801891E-14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303.33040062722074</v>
      </c>
      <c r="T79" s="62">
        <f t="shared" si="88"/>
        <v>425.30058672361548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9.4517772277181589</v>
      </c>
      <c r="AB79" s="23">
        <f>EXP(-LN(2)/2)*AB78+(1-EXP(-LN(2)/2))/(LN(2)/2)*V79*Y79*VLOOKUP('Données projet'!$B$9,Paramètres!$A$1:$I$89,3,0)*0.475*44/12</f>
        <v>1.941442404411081E-6</v>
      </c>
      <c r="AC79" s="24">
        <f t="shared" si="57"/>
        <v>9.451779169160563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760.87281603332531</v>
      </c>
      <c r="AN79" s="62">
        <f ca="1">AVERAGE(OFFSET($AM$3,0,0,'Données projet'!$E$10+1,1))-AVERAGE(OFFSET($H$3,0,0,'Données projet'!$E$10+1,1))</f>
        <v>371.75294069149942</v>
      </c>
      <c r="AO79" s="62">
        <f t="shared" si="90"/>
        <v>233.32640143610547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0.7538764159363528</v>
      </c>
      <c r="AW79" s="23">
        <f>EXP(-LN(2)/2)*AW78+(1-EXP(-LN(2)/2))/(LN(2)/2)*AQ79*AT79*VLOOKUP('Données projet'!$B$10,Paramètres!$A$1:$I$89,3,0)*0.475*44/12</f>
        <v>1.4960093902735522E-6</v>
      </c>
      <c r="AX79" s="23">
        <f t="shared" si="60"/>
        <v>0.75387791194574305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-3.4106051316484809E-13</v>
      </c>
      <c r="BE79" s="14">
        <f>BD79*VLOOKUP('Données projet'!$B$11,Paramètres!$A$1:$I$89,3,0)*VLOOKUP('Données projet'!$B$11,Paramètres!$A$1:$I$89,5,0)</f>
        <v>-1.9065282685915009E-13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555.15881087162279</v>
      </c>
      <c r="BJ79" s="62">
        <f t="shared" si="92"/>
        <v>668.20427590250733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11.523948453581257</v>
      </c>
      <c r="BQ79" s="23">
        <f>EXP(-LN(2)/25)*BQ78+(1-EXP(-LN(2)/25))/(LN(2)/25)*Calculateur!BL79*Calculateur!BN79*VLOOKUP('Données projet'!$B$11,Paramètres!$A$1:$I$89,3,0)*0.475*44/12</f>
        <v>6.3210474190839552</v>
      </c>
      <c r="BR79" s="23">
        <f>EXP(-LN(2)/2)*BR78+(1-EXP(-LN(2)/2))/(LN(2)/2)*BL79*BO79*VLOOKUP('Données projet'!$B$11,Paramètres!$A$1:$I$89,3,0)*0.475*44/12</f>
        <v>1.6488665749226616E-6</v>
      </c>
      <c r="BS79" s="24">
        <f t="shared" si="63"/>
        <v>17.844997521531788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165.19775999999985</v>
      </c>
      <c r="CA79" s="14">
        <f t="shared" si="93"/>
        <v>42.012694447196289</v>
      </c>
      <c r="CB79" s="22">
        <f t="shared" si="64"/>
        <v>360.89154149553332</v>
      </c>
      <c r="CC79" s="62">
        <f t="shared" si="65"/>
        <v>654.22487482886663</v>
      </c>
      <c r="CD79" s="62">
        <f ca="1">AVERAGE(OFFSET($CC$3,0,0,'Données projet'!$E$12+1,1))-AVERAGE(OFFSET($H$3,0,0,'Données projet'!$E$12+1,1))</f>
        <v>293.996396026019</v>
      </c>
      <c r="CE79" s="62">
        <f t="shared" si="94"/>
        <v>152.23954167722536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-4.9658410716801891E-14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303.33040062722074</v>
      </c>
      <c r="T80" s="62">
        <f t="shared" si="88"/>
        <v>425.30058672361548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9.1933178823788442</v>
      </c>
      <c r="AB80" s="23">
        <f>EXP(-LN(2)/2)*AB79+(1-EXP(-LN(2)/2))/(LN(2)/2)*V80*Y80*VLOOKUP('Données projet'!$B$9,Paramètres!$A$1:$I$89,3,0)*0.475*44/12</f>
        <v>1.372807089442191E-6</v>
      </c>
      <c r="AC80" s="24">
        <f t="shared" si="57"/>
        <v>9.1933192551859335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772.38513856932241</v>
      </c>
      <c r="AN80" s="62">
        <f ca="1">AVERAGE(OFFSET($AM$3,0,0,'Données projet'!$E$10+1,1))-AVERAGE(OFFSET($H$3,0,0,'Données projet'!$E$10+1,1))</f>
        <v>371.75294069149942</v>
      </c>
      <c r="AO80" s="62">
        <f t="shared" si="90"/>
        <v>233.32640143610547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0.73326162569793552</v>
      </c>
      <c r="AW80" s="23">
        <f>EXP(-LN(2)/2)*AW79+(1-EXP(-LN(2)/2))/(LN(2)/2)*AQ80*AT80*VLOOKUP('Données projet'!$B$10,Paramètres!$A$1:$I$89,3,0)*0.475*44/12</f>
        <v>1.057838384581181E-6</v>
      </c>
      <c r="AX80" s="23">
        <f t="shared" si="60"/>
        <v>0.73326268353632007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-3.4106051316484809E-13</v>
      </c>
      <c r="BE80" s="14">
        <f>BD80*VLOOKUP('Données projet'!$B$11,Paramètres!$A$1:$I$89,3,0)*VLOOKUP('Données projet'!$B$11,Paramètres!$A$1:$I$89,5,0)</f>
        <v>-1.9065282685915009E-13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555.15881087162279</v>
      </c>
      <c r="BJ80" s="62">
        <f t="shared" si="92"/>
        <v>668.20427590250733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11.297970853321038</v>
      </c>
      <c r="BQ80" s="23">
        <f>EXP(-LN(2)/25)*BQ79+(1-EXP(-LN(2)/25))/(LN(2)/25)*Calculateur!BL80*Calculateur!BN80*VLOOKUP('Données projet'!$B$11,Paramètres!$A$1:$I$89,3,0)*0.475*44/12</f>
        <v>6.1481980449996678</v>
      </c>
      <c r="BR80" s="23">
        <f>EXP(-LN(2)/2)*BR79+(1-EXP(-LN(2)/2))/(LN(2)/2)*BL80*BO80*VLOOKUP('Données projet'!$B$11,Paramètres!$A$1:$I$89,3,0)*0.475*44/12</f>
        <v>1.1659247363996506E-6</v>
      </c>
      <c r="BS80" s="24">
        <f t="shared" si="63"/>
        <v>17.446170064245443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169.57511999999986</v>
      </c>
      <c r="CA80" s="14">
        <f t="shared" si="93"/>
        <v>42.994850744606296</v>
      </c>
      <c r="CB80" s="22">
        <f t="shared" si="64"/>
        <v>370.22603238018905</v>
      </c>
      <c r="CC80" s="62">
        <f t="shared" si="65"/>
        <v>663.55936571352231</v>
      </c>
      <c r="CD80" s="62">
        <f ca="1">AVERAGE(OFFSET($CC$3,0,0,'Données projet'!$E$12+1,1))-AVERAGE(OFFSET($H$3,0,0,'Données projet'!$E$12+1,1))</f>
        <v>293.996396026019</v>
      </c>
      <c r="CE80" s="62">
        <f t="shared" si="94"/>
        <v>152.23954167722536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-4.9658410716801891E-14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303.33040062722074</v>
      </c>
      <c r="T81" s="62">
        <f t="shared" si="88"/>
        <v>425.30058672361548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8.9419261214296188</v>
      </c>
      <c r="AB81" s="23">
        <f>EXP(-LN(2)/2)*AB80+(1-EXP(-LN(2)/2))/(LN(2)/2)*V81*Y81*VLOOKUP('Données projet'!$B$9,Paramètres!$A$1:$I$89,3,0)*0.475*44/12</f>
        <v>9.707212022055405E-7</v>
      </c>
      <c r="AC81" s="24">
        <f t="shared" si="57"/>
        <v>8.9419270921508218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783.89158069165774</v>
      </c>
      <c r="AN81" s="62">
        <f ca="1">AVERAGE(OFFSET($AM$3,0,0,'Données projet'!$E$10+1,1))-AVERAGE(OFFSET($H$3,0,0,'Données projet'!$E$10+1,1))</f>
        <v>371.75294069149942</v>
      </c>
      <c r="AO81" s="62">
        <f t="shared" si="90"/>
        <v>233.32640143610547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0.71321054798267247</v>
      </c>
      <c r="AW81" s="23">
        <f>EXP(-LN(2)/2)*AW80+(1-EXP(-LN(2)/2))/(LN(2)/2)*AQ81*AT81*VLOOKUP('Données projet'!$B$10,Paramètres!$A$1:$I$89,3,0)*0.475*44/12</f>
        <v>7.4800469513677609E-7</v>
      </c>
      <c r="AX81" s="23">
        <f t="shared" si="60"/>
        <v>0.71321129598736765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-3.4106051316484809E-13</v>
      </c>
      <c r="BE81" s="14">
        <f>BD81*VLOOKUP('Données projet'!$B$11,Paramètres!$A$1:$I$89,3,0)*VLOOKUP('Données projet'!$B$11,Paramètres!$A$1:$I$89,5,0)</f>
        <v>-1.9065282685915009E-13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555.15881087162279</v>
      </c>
      <c r="BJ81" s="62">
        <f t="shared" si="92"/>
        <v>668.20427590250733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11.076424535969196</v>
      </c>
      <c r="BQ81" s="23">
        <f>EXP(-LN(2)/25)*BQ80+(1-EXP(-LN(2)/25))/(LN(2)/25)*Calculateur!BL81*Calculateur!BN81*VLOOKUP('Données projet'!$B$11,Paramètres!$A$1:$I$89,3,0)*0.475*44/12</f>
        <v>5.9800752461394691</v>
      </c>
      <c r="BR81" s="23">
        <f>EXP(-LN(2)/2)*BR80+(1-EXP(-LN(2)/2))/(LN(2)/2)*BL81*BO81*VLOOKUP('Données projet'!$B$11,Paramètres!$A$1:$I$89,3,0)*0.475*44/12</f>
        <v>8.2443328746133082E-7</v>
      </c>
      <c r="BS81" s="24">
        <f t="shared" si="63"/>
        <v>17.056500606541952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173.95247999999984</v>
      </c>
      <c r="CA81" s="14">
        <f t="shared" si="93"/>
        <v>43.974060026724175</v>
      </c>
      <c r="CB81" s="22">
        <f t="shared" si="64"/>
        <v>379.55539054654429</v>
      </c>
      <c r="CC81" s="62">
        <f t="shared" si="65"/>
        <v>672.8887238798776</v>
      </c>
      <c r="CD81" s="62">
        <f ca="1">AVERAGE(OFFSET($CC$3,0,0,'Données projet'!$E$12+1,1))-AVERAGE(OFFSET($H$3,0,0,'Données projet'!$E$12+1,1))</f>
        <v>293.996396026019</v>
      </c>
      <c r="CE81" s="62">
        <f t="shared" si="94"/>
        <v>152.23954167722536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-4.9658410716801891E-14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303.33040062722074</v>
      </c>
      <c r="T82" s="62">
        <f t="shared" si="88"/>
        <v>425.30058672361548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8.6974086814036689</v>
      </c>
      <c r="AB82" s="23">
        <f>EXP(-LN(2)/2)*AB81+(1-EXP(-LN(2)/2))/(LN(2)/2)*V82*Y82*VLOOKUP('Données projet'!$B$9,Paramètres!$A$1:$I$89,3,0)*0.475*44/12</f>
        <v>6.864035447210955E-7</v>
      </c>
      <c r="AC82" s="24">
        <f t="shared" si="57"/>
        <v>8.6974093678072144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795.392299768459</v>
      </c>
      <c r="AN82" s="62">
        <f ca="1">AVERAGE(OFFSET($AM$3,0,0,'Données projet'!$E$10+1,1))-AVERAGE(OFFSET($H$3,0,0,'Données projet'!$E$10+1,1))</f>
        <v>371.75294069149942</v>
      </c>
      <c r="AO82" s="62">
        <f t="shared" si="90"/>
        <v>233.32640143610547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0.69370776804197365</v>
      </c>
      <c r="AW82" s="23">
        <f>EXP(-LN(2)/2)*AW81+(1-EXP(-LN(2)/2))/(LN(2)/2)*AQ82*AT82*VLOOKUP('Données projet'!$B$10,Paramètres!$A$1:$I$89,3,0)*0.475*44/12</f>
        <v>5.2891919229059052E-7</v>
      </c>
      <c r="AX82" s="23">
        <f t="shared" si="60"/>
        <v>0.69370829696116598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-3.4106051316484809E-13</v>
      </c>
      <c r="BE82" s="14">
        <f>BD82*VLOOKUP('Données projet'!$B$11,Paramètres!$A$1:$I$89,3,0)*VLOOKUP('Données projet'!$B$11,Paramètres!$A$1:$I$89,5,0)</f>
        <v>-1.9065282685915009E-13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555.15881087162279</v>
      </c>
      <c r="BJ82" s="62">
        <f t="shared" si="92"/>
        <v>668.20427590250733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10.859222606770711</v>
      </c>
      <c r="BQ82" s="23">
        <f>EXP(-LN(2)/25)*BQ81+(1-EXP(-LN(2)/25))/(LN(2)/25)*Calculateur!BL82*Calculateur!BN82*VLOOKUP('Données projet'!$B$11,Paramètres!$A$1:$I$89,3,0)*0.475*44/12</f>
        <v>5.8165497740552956</v>
      </c>
      <c r="BR82" s="23">
        <f>EXP(-LN(2)/2)*BR81+(1-EXP(-LN(2)/2))/(LN(2)/2)*BL82*BO82*VLOOKUP('Données projet'!$B$11,Paramètres!$A$1:$I$89,3,0)*0.475*44/12</f>
        <v>5.8296236819982528E-7</v>
      </c>
      <c r="BS82" s="24">
        <f t="shared" si="63"/>
        <v>16.675772963788376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178.32983999999985</v>
      </c>
      <c r="CA82" s="14">
        <f t="shared" si="93"/>
        <v>44.950404981211136</v>
      </c>
      <c r="CB82" s="22">
        <f t="shared" si="64"/>
        <v>388.87976000894241</v>
      </c>
      <c r="CC82" s="62">
        <f t="shared" si="65"/>
        <v>682.21309334227567</v>
      </c>
      <c r="CD82" s="62">
        <f ca="1">AVERAGE(OFFSET($CC$3,0,0,'Données projet'!$E$12+1,1))-AVERAGE(OFFSET($H$3,0,0,'Données projet'!$E$12+1,1))</f>
        <v>293.996396026019</v>
      </c>
      <c r="CE82" s="62">
        <f t="shared" si="94"/>
        <v>152.23954167722536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-4.9658410716801891E-14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303.33040062722074</v>
      </c>
      <c r="T83" s="62">
        <f t="shared" si="88"/>
        <v>425.30058672361548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8.4595775836338412</v>
      </c>
      <c r="AB83" s="23">
        <f>EXP(-LN(2)/2)*AB82+(1-EXP(-LN(2)/2))/(LN(2)/2)*V83*Y83*VLOOKUP('Données projet'!$B$9,Paramètres!$A$1:$I$89,3,0)*0.475*44/12</f>
        <v>4.8536060110277025E-7</v>
      </c>
      <c r="AC83" s="24">
        <f t="shared" si="57"/>
        <v>8.4595780689944426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806.88744537039292</v>
      </c>
      <c r="AN83" s="62">
        <f ca="1">AVERAGE(OFFSET($AM$3,0,0,'Données projet'!$E$10+1,1))-AVERAGE(OFFSET($H$3,0,0,'Données projet'!$E$10+1,1))</f>
        <v>371.75294069149942</v>
      </c>
      <c r="AO83" s="62">
        <f t="shared" si="90"/>
        <v>233.32640143610547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0.67473829264435981</v>
      </c>
      <c r="AW83" s="23">
        <f>EXP(-LN(2)/2)*AW82+(1-EXP(-LN(2)/2))/(LN(2)/2)*AQ83*AT83*VLOOKUP('Données projet'!$B$10,Paramètres!$A$1:$I$89,3,0)*0.475*44/12</f>
        <v>3.7400234756838804E-7</v>
      </c>
      <c r="AX83" s="23">
        <f t="shared" si="60"/>
        <v>0.67473866664670734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-3.4106051316484809E-13</v>
      </c>
      <c r="BE83" s="14">
        <f>BD83*VLOOKUP('Données projet'!$B$11,Paramètres!$A$1:$I$89,3,0)*VLOOKUP('Données projet'!$B$11,Paramètres!$A$1:$I$89,5,0)</f>
        <v>-1.9065282685915009E-13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555.15881087162279</v>
      </c>
      <c r="BJ83" s="62">
        <f t="shared" si="92"/>
        <v>668.20427590250733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10.646279874923714</v>
      </c>
      <c r="BQ83" s="23">
        <f>EXP(-LN(2)/25)*BQ82+(1-EXP(-LN(2)/25))/(LN(2)/25)*Calculateur!BL83*Calculateur!BN83*VLOOKUP('Données projet'!$B$11,Paramètres!$A$1:$I$89,3,0)*0.475*44/12</f>
        <v>5.657495914604695</v>
      </c>
      <c r="BR83" s="23">
        <f>EXP(-LN(2)/2)*BR82+(1-EXP(-LN(2)/2))/(LN(2)/2)*BL83*BO83*VLOOKUP('Données projet'!$B$11,Paramètres!$A$1:$I$89,3,0)*0.475*44/12</f>
        <v>4.1221664373066541E-7</v>
      </c>
      <c r="BS83" s="24">
        <f t="shared" si="63"/>
        <v>16.303776201745052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182.70719999999983</v>
      </c>
      <c r="CA83" s="14">
        <f t="shared" si="93"/>
        <v>45.923964004932401</v>
      </c>
      <c r="CB83" s="22">
        <f t="shared" si="64"/>
        <v>398.1992773085903</v>
      </c>
      <c r="CC83" s="62">
        <f t="shared" si="65"/>
        <v>691.53261064192361</v>
      </c>
      <c r="CD83" s="62">
        <f ca="1">AVERAGE(OFFSET($CC$3,0,0,'Données projet'!$E$12+1,1))-AVERAGE(OFFSET($H$3,0,0,'Données projet'!$E$12+1,1))</f>
        <v>293.996396026019</v>
      </c>
      <c r="CE83" s="62">
        <f t="shared" si="94"/>
        <v>152.23954167722536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-4.9658410716801891E-14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303.33040062722074</v>
      </c>
      <c r="T84" s="62">
        <f t="shared" si="88"/>
        <v>425.30058672361548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8.228249989739524</v>
      </c>
      <c r="AB84" s="23">
        <f>EXP(-LN(2)/2)*AB83+(1-EXP(-LN(2)/2))/(LN(2)/2)*V84*Y84*VLOOKUP('Données projet'!$B$9,Paramètres!$A$1:$I$89,3,0)*0.475*44/12</f>
        <v>3.4320177236054775E-7</v>
      </c>
      <c r="AC84" s="24">
        <f t="shared" si="57"/>
        <v>8.2282503329412968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777.37197605573681</v>
      </c>
      <c r="AN84" s="62">
        <f ca="1">AVERAGE(OFFSET($AM$3,0,0,'Données projet'!$E$10+1,1))-AVERAGE(OFFSET($H$3,0,0,'Données projet'!$E$10+1,1))</f>
        <v>371.75294069149942</v>
      </c>
      <c r="AO84" s="62">
        <f t="shared" si="90"/>
        <v>233.32640143610547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0.65628753854905508</v>
      </c>
      <c r="AW84" s="23">
        <f>EXP(-LN(2)/2)*AW83+(1-EXP(-LN(2)/2))/(LN(2)/2)*AQ84*AT84*VLOOKUP('Données projet'!$B$10,Paramètres!$A$1:$I$89,3,0)*0.475*44/12</f>
        <v>2.6445959614529526E-7</v>
      </c>
      <c r="AX84" s="23">
        <f t="shared" si="60"/>
        <v>0.65628780300865119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-3.4106051316484809E-13</v>
      </c>
      <c r="BE84" s="14">
        <f>BD84*VLOOKUP('Données projet'!$B$11,Paramètres!$A$1:$I$89,3,0)*VLOOKUP('Données projet'!$B$11,Paramètres!$A$1:$I$89,5,0)</f>
        <v>-1.9065282685915009E-13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555.15881087162279</v>
      </c>
      <c r="BJ84" s="62">
        <f t="shared" si="92"/>
        <v>668.20427590250733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10.437512820165995</v>
      </c>
      <c r="BQ84" s="23">
        <f>EXP(-LN(2)/25)*BQ83+(1-EXP(-LN(2)/25))/(LN(2)/25)*Calculateur!BL84*Calculateur!BN84*VLOOKUP('Données projet'!$B$11,Paramètres!$A$1:$I$89,3,0)*0.475*44/12</f>
        <v>5.5027913913050499</v>
      </c>
      <c r="BR84" s="23">
        <f>EXP(-LN(2)/2)*BR83+(1-EXP(-LN(2)/2))/(LN(2)/2)*BL84*BO84*VLOOKUP('Données projet'!$B$11,Paramètres!$A$1:$I$89,3,0)*0.475*44/12</f>
        <v>2.9148118409991264E-7</v>
      </c>
      <c r="BS84" s="24">
        <f t="shared" si="63"/>
        <v>15.940304502952229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173.57183999999984</v>
      </c>
      <c r="CA84" s="14">
        <f t="shared" si="93"/>
        <v>43.889026259091189</v>
      </c>
      <c r="CB84" s="22">
        <f t="shared" si="64"/>
        <v>378.74434206791688</v>
      </c>
      <c r="CC84" s="62">
        <f t="shared" si="65"/>
        <v>672.07767540125019</v>
      </c>
      <c r="CD84" s="62">
        <f ca="1">AVERAGE(OFFSET($CC$3,0,0,'Données projet'!$E$12+1,1))-AVERAGE(OFFSET($H$3,0,0,'Données projet'!$E$12+1,1))</f>
        <v>293.996396026019</v>
      </c>
      <c r="CE84" s="62">
        <f t="shared" si="94"/>
        <v>152.23954167722536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-4.9658410716801891E-14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303.33040062722074</v>
      </c>
      <c r="T85" s="62">
        <f t="shared" si="88"/>
        <v>425.30058672361548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8.0032480610652357</v>
      </c>
      <c r="AB85" s="23">
        <f>EXP(-LN(2)/2)*AB84+(1-EXP(-LN(2)/2))/(LN(2)/2)*V85*Y85*VLOOKUP('Données projet'!$B$9,Paramètres!$A$1:$I$89,3,0)*0.475*44/12</f>
        <v>2.4268030055138513E-7</v>
      </c>
      <c r="AC85" s="24">
        <f t="shared" si="57"/>
        <v>8.0032483037455364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788.10916745495638</v>
      </c>
      <c r="AN85" s="62">
        <f ca="1">AVERAGE(OFFSET($AM$3,0,0,'Données projet'!$E$10+1,1))-AVERAGE(OFFSET($H$3,0,0,'Données projet'!$E$10+1,1))</f>
        <v>371.75294069149942</v>
      </c>
      <c r="AO85" s="62">
        <f t="shared" si="90"/>
        <v>233.32640143610547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0.6383413212947695</v>
      </c>
      <c r="AW85" s="23">
        <f>EXP(-LN(2)/2)*AW84+(1-EXP(-LN(2)/2))/(LN(2)/2)*AQ85*AT85*VLOOKUP('Données projet'!$B$10,Paramètres!$A$1:$I$89,3,0)*0.475*44/12</f>
        <v>1.8700117378419402E-7</v>
      </c>
      <c r="AX85" s="23">
        <f t="shared" si="60"/>
        <v>0.63834150829594327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-3.4106051316484809E-13</v>
      </c>
      <c r="BE85" s="14">
        <f>BD85*VLOOKUP('Données projet'!$B$11,Paramètres!$A$1:$I$89,3,0)*VLOOKUP('Données projet'!$B$11,Paramètres!$A$1:$I$89,5,0)</f>
        <v>-1.9065282685915009E-13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555.15881087162279</v>
      </c>
      <c r="BJ85" s="62">
        <f t="shared" si="92"/>
        <v>668.20427590250733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10.232839560016744</v>
      </c>
      <c r="BQ85" s="23">
        <f>EXP(-LN(2)/25)*BQ84+(1-EXP(-LN(2)/25))/(LN(2)/25)*Calculateur!BL85*Calculateur!BN85*VLOOKUP('Données projet'!$B$11,Paramètres!$A$1:$I$89,3,0)*0.475*44/12</f>
        <v>5.3523172713305911</v>
      </c>
      <c r="BR85" s="23">
        <f>EXP(-LN(2)/2)*BR84+(1-EXP(-LN(2)/2))/(LN(2)/2)*BL85*BO85*VLOOKUP('Données projet'!$B$11,Paramètres!$A$1:$I$89,3,0)*0.475*44/12</f>
        <v>2.0610832186533271E-7</v>
      </c>
      <c r="BS85" s="24">
        <f t="shared" si="63"/>
        <v>15.585157037455657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177.75887999999983</v>
      </c>
      <c r="CA85" s="14">
        <f t="shared" si="93"/>
        <v>44.823215265943929</v>
      </c>
      <c r="CB85" s="22">
        <f t="shared" si="64"/>
        <v>387.66381592151873</v>
      </c>
      <c r="CC85" s="62">
        <f t="shared" si="65"/>
        <v>680.99714925485205</v>
      </c>
      <c r="CD85" s="62">
        <f ca="1">AVERAGE(OFFSET($CC$3,0,0,'Données projet'!$E$12+1,1))-AVERAGE(OFFSET($H$3,0,0,'Données projet'!$E$12+1,1))</f>
        <v>293.996396026019</v>
      </c>
      <c r="CE85" s="62">
        <f t="shared" si="94"/>
        <v>152.23954167722536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-4.9658410716801891E-14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303.33040062722074</v>
      </c>
      <c r="T86" s="62">
        <f t="shared" si="88"/>
        <v>425.30058672361548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7.784398821962883</v>
      </c>
      <c r="AB86" s="23">
        <f>EXP(-LN(2)/2)*AB85+(1-EXP(-LN(2)/2))/(LN(2)/2)*V86*Y86*VLOOKUP('Données projet'!$B$9,Paramètres!$A$1:$I$89,3,0)*0.475*44/12</f>
        <v>1.7160088618027388E-7</v>
      </c>
      <c r="AC86" s="24">
        <f t="shared" si="57"/>
        <v>7.7843989935637694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798.84142205257444</v>
      </c>
      <c r="AN86" s="62">
        <f ca="1">AVERAGE(OFFSET($AM$3,0,0,'Données projet'!$E$10+1,1))-AVERAGE(OFFSET($H$3,0,0,'Données projet'!$E$10+1,1))</f>
        <v>371.75294069149942</v>
      </c>
      <c r="AO86" s="62">
        <f t="shared" si="90"/>
        <v>233.32640143610547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0.62088584429505289</v>
      </c>
      <c r="AW86" s="23">
        <f>EXP(-LN(2)/2)*AW85+(1-EXP(-LN(2)/2))/(LN(2)/2)*AQ86*AT86*VLOOKUP('Données projet'!$B$10,Paramètres!$A$1:$I$89,3,0)*0.475*44/12</f>
        <v>1.3222979807264763E-7</v>
      </c>
      <c r="AX86" s="23">
        <f t="shared" si="60"/>
        <v>0.620885976524851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-3.4106051316484809E-13</v>
      </c>
      <c r="BE86" s="14">
        <f>BD86*VLOOKUP('Données projet'!$B$11,Paramètres!$A$1:$I$89,3,0)*VLOOKUP('Données projet'!$B$11,Paramètres!$A$1:$I$89,5,0)</f>
        <v>-1.9065282685915009E-13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555.15881087162279</v>
      </c>
      <c r="BJ86" s="62">
        <f t="shared" si="92"/>
        <v>668.20427590250733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10.032179817660658</v>
      </c>
      <c r="BQ86" s="23">
        <f>EXP(-LN(2)/25)*BQ85+(1-EXP(-LN(2)/25))/(LN(2)/25)*Calculateur!BL86*Calculateur!BN86*VLOOKUP('Données projet'!$B$11,Paramètres!$A$1:$I$89,3,0)*0.475*44/12</f>
        <v>5.2059578740799237</v>
      </c>
      <c r="BR86" s="23">
        <f>EXP(-LN(2)/2)*BR85+(1-EXP(-LN(2)/2))/(LN(2)/2)*BL86*BO86*VLOOKUP('Données projet'!$B$11,Paramètres!$A$1:$I$89,3,0)*0.475*44/12</f>
        <v>1.4574059204995632E-7</v>
      </c>
      <c r="BS86" s="24">
        <f t="shared" si="63"/>
        <v>15.238137837481176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181.94591999999986</v>
      </c>
      <c r="CA86" s="14">
        <f t="shared" si="93"/>
        <v>45.754846212632806</v>
      </c>
      <c r="CB86" s="22">
        <f t="shared" si="64"/>
        <v>396.57883448700187</v>
      </c>
      <c r="CC86" s="62">
        <f t="shared" si="65"/>
        <v>689.91216782033518</v>
      </c>
      <c r="CD86" s="62">
        <f ca="1">AVERAGE(OFFSET($CC$3,0,0,'Données projet'!$E$12+1,1))-AVERAGE(OFFSET($H$3,0,0,'Données projet'!$E$12+1,1))</f>
        <v>293.996396026019</v>
      </c>
      <c r="CE86" s="62">
        <f t="shared" si="94"/>
        <v>152.23954167722536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-4.9658410716801891E-14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303.33040062722074</v>
      </c>
      <c r="T87" s="62">
        <f t="shared" si="88"/>
        <v>425.30058672361548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7.5715340268125653</v>
      </c>
      <c r="AB87" s="23">
        <f>EXP(-LN(2)/2)*AB86+(1-EXP(-LN(2)/2))/(LN(2)/2)*V87*Y87*VLOOKUP('Données projet'!$B$9,Paramètres!$A$1:$I$89,3,0)*0.475*44/12</f>
        <v>1.2134015027569256E-7</v>
      </c>
      <c r="AC87" s="24">
        <f t="shared" si="57"/>
        <v>7.5715341481527156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809.56885943743691</v>
      </c>
      <c r="AN87" s="62">
        <f ca="1">AVERAGE(OFFSET($AM$3,0,0,'Données projet'!$E$10+1,1))-AVERAGE(OFFSET($H$3,0,0,'Données projet'!$E$10+1,1))</f>
        <v>371.75294069149942</v>
      </c>
      <c r="AO87" s="62">
        <f t="shared" si="90"/>
        <v>233.32640143610547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0.60390768823183716</v>
      </c>
      <c r="AW87" s="23">
        <f>EXP(-LN(2)/2)*AW86+(1-EXP(-LN(2)/2))/(LN(2)/2)*AQ87*AT87*VLOOKUP('Données projet'!$B$10,Paramètres!$A$1:$I$89,3,0)*0.475*44/12</f>
        <v>9.3500586892097011E-8</v>
      </c>
      <c r="AX87" s="23">
        <f t="shared" si="60"/>
        <v>0.6039077817324241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-3.4106051316484809E-13</v>
      </c>
      <c r="BE87" s="14">
        <f>BD87*VLOOKUP('Données projet'!$B$11,Paramètres!$A$1:$I$89,3,0)*VLOOKUP('Données projet'!$B$11,Paramètres!$A$1:$I$89,5,0)</f>
        <v>-1.9065282685915009E-13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555.15881087162279</v>
      </c>
      <c r="BJ87" s="62">
        <f t="shared" si="92"/>
        <v>668.20427590250733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9.8354548904618184</v>
      </c>
      <c r="BQ87" s="23">
        <f>EXP(-LN(2)/25)*BQ86+(1-EXP(-LN(2)/25))/(LN(2)/25)*Calculateur!BL87*Calculateur!BN87*VLOOKUP('Données projet'!$B$11,Paramètres!$A$1:$I$89,3,0)*0.475*44/12</f>
        <v>5.0636006822437816</v>
      </c>
      <c r="BR87" s="23">
        <f>EXP(-LN(2)/2)*BR86+(1-EXP(-LN(2)/2))/(LN(2)/2)*BL87*BO87*VLOOKUP('Données projet'!$B$11,Paramètres!$A$1:$I$89,3,0)*0.475*44/12</f>
        <v>1.0305416093266635E-7</v>
      </c>
      <c r="BS87" s="24">
        <f t="shared" si="63"/>
        <v>14.89905567575976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186.13295999999985</v>
      </c>
      <c r="CA87" s="14">
        <f t="shared" si="93"/>
        <v>46.683984742595676</v>
      </c>
      <c r="CB87" s="22">
        <f t="shared" si="64"/>
        <v>405.48951209335388</v>
      </c>
      <c r="CC87" s="62">
        <f t="shared" si="65"/>
        <v>698.82284542668719</v>
      </c>
      <c r="CD87" s="62">
        <f ca="1">AVERAGE(OFFSET($CC$3,0,0,'Données projet'!$E$12+1,1))-AVERAGE(OFFSET($H$3,0,0,'Données projet'!$E$12+1,1))</f>
        <v>293.996396026019</v>
      </c>
      <c r="CE87" s="62">
        <f t="shared" si="94"/>
        <v>152.23954167722536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-4.9658410716801891E-14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303.33040062722074</v>
      </c>
      <c r="T88" s="62">
        <f t="shared" si="88"/>
        <v>425.30058672361548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7.3644900306797059</v>
      </c>
      <c r="AB88" s="23">
        <f>EXP(-LN(2)/2)*AB87+(1-EXP(-LN(2)/2))/(LN(2)/2)*V88*Y88*VLOOKUP('Données projet'!$B$9,Paramètres!$A$1:$I$89,3,0)*0.475*44/12</f>
        <v>8.5800443090136938E-8</v>
      </c>
      <c r="AC88" s="24">
        <f t="shared" si="57"/>
        <v>7.3644901164801491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820.29159382285434</v>
      </c>
      <c r="AN88" s="62">
        <f ca="1">AVERAGE(OFFSET($AM$3,0,0,'Données projet'!$E$10+1,1))-AVERAGE(OFFSET($H$3,0,0,'Données projet'!$E$10+1,1))</f>
        <v>371.75294069149942</v>
      </c>
      <c r="AO88" s="62">
        <f t="shared" si="90"/>
        <v>233.32640143610547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0.58739380073901248</v>
      </c>
      <c r="AW88" s="23">
        <f>EXP(-LN(2)/2)*AW87+(1-EXP(-LN(2)/2))/(LN(2)/2)*AQ88*AT88*VLOOKUP('Données projet'!$B$10,Paramètres!$A$1:$I$89,3,0)*0.475*44/12</f>
        <v>6.6114899036323814E-8</v>
      </c>
      <c r="AX88" s="23">
        <f t="shared" si="60"/>
        <v>0.58739386685391148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-3.4106051316484809E-13</v>
      </c>
      <c r="BE88" s="14">
        <f>BD88*VLOOKUP('Données projet'!$B$11,Paramètres!$A$1:$I$89,3,0)*VLOOKUP('Données projet'!$B$11,Paramètres!$A$1:$I$89,5,0)</f>
        <v>-1.9065282685915009E-13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555.15881087162279</v>
      </c>
      <c r="BJ88" s="62">
        <f t="shared" si="92"/>
        <v>668.20427590250733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9.6425876190949893</v>
      </c>
      <c r="BQ88" s="23">
        <f>EXP(-LN(2)/25)*BQ87+(1-EXP(-LN(2)/25))/(LN(2)/25)*Calculateur!BL88*Calculateur!BN88*VLOOKUP('Données projet'!$B$11,Paramètres!$A$1:$I$89,3,0)*0.475*44/12</f>
        <v>4.9251362553046389</v>
      </c>
      <c r="BR88" s="23">
        <f>EXP(-LN(2)/2)*BR87+(1-EXP(-LN(2)/2))/(LN(2)/2)*BL88*BO88*VLOOKUP('Données projet'!$B$11,Paramètres!$A$1:$I$89,3,0)*0.475*44/12</f>
        <v>7.287029602497816E-8</v>
      </c>
      <c r="BS88" s="24">
        <f t="shared" si="63"/>
        <v>14.567723947269926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190.31999999999988</v>
      </c>
      <c r="CA88" s="14">
        <f t="shared" si="93"/>
        <v>47.61069337740188</v>
      </c>
      <c r="CB88" s="22">
        <f t="shared" si="64"/>
        <v>414.39595763230801</v>
      </c>
      <c r="CC88" s="62">
        <f t="shared" si="65"/>
        <v>707.72929096564133</v>
      </c>
      <c r="CD88" s="62">
        <f ca="1">AVERAGE(OFFSET($CC$3,0,0,'Données projet'!$E$12+1,1))-AVERAGE(OFFSET($H$3,0,0,'Données projet'!$E$12+1,1))</f>
        <v>293.996396026019</v>
      </c>
      <c r="CE88" s="62">
        <f t="shared" si="94"/>
        <v>152.23954167722536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-4.9658410716801891E-14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303.33040062722074</v>
      </c>
      <c r="T89" s="62">
        <f t="shared" si="88"/>
        <v>425.30058672361548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7.16310766350907</v>
      </c>
      <c r="AB89" s="23">
        <f>EXP(-LN(2)/2)*AB88+(1-EXP(-LN(2)/2))/(LN(2)/2)*V89*Y89*VLOOKUP('Données projet'!$B$9,Paramètres!$A$1:$I$89,3,0)*0.475*44/12</f>
        <v>6.0670075137846282E-8</v>
      </c>
      <c r="AC89" s="24">
        <f t="shared" si="57"/>
        <v>7.1631077241791452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790.40934773559309</v>
      </c>
      <c r="AN89" s="62">
        <f ca="1">AVERAGE(OFFSET($AM$3,0,0,'Données projet'!$E$10+1,1))-AVERAGE(OFFSET($H$3,0,0,'Données projet'!$E$10+1,1))</f>
        <v>371.75294069149942</v>
      </c>
      <c r="AO89" s="62">
        <f t="shared" si="90"/>
        <v>233.32640143610547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0.57133148636810671</v>
      </c>
      <c r="AW89" s="23">
        <f>EXP(-LN(2)/2)*AW88+(1-EXP(-LN(2)/2))/(LN(2)/2)*AQ89*AT89*VLOOKUP('Données projet'!$B$10,Paramètres!$A$1:$I$89,3,0)*0.475*44/12</f>
        <v>4.6750293446048505E-8</v>
      </c>
      <c r="AX89" s="23">
        <f t="shared" si="60"/>
        <v>0.57133153311840013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-3.4106051316484809E-13</v>
      </c>
      <c r="BE89" s="14">
        <f>BD89*VLOOKUP('Données projet'!$B$11,Paramètres!$A$1:$I$89,3,0)*VLOOKUP('Données projet'!$B$11,Paramètres!$A$1:$I$89,5,0)</f>
        <v>-1.9065282685915009E-13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555.15881087162279</v>
      </c>
      <c r="BJ89" s="62">
        <f t="shared" si="92"/>
        <v>668.20427590250733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9.453502357282245</v>
      </c>
      <c r="BQ89" s="23">
        <f>EXP(-LN(2)/25)*BQ88+(1-EXP(-LN(2)/25))/(LN(2)/25)*Calculateur!BL89*Calculateur!BN89*VLOOKUP('Données projet'!$B$11,Paramètres!$A$1:$I$89,3,0)*0.475*44/12</f>
        <v>4.7904581454016748</v>
      </c>
      <c r="BR89" s="23">
        <f>EXP(-LN(2)/2)*BR88+(1-EXP(-LN(2)/2))/(LN(2)/2)*BL89*BO89*VLOOKUP('Données projet'!$B$11,Paramètres!$A$1:$I$89,3,0)*0.475*44/12</f>
        <v>5.1527080466333176E-8</v>
      </c>
      <c r="BS89" s="24">
        <f t="shared" si="63"/>
        <v>14.243960554211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180.99431999999985</v>
      </c>
      <c r="CA89" s="14">
        <f t="shared" si="93"/>
        <v>45.543333072238951</v>
      </c>
      <c r="CB89" s="22">
        <f t="shared" si="64"/>
        <v>394.55307910081592</v>
      </c>
      <c r="CC89" s="62">
        <f t="shared" si="65"/>
        <v>687.88641243414918</v>
      </c>
      <c r="CD89" s="62">
        <f ca="1">AVERAGE(OFFSET($CC$3,0,0,'Données projet'!$E$12+1,1))-AVERAGE(OFFSET($H$3,0,0,'Données projet'!$E$12+1,1))</f>
        <v>293.996396026019</v>
      </c>
      <c r="CE89" s="62">
        <f t="shared" si="94"/>
        <v>152.23954167722536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-4.9658410716801891E-14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303.33040062722074</v>
      </c>
      <c r="T90" s="62">
        <f t="shared" si="88"/>
        <v>425.30058672361548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6.9672321077589539</v>
      </c>
      <c r="AB90" s="23">
        <f>EXP(-LN(2)/2)*AB89+(1-EXP(-LN(2)/2))/(LN(2)/2)*V90*Y90*VLOOKUP('Données projet'!$B$9,Paramètres!$A$1:$I$89,3,0)*0.475*44/12</f>
        <v>4.2900221545068469E-8</v>
      </c>
      <c r="AC90" s="24">
        <f t="shared" si="57"/>
        <v>6.967232150659175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800.75738581526605</v>
      </c>
      <c r="AN90" s="62">
        <f ca="1">AVERAGE(OFFSET($AM$3,0,0,'Données projet'!$E$10+1,1))-AVERAGE(OFFSET($H$3,0,0,'Données projet'!$E$10+1,1))</f>
        <v>371.75294069149942</v>
      </c>
      <c r="AO90" s="62">
        <f t="shared" si="90"/>
        <v>233.32640143610547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0.55570839682835371</v>
      </c>
      <c r="AW90" s="23">
        <f>EXP(-LN(2)/2)*AW89+(1-EXP(-LN(2)/2))/(LN(2)/2)*AQ90*AT90*VLOOKUP('Données projet'!$B$10,Paramètres!$A$1:$I$89,3,0)*0.475*44/12</f>
        <v>3.3057449518161907E-8</v>
      </c>
      <c r="AX90" s="23">
        <f t="shared" si="60"/>
        <v>0.55570842988580327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-3.4106051316484809E-13</v>
      </c>
      <c r="BE90" s="14">
        <f>BD90*VLOOKUP('Données projet'!$B$11,Paramètres!$A$1:$I$89,3,0)*VLOOKUP('Données projet'!$B$11,Paramètres!$A$1:$I$89,5,0)</f>
        <v>-1.9065282685915009E-13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555.15881087162279</v>
      </c>
      <c r="BJ90" s="62">
        <f t="shared" si="92"/>
        <v>668.20427590250733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9.268124942123027</v>
      </c>
      <c r="BQ90" s="23">
        <f>EXP(-LN(2)/25)*BQ89+(1-EXP(-LN(2)/25))/(LN(2)/25)*Calculateur!BL90*Calculateur!BN90*VLOOKUP('Données projet'!$B$11,Paramètres!$A$1:$I$89,3,0)*0.475*44/12</f>
        <v>4.6594628154964211</v>
      </c>
      <c r="BR90" s="23">
        <f>EXP(-LN(2)/2)*BR89+(1-EXP(-LN(2)/2))/(LN(2)/2)*BL90*BO90*VLOOKUP('Données projet'!$B$11,Paramètres!$A$1:$I$89,3,0)*0.475*44/12</f>
        <v>3.643514801248908E-8</v>
      </c>
      <c r="BS90" s="24">
        <f t="shared" si="63"/>
        <v>13.927587794054597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184.99103999999986</v>
      </c>
      <c r="CA90" s="14">
        <f t="shared" si="93"/>
        <v>46.430826882655602</v>
      </c>
      <c r="CB90" s="22">
        <f t="shared" si="64"/>
        <v>403.05975148729158</v>
      </c>
      <c r="CC90" s="62">
        <f t="shared" si="65"/>
        <v>696.39308482062484</v>
      </c>
      <c r="CD90" s="62">
        <f ca="1">AVERAGE(OFFSET($CC$3,0,0,'Données projet'!$E$12+1,1))-AVERAGE(OFFSET($H$3,0,0,'Données projet'!$E$12+1,1))</f>
        <v>293.996396026019</v>
      </c>
      <c r="CE90" s="62">
        <f t="shared" si="94"/>
        <v>152.23954167722536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-4.9658410716801891E-14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303.33040062722074</v>
      </c>
      <c r="T91" s="62">
        <f t="shared" si="88"/>
        <v>425.30058672361548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6.7767127793814721</v>
      </c>
      <c r="AB91" s="23">
        <f>EXP(-LN(2)/2)*AB90+(1-EXP(-LN(2)/2))/(LN(2)/2)*V91*Y91*VLOOKUP('Données projet'!$B$9,Paramètres!$A$1:$I$89,3,0)*0.475*44/12</f>
        <v>3.0335037568923141E-8</v>
      </c>
      <c r="AC91" s="24">
        <f t="shared" si="57"/>
        <v>6.7767128097165097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811.10096397458346</v>
      </c>
      <c r="AN91" s="62">
        <f ca="1">AVERAGE(OFFSET($AM$3,0,0,'Données projet'!$E$10+1,1))-AVERAGE(OFFSET($H$3,0,0,'Données projet'!$E$10+1,1))</f>
        <v>371.75294069149942</v>
      </c>
      <c r="AO91" s="62">
        <f t="shared" si="90"/>
        <v>233.32640143610547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0.54051252149364792</v>
      </c>
      <c r="AW91" s="23">
        <f>EXP(-LN(2)/2)*AW90+(1-EXP(-LN(2)/2))/(LN(2)/2)*AQ91*AT91*VLOOKUP('Données projet'!$B$10,Paramètres!$A$1:$I$89,3,0)*0.475*44/12</f>
        <v>2.3375146723024253E-8</v>
      </c>
      <c r="AX91" s="23">
        <f t="shared" si="60"/>
        <v>0.54051254486879463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-3.4106051316484809E-13</v>
      </c>
      <c r="BE91" s="14">
        <f>BD91*VLOOKUP('Données projet'!$B$11,Paramètres!$A$1:$I$89,3,0)*VLOOKUP('Données projet'!$B$11,Paramètres!$A$1:$I$89,5,0)</f>
        <v>-1.9065282685915009E-13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555.15881087162279</v>
      </c>
      <c r="BJ91" s="62">
        <f t="shared" si="92"/>
        <v>668.20427590250733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9.0863826650060222</v>
      </c>
      <c r="BQ91" s="23">
        <f>EXP(-LN(2)/25)*BQ90+(1-EXP(-LN(2)/25))/(LN(2)/25)*Calculateur!BL91*Calculateur!BN91*VLOOKUP('Données projet'!$B$11,Paramètres!$A$1:$I$89,3,0)*0.475*44/12</f>
        <v>4.532049559776171</v>
      </c>
      <c r="BR91" s="23">
        <f>EXP(-LN(2)/2)*BR90+(1-EXP(-LN(2)/2))/(LN(2)/2)*BL91*BO91*VLOOKUP('Données projet'!$B$11,Paramètres!$A$1:$I$89,3,0)*0.475*44/12</f>
        <v>2.5763540233166588E-8</v>
      </c>
      <c r="BS91" s="24">
        <f t="shared" si="63"/>
        <v>13.618432250545734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188.98775999999984</v>
      </c>
      <c r="CA91" s="14">
        <f t="shared" si="93"/>
        <v>47.316091431214247</v>
      </c>
      <c r="CB91" s="22">
        <f t="shared" si="64"/>
        <v>411.56254124269782</v>
      </c>
      <c r="CC91" s="62">
        <f t="shared" si="65"/>
        <v>704.89587457603113</v>
      </c>
      <c r="CD91" s="62">
        <f ca="1">AVERAGE(OFFSET($CC$3,0,0,'Données projet'!$E$12+1,1))-AVERAGE(OFFSET($H$3,0,0,'Données projet'!$E$12+1,1))</f>
        <v>293.996396026019</v>
      </c>
      <c r="CE91" s="62">
        <f t="shared" si="94"/>
        <v>152.23954167722536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-4.9658410716801891E-14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303.33040062722074</v>
      </c>
      <c r="T92" s="62">
        <f t="shared" si="88"/>
        <v>425.30058672361548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6.5914032120574495</v>
      </c>
      <c r="AB92" s="23">
        <f>EXP(-LN(2)/2)*AB91+(1-EXP(-LN(2)/2))/(LN(2)/2)*V92*Y92*VLOOKUP('Données projet'!$B$9,Paramètres!$A$1:$I$89,3,0)*0.475*44/12</f>
        <v>2.1450110772534234E-8</v>
      </c>
      <c r="AC92" s="24">
        <f t="shared" si="57"/>
        <v>6.5914032335075605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821.44018387408414</v>
      </c>
      <c r="AN92" s="62">
        <f ca="1">AVERAGE(OFFSET($AM$3,0,0,'Données projet'!$E$10+1,1))-AVERAGE(OFFSET($H$3,0,0,'Données projet'!$E$10+1,1))</f>
        <v>371.75294069149942</v>
      </c>
      <c r="AO92" s="62">
        <f t="shared" si="90"/>
        <v>233.32640143610547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0.52573217816908602</v>
      </c>
      <c r="AW92" s="23">
        <f>EXP(-LN(2)/2)*AW91+(1-EXP(-LN(2)/2))/(LN(2)/2)*AQ92*AT92*VLOOKUP('Données projet'!$B$10,Paramètres!$A$1:$I$89,3,0)*0.475*44/12</f>
        <v>1.6528724759080954E-8</v>
      </c>
      <c r="AX92" s="23">
        <f t="shared" si="60"/>
        <v>0.52573219469781074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-3.4106051316484809E-13</v>
      </c>
      <c r="BE92" s="14">
        <f>BD92*VLOOKUP('Données projet'!$B$11,Paramètres!$A$1:$I$89,3,0)*VLOOKUP('Données projet'!$B$11,Paramètres!$A$1:$I$89,5,0)</f>
        <v>-1.9065282685915009E-13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555.15881087162279</v>
      </c>
      <c r="BJ92" s="62">
        <f t="shared" si="92"/>
        <v>668.20427590250733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8.9082042430914381</v>
      </c>
      <c r="BQ92" s="23">
        <f>EXP(-LN(2)/25)*BQ91+(1-EXP(-LN(2)/25))/(LN(2)/25)*Calculateur!BL92*Calculateur!BN92*VLOOKUP('Données projet'!$B$11,Paramètres!$A$1:$I$89,3,0)*0.475*44/12</f>
        <v>4.4081204262339631</v>
      </c>
      <c r="BR92" s="23">
        <f>EXP(-LN(2)/2)*BR91+(1-EXP(-LN(2)/2))/(LN(2)/2)*BL92*BO92*VLOOKUP('Données projet'!$B$11,Paramètres!$A$1:$I$89,3,0)*0.475*44/12</f>
        <v>1.821757400624454E-8</v>
      </c>
      <c r="BS92" s="24">
        <f t="shared" si="63"/>
        <v>13.316324687542973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192.98447999999982</v>
      </c>
      <c r="CA92" s="14">
        <f t="shared" si="93"/>
        <v>48.19917929323276</v>
      </c>
      <c r="CB92" s="22">
        <f t="shared" si="64"/>
        <v>420.06153993571343</v>
      </c>
      <c r="CC92" s="62">
        <f t="shared" si="65"/>
        <v>713.39487326904668</v>
      </c>
      <c r="CD92" s="62">
        <f ca="1">AVERAGE(OFFSET($CC$3,0,0,'Données projet'!$E$12+1,1))-AVERAGE(OFFSET($H$3,0,0,'Données projet'!$E$12+1,1))</f>
        <v>293.996396026019</v>
      </c>
      <c r="CE92" s="62">
        <f t="shared" si="94"/>
        <v>152.23954167722536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-4.9658410716801891E-14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303.33040062722074</v>
      </c>
      <c r="T93" s="62">
        <f t="shared" si="88"/>
        <v>425.30058672361548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6.4111609445969089</v>
      </c>
      <c r="AB93" s="23">
        <f>EXP(-LN(2)/2)*AB92+(1-EXP(-LN(2)/2))/(LN(2)/2)*V93*Y93*VLOOKUP('Données projet'!$B$9,Paramètres!$A$1:$I$89,3,0)*0.475*44/12</f>
        <v>1.516751878446157E-8</v>
      </c>
      <c r="AC93" s="24">
        <f t="shared" si="57"/>
        <v>6.4111609597644277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831.77514286899191</v>
      </c>
      <c r="AN93" s="62">
        <f ca="1">AVERAGE(OFFSET($AM$3,0,0,'Données projet'!$E$10+1,1))-AVERAGE(OFFSET($H$3,0,0,'Données projet'!$E$10+1,1))</f>
        <v>371.75294069149942</v>
      </c>
      <c r="AO93" s="62">
        <f t="shared" si="90"/>
        <v>233.32640143610547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0.51135600410999871</v>
      </c>
      <c r="AW93" s="23">
        <f>EXP(-LN(2)/2)*AW92+(1-EXP(-LN(2)/2))/(LN(2)/2)*AQ93*AT93*VLOOKUP('Données projet'!$B$10,Paramètres!$A$1:$I$89,3,0)*0.475*44/12</f>
        <v>1.1687573361512126E-8</v>
      </c>
      <c r="AX93" s="23">
        <f t="shared" si="60"/>
        <v>0.51135601579757206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-3.4106051316484809E-13</v>
      </c>
      <c r="BE93" s="14">
        <f>BD93*VLOOKUP('Données projet'!$B$11,Paramètres!$A$1:$I$89,3,0)*VLOOKUP('Données projet'!$B$11,Paramètres!$A$1:$I$89,5,0)</f>
        <v>-1.9065282685915009E-13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555.15881087162279</v>
      </c>
      <c r="BJ93" s="62">
        <f t="shared" si="92"/>
        <v>668.20427590250733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8.7335197913524922</v>
      </c>
      <c r="BQ93" s="23">
        <f>EXP(-LN(2)/25)*BQ92+(1-EXP(-LN(2)/25))/(LN(2)/25)*Calculateur!BL93*Calculateur!BN93*VLOOKUP('Données projet'!$B$11,Paramètres!$A$1:$I$89,3,0)*0.475*44/12</f>
        <v>4.2875801413656172</v>
      </c>
      <c r="BR93" s="23">
        <f>EXP(-LN(2)/2)*BR92+(1-EXP(-LN(2)/2))/(LN(2)/2)*BL93*BO93*VLOOKUP('Données projet'!$B$11,Paramètres!$A$1:$I$89,3,0)*0.475*44/12</f>
        <v>1.2881770116583294E-8</v>
      </c>
      <c r="BS93" s="24">
        <f t="shared" si="63"/>
        <v>13.021099945599879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196.98119999999983</v>
      </c>
      <c r="CA93" s="14">
        <f t="shared" si="93"/>
        <v>49.080140741894091</v>
      </c>
      <c r="CB93" s="22">
        <f t="shared" si="64"/>
        <v>428.55683512546528</v>
      </c>
      <c r="CC93" s="62">
        <f t="shared" si="65"/>
        <v>721.8901684587986</v>
      </c>
      <c r="CD93" s="62">
        <f ca="1">AVERAGE(OFFSET($CC$3,0,0,'Données projet'!$E$12+1,1))-AVERAGE(OFFSET($H$3,0,0,'Données projet'!$E$12+1,1))</f>
        <v>293.996396026019</v>
      </c>
      <c r="CE93" s="62">
        <f t="shared" si="94"/>
        <v>152.23954167722536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-4.9658410716801891E-14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303.33040062722074</v>
      </c>
      <c r="T94" s="62">
        <f t="shared" si="88"/>
        <v>425.30058672361548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6.2358474114186055</v>
      </c>
      <c r="AB94" s="23">
        <f>EXP(-LN(2)/2)*AB93+(1-EXP(-LN(2)/2))/(LN(2)/2)*V94*Y94*VLOOKUP('Données projet'!$B$9,Paramètres!$A$1:$I$89,3,0)*0.475*44/12</f>
        <v>1.0725055386267117E-8</v>
      </c>
      <c r="AC94" s="24">
        <f t="shared" si="57"/>
        <v>6.2358474221436611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801.14056019463965</v>
      </c>
      <c r="AN94" s="62">
        <f ca="1">AVERAGE(OFFSET($AM$3,0,0,'Données projet'!$E$10+1,1))-AVERAGE(OFFSET($H$3,0,0,'Données projet'!$E$10+1,1))</f>
        <v>371.75294069149942</v>
      </c>
      <c r="AO94" s="62">
        <f t="shared" si="90"/>
        <v>233.32640143610547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0.49737294728656728</v>
      </c>
      <c r="AW94" s="23">
        <f>EXP(-LN(2)/2)*AW93+(1-EXP(-LN(2)/2))/(LN(2)/2)*AQ94*AT94*VLOOKUP('Données projet'!$B$10,Paramètres!$A$1:$I$89,3,0)*0.475*44/12</f>
        <v>8.2643623795404768E-9</v>
      </c>
      <c r="AX94" s="23">
        <f t="shared" si="60"/>
        <v>0.49737295555092964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-3.4106051316484809E-13</v>
      </c>
      <c r="BE94" s="14">
        <f>BD94*VLOOKUP('Données projet'!$B$11,Paramètres!$A$1:$I$89,3,0)*VLOOKUP('Données projet'!$B$11,Paramètres!$A$1:$I$89,5,0)</f>
        <v>-1.9065282685915009E-13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555.15881087162279</v>
      </c>
      <c r="BJ94" s="62">
        <f t="shared" si="92"/>
        <v>668.20427590250733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8.5622607951651535</v>
      </c>
      <c r="BQ94" s="23">
        <f>EXP(-LN(2)/25)*BQ93+(1-EXP(-LN(2)/25))/(LN(2)/25)*Calculateur!BL94*Calculateur!BN94*VLOOKUP('Données projet'!$B$11,Paramètres!$A$1:$I$89,3,0)*0.475*44/12</f>
        <v>4.1703360369259341</v>
      </c>
      <c r="BR94" s="23">
        <f>EXP(-LN(2)/2)*BR93+(1-EXP(-LN(2)/2))/(LN(2)/2)*BL94*BO94*VLOOKUP('Données projet'!$B$11,Paramètres!$A$1:$I$89,3,0)*0.475*44/12</f>
        <v>9.10878700312227E-9</v>
      </c>
      <c r="BS94" s="24">
        <f t="shared" si="63"/>
        <v>12.732596841199873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187.27487999999983</v>
      </c>
      <c r="CA94" s="14">
        <f t="shared" si="93"/>
        <v>46.936961883202464</v>
      </c>
      <c r="CB94" s="22">
        <f t="shared" si="64"/>
        <v>407.91895794657734</v>
      </c>
      <c r="CC94" s="62">
        <f t="shared" si="65"/>
        <v>701.25229127991065</v>
      </c>
      <c r="CD94" s="62">
        <f ca="1">AVERAGE(OFFSET($CC$3,0,0,'Données projet'!$E$12+1,1))-AVERAGE(OFFSET($H$3,0,0,'Données projet'!$E$12+1,1))</f>
        <v>293.996396026019</v>
      </c>
      <c r="CE94" s="62">
        <f t="shared" si="94"/>
        <v>152.23954167722536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-4.9658410716801891E-14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303.33040062722074</v>
      </c>
      <c r="T95" s="62">
        <f t="shared" si="88"/>
        <v>425.30058672361548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6.0653278360244007</v>
      </c>
      <c r="AB95" s="23">
        <f>EXP(-LN(2)/2)*AB94+(1-EXP(-LN(2)/2))/(LN(2)/2)*V95*Y95*VLOOKUP('Données projet'!$B$9,Paramètres!$A$1:$I$89,3,0)*0.475*44/12</f>
        <v>7.5837593922307852E-9</v>
      </c>
      <c r="AC95" s="24">
        <f t="shared" si="57"/>
        <v>6.0653278436081601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810.71794681982306</v>
      </c>
      <c r="AN95" s="62">
        <f ca="1">AVERAGE(OFFSET($AM$3,0,0,'Données projet'!$E$10+1,1))-AVERAGE(OFFSET($H$3,0,0,'Données projet'!$E$10+1,1))</f>
        <v>371.75294069149942</v>
      </c>
      <c r="AO95" s="62">
        <f t="shared" si="90"/>
        <v>233.32640143610547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0.48377225788730954</v>
      </c>
      <c r="AW95" s="23">
        <f>EXP(-LN(2)/2)*AW94+(1-EXP(-LN(2)/2))/(LN(2)/2)*AQ95*AT95*VLOOKUP('Données projet'!$B$10,Paramètres!$A$1:$I$89,3,0)*0.475*44/12</f>
        <v>5.8437866807560632E-9</v>
      </c>
      <c r="AX95" s="23">
        <f t="shared" si="60"/>
        <v>0.48377226373109622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-3.4106051316484809E-13</v>
      </c>
      <c r="BE95" s="14">
        <f>BD95*VLOOKUP('Données projet'!$B$11,Paramètres!$A$1:$I$89,3,0)*VLOOKUP('Données projet'!$B$11,Paramètres!$A$1:$I$89,5,0)</f>
        <v>-1.9065282685915009E-13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555.15881087162279</v>
      </c>
      <c r="BJ95" s="62">
        <f t="shared" si="92"/>
        <v>668.20427590250733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8.3943600834353749</v>
      </c>
      <c r="BQ95" s="23">
        <f>EXP(-LN(2)/25)*BQ94+(1-EXP(-LN(2)/25))/(LN(2)/25)*Calculateur!BL95*Calculateur!BN95*VLOOKUP('Données projet'!$B$11,Paramètres!$A$1:$I$89,3,0)*0.475*44/12</f>
        <v>4.0562979786877538</v>
      </c>
      <c r="BR95" s="23">
        <f>EXP(-LN(2)/2)*BR94+(1-EXP(-LN(2)/2))/(LN(2)/2)*BL95*BO95*VLOOKUP('Données projet'!$B$11,Paramètres!$A$1:$I$89,3,0)*0.475*44/12</f>
        <v>6.440885058291647E-9</v>
      </c>
      <c r="BS95" s="24">
        <f t="shared" si="63"/>
        <v>12.450658068564014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190.89095999999984</v>
      </c>
      <c r="CA95" s="14">
        <f t="shared" si="93"/>
        <v>47.736877792326297</v>
      </c>
      <c r="CB95" s="22">
        <f t="shared" si="64"/>
        <v>415.6101508216347</v>
      </c>
      <c r="CC95" s="62">
        <f t="shared" si="65"/>
        <v>708.94348415496802</v>
      </c>
      <c r="CD95" s="62">
        <f ca="1">AVERAGE(OFFSET($CC$3,0,0,'Données projet'!$E$12+1,1))-AVERAGE(OFFSET($H$3,0,0,'Données projet'!$E$12+1,1))</f>
        <v>293.996396026019</v>
      </c>
      <c r="CE95" s="62">
        <f t="shared" si="94"/>
        <v>152.23954167722536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-4.9658410716801891E-14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303.33040062722074</v>
      </c>
      <c r="T96" s="62">
        <f t="shared" si="88"/>
        <v>425.30058672361548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5.899471127386585</v>
      </c>
      <c r="AB96" s="23">
        <f>EXP(-LN(2)/2)*AB95+(1-EXP(-LN(2)/2))/(LN(2)/2)*V96*Y96*VLOOKUP('Données projet'!$B$9,Paramètres!$A$1:$I$89,3,0)*0.475*44/12</f>
        <v>5.3625276931335586E-9</v>
      </c>
      <c r="AC96" s="24">
        <f t="shared" si="57"/>
        <v>5.8994711327491123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820.29159382285411</v>
      </c>
      <c r="AN96" s="62">
        <f ca="1">AVERAGE(OFFSET($AM$3,0,0,'Données projet'!$E$10+1,1))-AVERAGE(OFFSET($H$3,0,0,'Données projet'!$E$10+1,1))</f>
        <v>371.75294069149942</v>
      </c>
      <c r="AO96" s="62">
        <f t="shared" si="90"/>
        <v>233.32640143610547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0.47054348005490371</v>
      </c>
      <c r="AW96" s="23">
        <f>EXP(-LN(2)/2)*AW95+(1-EXP(-LN(2)/2))/(LN(2)/2)*AQ96*AT96*VLOOKUP('Données projet'!$B$10,Paramètres!$A$1:$I$89,3,0)*0.475*44/12</f>
        <v>4.1321811897702384E-9</v>
      </c>
      <c r="AX96" s="23">
        <f t="shared" si="60"/>
        <v>0.47054348418708491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-3.4106051316484809E-13</v>
      </c>
      <c r="BE96" s="14">
        <f>BD96*VLOOKUP('Données projet'!$B$11,Paramètres!$A$1:$I$89,3,0)*VLOOKUP('Données projet'!$B$11,Paramètres!$A$1:$I$89,5,0)</f>
        <v>-1.9065282685915009E-13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555.15881087162279</v>
      </c>
      <c r="BJ96" s="62">
        <f t="shared" si="92"/>
        <v>668.20427590250733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8.2297518022532952</v>
      </c>
      <c r="BQ96" s="23">
        <f>EXP(-LN(2)/25)*BQ95+(1-EXP(-LN(2)/25))/(LN(2)/25)*Calculateur!BL96*Calculateur!BN96*VLOOKUP('Données projet'!$B$11,Paramètres!$A$1:$I$89,3,0)*0.475*44/12</f>
        <v>3.9453782971490972</v>
      </c>
      <c r="BR96" s="23">
        <f>EXP(-LN(2)/2)*BR95+(1-EXP(-LN(2)/2))/(LN(2)/2)*BL96*BO96*VLOOKUP('Données projet'!$B$11,Paramètres!$A$1:$I$89,3,0)*0.475*44/12</f>
        <v>4.554393501561135E-9</v>
      </c>
      <c r="BS96" s="24">
        <f t="shared" si="63"/>
        <v>12.175130103956786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194.50703999999985</v>
      </c>
      <c r="CA96" s="14">
        <f t="shared" si="93"/>
        <v>48.535031730585573</v>
      </c>
      <c r="CB96" s="22">
        <f t="shared" si="64"/>
        <v>423.29827493076959</v>
      </c>
      <c r="CC96" s="62">
        <f t="shared" si="65"/>
        <v>716.63160826410285</v>
      </c>
      <c r="CD96" s="62">
        <f ca="1">AVERAGE(OFFSET($CC$3,0,0,'Données projet'!$E$12+1,1))-AVERAGE(OFFSET($H$3,0,0,'Données projet'!$E$12+1,1))</f>
        <v>293.996396026019</v>
      </c>
      <c r="CE96" s="62">
        <f t="shared" si="94"/>
        <v>152.23954167722536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-4.9658410716801891E-14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303.33040062722074</v>
      </c>
      <c r="T97" s="62">
        <f t="shared" si="88"/>
        <v>425.30058672361548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5.7381497791684959</v>
      </c>
      <c r="AB97" s="23">
        <f>EXP(-LN(2)/2)*AB96+(1-EXP(-LN(2)/2))/(LN(2)/2)*V97*Y97*VLOOKUP('Données projet'!$B$9,Paramètres!$A$1:$I$89,3,0)*0.475*44/12</f>
        <v>3.7918796961153926E-9</v>
      </c>
      <c r="AC97" s="24">
        <f t="shared" si="57"/>
        <v>5.7381497829603756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829.86157872948456</v>
      </c>
      <c r="AN97" s="62">
        <f ca="1">AVERAGE(OFFSET($AM$3,0,0,'Données projet'!$E$10+1,1))-AVERAGE(OFFSET($H$3,0,0,'Données projet'!$E$10+1,1))</f>
        <v>371.75294069149942</v>
      </c>
      <c r="AO97" s="62">
        <f t="shared" si="90"/>
        <v>233.32640143610547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0.45767644384799622</v>
      </c>
      <c r="AW97" s="23">
        <f>EXP(-LN(2)/2)*AW96+(1-EXP(-LN(2)/2))/(LN(2)/2)*AQ97*AT97*VLOOKUP('Données projet'!$B$10,Paramètres!$A$1:$I$89,3,0)*0.475*44/12</f>
        <v>2.9218933403780316E-9</v>
      </c>
      <c r="AX97" s="23">
        <f t="shared" si="60"/>
        <v>0.45767644676988956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-3.4106051316484809E-13</v>
      </c>
      <c r="BE97" s="14">
        <f>BD97*VLOOKUP('Données projet'!$B$11,Paramètres!$A$1:$I$89,3,0)*VLOOKUP('Données projet'!$B$11,Paramètres!$A$1:$I$89,5,0)</f>
        <v>-1.9065282685915009E-13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555.15881087162279</v>
      </c>
      <c r="BJ97" s="62">
        <f t="shared" si="92"/>
        <v>668.20427590250733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8.0683713890640583</v>
      </c>
      <c r="BQ97" s="23">
        <f>EXP(-LN(2)/25)*BQ96+(1-EXP(-LN(2)/25))/(LN(2)/25)*Calculateur!BL97*Calculateur!BN97*VLOOKUP('Données projet'!$B$11,Paramètres!$A$1:$I$89,3,0)*0.475*44/12</f>
        <v>3.8374917201351275</v>
      </c>
      <c r="BR97" s="23">
        <f>EXP(-LN(2)/2)*BR96+(1-EXP(-LN(2)/2))/(LN(2)/2)*BL97*BO97*VLOOKUP('Données projet'!$B$11,Paramètres!$A$1:$I$89,3,0)*0.475*44/12</f>
        <v>3.2204425291458235E-9</v>
      </c>
      <c r="BS97" s="24">
        <f t="shared" si="63"/>
        <v>11.905863112419627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198.12311999999986</v>
      </c>
      <c r="CA97" s="14">
        <f t="shared" si="93"/>
        <v>49.331460232373296</v>
      </c>
      <c r="CB97" s="22">
        <f t="shared" si="64"/>
        <v>430.98339390471659</v>
      </c>
      <c r="CC97" s="62">
        <f t="shared" si="65"/>
        <v>724.31672723804991</v>
      </c>
      <c r="CD97" s="62">
        <f ca="1">AVERAGE(OFFSET($CC$3,0,0,'Données projet'!$E$12+1,1))-AVERAGE(OFFSET($H$3,0,0,'Données projet'!$E$12+1,1))</f>
        <v>293.996396026019</v>
      </c>
      <c r="CE97" s="62">
        <f t="shared" si="94"/>
        <v>152.23954167722536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-4.9658410716801891E-14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303.33040062722074</v>
      </c>
      <c r="T98" s="62">
        <f t="shared" si="88"/>
        <v>425.30058672361548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5.5812397717009512</v>
      </c>
      <c r="AB98" s="23">
        <f>EXP(-LN(2)/2)*AB97+(1-EXP(-LN(2)/2))/(LN(2)/2)*V98*Y98*VLOOKUP('Données projet'!$B$9,Paramètres!$A$1:$I$89,3,0)*0.475*44/12</f>
        <v>2.6812638465667793E-9</v>
      </c>
      <c r="AC98" s="24">
        <f t="shared" si="57"/>
        <v>5.5812397743822153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839.42797607406919</v>
      </c>
      <c r="AN98" s="62">
        <f ca="1">AVERAGE(OFFSET($AM$3,0,0,'Données projet'!$E$10+1,1))-AVERAGE(OFFSET($H$3,0,0,'Données projet'!$E$10+1,1))</f>
        <v>371.75294069149942</v>
      </c>
      <c r="AO98" s="62">
        <f t="shared" si="90"/>
        <v>233.32640143610547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0.44516125742281459</v>
      </c>
      <c r="AW98" s="23">
        <f>EXP(-LN(2)/2)*AW97+(1-EXP(-LN(2)/2))/(LN(2)/2)*AQ98*AT98*VLOOKUP('Données projet'!$B$10,Paramètres!$A$1:$I$89,3,0)*0.475*44/12</f>
        <v>2.0660905948851192E-9</v>
      </c>
      <c r="AX98" s="23">
        <f t="shared" si="60"/>
        <v>0.44516125948890517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-3.4106051316484809E-13</v>
      </c>
      <c r="BE98" s="14">
        <f>BD98*VLOOKUP('Données projet'!$B$11,Paramètres!$A$1:$I$89,3,0)*VLOOKUP('Données projet'!$B$11,Paramètres!$A$1:$I$89,5,0)</f>
        <v>-1.9065282685915009E-13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555.15881087162279</v>
      </c>
      <c r="BJ98" s="62">
        <f t="shared" si="92"/>
        <v>668.20427590250733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7.9101555473451288</v>
      </c>
      <c r="BQ98" s="23">
        <f>EXP(-LN(2)/25)*BQ97+(1-EXP(-LN(2)/25))/(LN(2)/25)*Calculateur!BL98*Calculateur!BN98*VLOOKUP('Données projet'!$B$11,Paramètres!$A$1:$I$89,3,0)*0.475*44/12</f>
        <v>3.7325553072431137</v>
      </c>
      <c r="BR98" s="23">
        <f>EXP(-LN(2)/2)*BR97+(1-EXP(-LN(2)/2))/(LN(2)/2)*BL98*BO98*VLOOKUP('Données projet'!$B$11,Paramètres!$A$1:$I$89,3,0)*0.475*44/12</f>
        <v>2.2771967507805675E-9</v>
      </c>
      <c r="BS98" s="24">
        <f t="shared" si="63"/>
        <v>11.64271085686544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201.73919999999987</v>
      </c>
      <c r="CA98" s="14">
        <f t="shared" si="93"/>
        <v>50.126198422100671</v>
      </c>
      <c r="CB98" s="22">
        <f t="shared" si="64"/>
        <v>438.66556891849177</v>
      </c>
      <c r="CC98" s="62">
        <f t="shared" si="65"/>
        <v>731.99890225182503</v>
      </c>
      <c r="CD98" s="62">
        <f ca="1">AVERAGE(OFFSET($CC$3,0,0,'Données projet'!$E$12+1,1))-AVERAGE(OFFSET($H$3,0,0,'Données projet'!$E$12+1,1))</f>
        <v>293.996396026019</v>
      </c>
      <c r="CE98" s="62">
        <f t="shared" si="94"/>
        <v>152.23954167722536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-4.9658410716801891E-14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303.33040062722074</v>
      </c>
      <c r="T99" s="62">
        <f t="shared" si="88"/>
        <v>425.30058672361548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5.4286204766391455</v>
      </c>
      <c r="AB99" s="23">
        <f>EXP(-LN(2)/2)*AB98+(1-EXP(-LN(2)/2))/(LN(2)/2)*V99*Y99*VLOOKUP('Données projet'!$B$9,Paramètres!$A$1:$I$89,3,0)*0.475*44/12</f>
        <v>1.8959398480576963E-9</v>
      </c>
      <c r="AC99" s="24">
        <f t="shared" si="57"/>
        <v>5.4286204785350849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808.41971807128675</v>
      </c>
      <c r="AN99" s="62">
        <f ca="1">AVERAGE(OFFSET($AM$3,0,0,'Données projet'!$E$10+1,1))-AVERAGE(OFFSET($H$3,0,0,'Données projet'!$E$10+1,1))</f>
        <v>371.75294069149942</v>
      </c>
      <c r="AO99" s="62">
        <f t="shared" si="90"/>
        <v>233.32640143610547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0.43298829942857464</v>
      </c>
      <c r="AW99" s="23">
        <f>EXP(-LN(2)/2)*AW98+(1-EXP(-LN(2)/2))/(LN(2)/2)*AQ99*AT99*VLOOKUP('Données projet'!$B$10,Paramètres!$A$1:$I$89,3,0)*0.475*44/12</f>
        <v>1.4609466701890158E-9</v>
      </c>
      <c r="AX99" s="23">
        <f t="shared" si="60"/>
        <v>0.43298830088952134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-3.4106051316484809E-13</v>
      </c>
      <c r="BE99" s="14">
        <f>BD99*VLOOKUP('Données projet'!$B$11,Paramètres!$A$1:$I$89,3,0)*VLOOKUP('Données projet'!$B$11,Paramètres!$A$1:$I$89,5,0)</f>
        <v>-1.9065282685915009E-13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555.15881087162279</v>
      </c>
      <c r="BJ99" s="62">
        <f t="shared" si="92"/>
        <v>668.20427590250733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7.7550422217801733</v>
      </c>
      <c r="BQ99" s="23">
        <f>EXP(-LN(2)/25)*BQ98+(1-EXP(-LN(2)/25))/(LN(2)/25)*Calculateur!BL99*Calculateur!BN99*VLOOKUP('Données projet'!$B$11,Paramètres!$A$1:$I$89,3,0)*0.475*44/12</f>
        <v>3.6304883860799979</v>
      </c>
      <c r="BR99" s="23">
        <f>EXP(-LN(2)/2)*BR98+(1-EXP(-LN(2)/2))/(LN(2)/2)*BL99*BO99*VLOOKUP('Données projet'!$B$11,Paramètres!$A$1:$I$89,3,0)*0.475*44/12</f>
        <v>1.6102212645729118E-9</v>
      </c>
      <c r="BS99" s="24">
        <f t="shared" si="63"/>
        <v>11.385530609470393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191.84255999999988</v>
      </c>
      <c r="CA99" s="14">
        <f t="shared" si="93"/>
        <v>47.947087613384802</v>
      </c>
      <c r="CB99" s="22">
        <f t="shared" si="64"/>
        <v>417.63363625997835</v>
      </c>
      <c r="CC99" s="62">
        <f t="shared" si="65"/>
        <v>710.96696959331166</v>
      </c>
      <c r="CD99" s="62">
        <f ca="1">AVERAGE(OFFSET($CC$3,0,0,'Données projet'!$E$12+1,1))-AVERAGE(OFFSET($H$3,0,0,'Données projet'!$E$12+1,1))</f>
        <v>293.996396026019</v>
      </c>
      <c r="CE99" s="62">
        <f t="shared" si="94"/>
        <v>152.23954167722536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-4.9658410716801891E-14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303.33040062722074</v>
      </c>
      <c r="T100" s="62">
        <f t="shared" si="88"/>
        <v>425.30058672361548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5.2801745642267042</v>
      </c>
      <c r="AB100" s="23">
        <f>EXP(-LN(2)/2)*AB99+(1-EXP(-LN(2)/2))/(LN(2)/2)*V100*Y100*VLOOKUP('Données projet'!$B$9,Paramètres!$A$1:$I$89,3,0)*0.475*44/12</f>
        <v>1.3406319232833897E-9</v>
      </c>
      <c r="AC100" s="24">
        <f t="shared" si="57"/>
        <v>5.2801745655673358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817.61134507876227</v>
      </c>
      <c r="AN100" s="62">
        <f ca="1">AVERAGE(OFFSET($AM$3,0,0,'Données projet'!$E$10+1,1))-AVERAGE(OFFSET($H$3,0,0,'Données projet'!$E$10+1,1))</f>
        <v>371.75294069149942</v>
      </c>
      <c r="AO100" s="62">
        <f t="shared" si="90"/>
        <v>233.32640143610547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0.42114821161083521</v>
      </c>
      <c r="AW100" s="23">
        <f>EXP(-LN(2)/2)*AW99+(1-EXP(-LN(2)/2))/(LN(2)/2)*AQ100*AT100*VLOOKUP('Données projet'!$B$10,Paramètres!$A$1:$I$89,3,0)*0.475*44/12</f>
        <v>1.0330452974425596E-9</v>
      </c>
      <c r="AX100" s="23">
        <f t="shared" si="60"/>
        <v>0.42114821264388053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-3.4106051316484809E-13</v>
      </c>
      <c r="BE100" s="14">
        <f>BD100*VLOOKUP('Données projet'!$B$11,Paramètres!$A$1:$I$89,3,0)*VLOOKUP('Données projet'!$B$11,Paramètres!$A$1:$I$89,5,0)</f>
        <v>-1.9065282685915009E-13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555.15881087162279</v>
      </c>
      <c r="BJ100" s="62">
        <f t="shared" si="92"/>
        <v>668.20427590250733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7.6029705739197597</v>
      </c>
      <c r="BQ100" s="23">
        <f>EXP(-LN(2)/25)*BQ99+(1-EXP(-LN(2)/25))/(LN(2)/25)*Calculateur!BL100*Calculateur!BN100*VLOOKUP('Données projet'!$B$11,Paramètres!$A$1:$I$89,3,0)*0.475*44/12</f>
        <v>3.5312124902435538</v>
      </c>
      <c r="BR100" s="23">
        <f>EXP(-LN(2)/2)*BR99+(1-EXP(-LN(2)/2))/(LN(2)/2)*BL100*BO100*VLOOKUP('Données projet'!$B$11,Paramètres!$A$1:$I$89,3,0)*0.475*44/12</f>
        <v>1.1385983753902837E-9</v>
      </c>
      <c r="BS100" s="24">
        <f t="shared" si="63"/>
        <v>11.134183065301912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195.26831999999985</v>
      </c>
      <c r="CA100" s="14">
        <f t="shared" si="93"/>
        <v>48.70284307850546</v>
      </c>
      <c r="CB100" s="22">
        <f t="shared" si="64"/>
        <v>424.91644236173005</v>
      </c>
      <c r="CC100" s="62">
        <f t="shared" si="65"/>
        <v>718.24977569506336</v>
      </c>
      <c r="CD100" s="62">
        <f ca="1">AVERAGE(OFFSET($CC$3,0,0,'Données projet'!$E$12+1,1))-AVERAGE(OFFSET($H$3,0,0,'Données projet'!$E$12+1,1))</f>
        <v>293.996396026019</v>
      </c>
      <c r="CE100" s="62">
        <f t="shared" si="94"/>
        <v>152.23954167722536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-4.9658410716801891E-14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303.33040062722074</v>
      </c>
      <c r="T101" s="62">
        <f t="shared" si="88"/>
        <v>425.30058672361548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5.135787913095613</v>
      </c>
      <c r="AB101" s="23">
        <f>EXP(-LN(2)/2)*AB100+(1-EXP(-LN(2)/2))/(LN(2)/2)*V101*Y101*VLOOKUP('Données projet'!$B$9,Paramètres!$A$1:$I$89,3,0)*0.475*44/12</f>
        <v>9.4796992402884815E-10</v>
      </c>
      <c r="AC101" s="24">
        <f t="shared" si="57"/>
        <v>5.1357879140435827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826.79957739592805</v>
      </c>
      <c r="AN101" s="62">
        <f ca="1">AVERAGE(OFFSET($AM$3,0,0,'Données projet'!$E$10+1,1))-AVERAGE(OFFSET($H$3,0,0,'Données projet'!$E$10+1,1))</f>
        <v>371.75294069149942</v>
      </c>
      <c r="AO101" s="62">
        <f t="shared" si="90"/>
        <v>233.32640143610547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0.409631891617115</v>
      </c>
      <c r="AW101" s="23">
        <f>EXP(-LN(2)/2)*AW100+(1-EXP(-LN(2)/2))/(LN(2)/2)*AQ101*AT101*VLOOKUP('Données projet'!$B$10,Paramètres!$A$1:$I$89,3,0)*0.475*44/12</f>
        <v>7.304733350945079E-10</v>
      </c>
      <c r="AX101" s="23">
        <f t="shared" si="60"/>
        <v>0.40963189234758834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-3.4106051316484809E-13</v>
      </c>
      <c r="BE101" s="14">
        <f>BD101*VLOOKUP('Données projet'!$B$11,Paramètres!$A$1:$I$89,3,0)*VLOOKUP('Données projet'!$B$11,Paramètres!$A$1:$I$89,5,0)</f>
        <v>-1.9065282685915009E-13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555.15881087162279</v>
      </c>
      <c r="BJ101" s="62">
        <f t="shared" si="92"/>
        <v>668.20427590250733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7.4538809583193428</v>
      </c>
      <c r="BQ101" s="23">
        <f>EXP(-LN(2)/25)*BQ100+(1-EXP(-LN(2)/25))/(LN(2)/25)*Calculateur!BL101*Calculateur!BN101*VLOOKUP('Données projet'!$B$11,Paramètres!$A$1:$I$89,3,0)*0.475*44/12</f>
        <v>3.4346512989994498</v>
      </c>
      <c r="BR101" s="23">
        <f>EXP(-LN(2)/2)*BR100+(1-EXP(-LN(2)/2))/(LN(2)/2)*BL101*BO101*VLOOKUP('Données projet'!$B$11,Paramètres!$A$1:$I$89,3,0)*0.475*44/12</f>
        <v>8.0511063228645588E-10</v>
      </c>
      <c r="BS101" s="24">
        <f t="shared" si="63"/>
        <v>10.888532258123904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198.69407999999984</v>
      </c>
      <c r="CA101" s="14">
        <f t="shared" si="93"/>
        <v>49.457056702547348</v>
      </c>
      <c r="CB101" s="22">
        <f t="shared" si="64"/>
        <v>432.19656309026976</v>
      </c>
      <c r="CC101" s="62">
        <f t="shared" si="65"/>
        <v>725.52989642360308</v>
      </c>
      <c r="CD101" s="62">
        <f ca="1">AVERAGE(OFFSET($CC$3,0,0,'Données projet'!$E$12+1,1))-AVERAGE(OFFSET($H$3,0,0,'Données projet'!$E$12+1,1))</f>
        <v>293.996396026019</v>
      </c>
      <c r="CE101" s="62">
        <f t="shared" si="94"/>
        <v>152.23954167722536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-4.9658410716801891E-14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303.33040062722074</v>
      </c>
      <c r="T102" s="62">
        <f t="shared" si="88"/>
        <v>425.30058672361548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4.9953495225326652</v>
      </c>
      <c r="AB102" s="23">
        <f>EXP(-LN(2)/2)*AB101+(1-EXP(-LN(2)/2))/(LN(2)/2)*V102*Y102*VLOOKUP('Données projet'!$B$9,Paramètres!$A$1:$I$89,3,0)*0.475*44/12</f>
        <v>6.7031596164169483E-10</v>
      </c>
      <c r="AC102" s="24">
        <f t="shared" si="57"/>
        <v>4.9953495232029814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835.98448174248938</v>
      </c>
      <c r="AN102" s="62">
        <f ca="1">AVERAGE(OFFSET($AM$3,0,0,'Données projet'!$E$10+1,1))-AVERAGE(OFFSET($H$3,0,0,'Données projet'!$E$10+1,1))</f>
        <v>371.75294069149942</v>
      </c>
      <c r="AO102" s="62">
        <f t="shared" si="90"/>
        <v>233.32640143610547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0.39843048599924002</v>
      </c>
      <c r="AW102" s="23">
        <f>EXP(-LN(2)/2)*AW101+(1-EXP(-LN(2)/2))/(LN(2)/2)*AQ102*AT102*VLOOKUP('Données projet'!$B$10,Paramètres!$A$1:$I$89,3,0)*0.475*44/12</f>
        <v>5.165226487212798E-10</v>
      </c>
      <c r="AX102" s="23">
        <f t="shared" si="60"/>
        <v>0.39843048651576268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-3.4106051316484809E-13</v>
      </c>
      <c r="BE102" s="14">
        <f>BD102*VLOOKUP('Données projet'!$B$11,Paramètres!$A$1:$I$89,3,0)*VLOOKUP('Données projet'!$B$11,Paramètres!$A$1:$I$89,5,0)</f>
        <v>-1.9065282685915009E-13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555.15881087162279</v>
      </c>
      <c r="BJ102" s="62">
        <f t="shared" si="92"/>
        <v>668.20427590250733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7.3077148991451635</v>
      </c>
      <c r="BQ102" s="23">
        <f>EXP(-LN(2)/25)*BQ101+(1-EXP(-LN(2)/25))/(LN(2)/25)*Calculateur!BL102*Calculateur!BN102*VLOOKUP('Données projet'!$B$11,Paramètres!$A$1:$I$89,3,0)*0.475*44/12</f>
        <v>3.3407305786078481</v>
      </c>
      <c r="BR102" s="23">
        <f>EXP(-LN(2)/2)*BR101+(1-EXP(-LN(2)/2))/(LN(2)/2)*BL102*BO102*VLOOKUP('Données projet'!$B$11,Paramètres!$A$1:$I$89,3,0)*0.475*44/12</f>
        <v>5.6929918769514187E-10</v>
      </c>
      <c r="BS102" s="24">
        <f t="shared" si="63"/>
        <v>10.64844547832231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202.11983999999987</v>
      </c>
      <c r="CA102" s="14">
        <f t="shared" si="93"/>
        <v>50.209758136493654</v>
      </c>
      <c r="CB102" s="22">
        <f t="shared" si="64"/>
        <v>439.47405008772625</v>
      </c>
      <c r="CC102" s="62">
        <f t="shared" si="65"/>
        <v>732.80738342105951</v>
      </c>
      <c r="CD102" s="62">
        <f ca="1">AVERAGE(OFFSET($CC$3,0,0,'Données projet'!$E$12+1,1))-AVERAGE(OFFSET($H$3,0,0,'Données projet'!$E$12+1,1))</f>
        <v>293.996396026019</v>
      </c>
      <c r="CE102" s="62">
        <f t="shared" si="94"/>
        <v>152.23954167722536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-4.9658410716801891E-14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303.33040062722074</v>
      </c>
      <c r="T103" s="62">
        <f t="shared" si="88"/>
        <v>425.30058672361548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4.8587514271449948</v>
      </c>
      <c r="AB103" s="23">
        <f>EXP(-LN(2)/2)*AB102+(1-EXP(-LN(2)/2))/(LN(2)/2)*V103*Y103*VLOOKUP('Données projet'!$B$9,Paramètres!$A$1:$I$89,3,0)*0.475*44/12</f>
        <v>4.7398496201442407E-10</v>
      </c>
      <c r="AC103" s="24">
        <f t="shared" si="57"/>
        <v>4.85875142761898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845.16612239513074</v>
      </c>
      <c r="AN103" s="62">
        <f ca="1">AVERAGE(OFFSET($AM$3,0,0,'Données projet'!$E$10+1,1))-AVERAGE(OFFSET($H$3,0,0,'Données projet'!$E$10+1,1))</f>
        <v>371.75294069149942</v>
      </c>
      <c r="AO103" s="62">
        <f t="shared" si="90"/>
        <v>233.32640143610547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0.38753538340704219</v>
      </c>
      <c r="AW103" s="23">
        <f>EXP(-LN(2)/2)*AW102+(1-EXP(-LN(2)/2))/(LN(2)/2)*AQ103*AT103*VLOOKUP('Données projet'!$B$10,Paramètres!$A$1:$I$89,3,0)*0.475*44/12</f>
        <v>3.6523666754725395E-10</v>
      </c>
      <c r="AX103" s="23">
        <f t="shared" si="60"/>
        <v>0.38753538377227886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-3.4106051316484809E-13</v>
      </c>
      <c r="BE103" s="14">
        <f>BD103*VLOOKUP('Données projet'!$B$11,Paramètres!$A$1:$I$89,3,0)*VLOOKUP('Données projet'!$B$11,Paramètres!$A$1:$I$89,5,0)</f>
        <v>-1.9065282685915009E-13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555.15881087162279</v>
      </c>
      <c r="BJ103" s="62">
        <f t="shared" si="92"/>
        <v>668.20427590250733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7.1644150672388971</v>
      </c>
      <c r="BQ103" s="23">
        <f>EXP(-LN(2)/25)*BQ102+(1-EXP(-LN(2)/25))/(LN(2)/25)*Calculateur!BL103*Calculateur!BN103*VLOOKUP('Données projet'!$B$11,Paramètres!$A$1:$I$89,3,0)*0.475*44/12</f>
        <v>3.2493781252544305</v>
      </c>
      <c r="BR103" s="23">
        <f>EXP(-LN(2)/2)*BR102+(1-EXP(-LN(2)/2))/(LN(2)/2)*BL103*BO103*VLOOKUP('Données projet'!$B$11,Paramètres!$A$1:$I$89,3,0)*0.475*44/12</f>
        <v>4.0255531614322794E-10</v>
      </c>
      <c r="BS103" s="24">
        <f t="shared" si="63"/>
        <v>10.413793192895882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205.54559999999987</v>
      </c>
      <c r="CA103" s="14">
        <f t="shared" si="93"/>
        <v>50.960975968608096</v>
      </c>
      <c r="CB103" s="22">
        <f t="shared" si="64"/>
        <v>446.74895314532552</v>
      </c>
      <c r="CC103" s="62">
        <f t="shared" si="65"/>
        <v>740.08228647865883</v>
      </c>
      <c r="CD103" s="62">
        <f ca="1">AVERAGE(OFFSET($CC$3,0,0,'Données projet'!$E$12+1,1))-AVERAGE(OFFSET($H$3,0,0,'Données projet'!$E$12+1,1))</f>
        <v>293.996396026019</v>
      </c>
      <c r="CE103" s="62">
        <f t="shared" si="94"/>
        <v>152.23954167722536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-4.9658410716801891E-14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303.33040062722074</v>
      </c>
      <c r="T104" s="62">
        <f t="shared" si="88"/>
        <v>425.30058672361548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4.7258886138590821</v>
      </c>
      <c r="AB104" s="23">
        <f>EXP(-LN(2)/2)*AB103+(1-EXP(-LN(2)/2))/(LN(2)/2)*V104*Y104*VLOOKUP('Données projet'!$B$9,Paramètres!$A$1:$I$89,3,0)*0.475*44/12</f>
        <v>3.3515798082084741E-10</v>
      </c>
      <c r="AC104" s="24">
        <f t="shared" si="57"/>
        <v>4.7258886141942398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813.39894154327635</v>
      </c>
      <c r="AN104" s="62">
        <f ca="1">AVERAGE(OFFSET($AM$3,0,0,'Données projet'!$E$10+1,1))-AVERAGE(OFFSET($H$3,0,0,'Données projet'!$E$10+1,1))</f>
        <v>371.75294069149942</v>
      </c>
      <c r="AO104" s="62">
        <f t="shared" si="90"/>
        <v>233.32640143610547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0.37693820796817651</v>
      </c>
      <c r="AW104" s="23">
        <f>EXP(-LN(2)/2)*AW103+(1-EXP(-LN(2)/2))/(LN(2)/2)*AQ104*AT104*VLOOKUP('Données projet'!$B$10,Paramètres!$A$1:$I$89,3,0)*0.475*44/12</f>
        <v>2.582613243606399E-10</v>
      </c>
      <c r="AX104" s="23">
        <f t="shared" si="60"/>
        <v>0.37693820822643781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projet'!$B$11,Paramètres!$A$1:$I$89,3,0)*VLOOKUP('Données projet'!$B$11,Paramètres!$A$1:$I$89,5,0)</f>
        <v>-1.9065282685915009E-13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555.15881087162279</v>
      </c>
      <c r="BJ104" s="62">
        <f t="shared" si="92"/>
        <v>668.20427590250733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7.0239252576320457</v>
      </c>
      <c r="BQ104" s="23">
        <f>EXP(-LN(2)/25)*BQ103+(1-EXP(-LN(2)/25))/(LN(2)/25)*Calculateur!BL104*Calculateur!BN104*VLOOKUP('Données projet'!$B$11,Paramètres!$A$1:$I$89,3,0)*0.475*44/12</f>
        <v>3.1605237095419789</v>
      </c>
      <c r="BR104" s="23">
        <f>EXP(-LN(2)/2)*BR103+(1-EXP(-LN(2)/2))/(LN(2)/2)*BL104*BO104*VLOOKUP('Données projet'!$B$11,Paramètres!$A$1:$I$89,3,0)*0.475*44/12</f>
        <v>2.8464959384757094E-10</v>
      </c>
      <c r="BS104" s="24">
        <f t="shared" si="63"/>
        <v>10.184448967458673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196.41023999999985</v>
      </c>
      <c r="CA104" s="14">
        <f t="shared" si="93"/>
        <v>48.954417448783772</v>
      </c>
      <c r="CB104" s="22">
        <f t="shared" si="64"/>
        <v>427.34344505663142</v>
      </c>
      <c r="CC104" s="62">
        <f t="shared" si="65"/>
        <v>720.67677838996474</v>
      </c>
      <c r="CD104" s="62">
        <f ca="1">AVERAGE(OFFSET($CC$3,0,0,'Données projet'!$E$12+1,1))-AVERAGE(OFFSET($H$3,0,0,'Données projet'!$E$12+1,1))</f>
        <v>293.996396026019</v>
      </c>
      <c r="CE104" s="62">
        <f t="shared" si="94"/>
        <v>152.23954167722536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-4.9658410716801891E-14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303.33040062722074</v>
      </c>
      <c r="T105" s="62">
        <f t="shared" si="88"/>
        <v>425.30058672361548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4.5966589411894248</v>
      </c>
      <c r="AB105" s="23">
        <f>EXP(-LN(2)/2)*AB104+(1-EXP(-LN(2)/2))/(LN(2)/2)*V105*Y105*VLOOKUP('Données projet'!$B$9,Paramètres!$A$1:$I$89,3,0)*0.475*44/12</f>
        <v>2.3699248100721204E-10</v>
      </c>
      <c r="AC105" s="24">
        <f t="shared" si="57"/>
        <v>4.5966589414264174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821.82303552923054</v>
      </c>
      <c r="AN105" s="62">
        <f ca="1">AVERAGE(OFFSET($AM$3,0,0,'Données projet'!$E$10+1,1))-AVERAGE(OFFSET($H$3,0,0,'Données projet'!$E$10+1,1))</f>
        <v>371.75294069149942</v>
      </c>
      <c r="AO105" s="62">
        <f t="shared" si="90"/>
        <v>233.32640143610547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0.36663081284896787</v>
      </c>
      <c r="AW105" s="23">
        <f>EXP(-LN(2)/2)*AW104+(1-EXP(-LN(2)/2))/(LN(2)/2)*AQ105*AT105*VLOOKUP('Données projet'!$B$10,Paramètres!$A$1:$I$89,3,0)*0.475*44/12</f>
        <v>1.8261833377362697E-10</v>
      </c>
      <c r="AX105" s="23">
        <f t="shared" si="60"/>
        <v>0.36663081303158618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projet'!$B$11,Paramètres!$A$1:$I$89,3,0)*VLOOKUP('Données projet'!$B$11,Paramètres!$A$1:$I$89,5,0)</f>
        <v>-1.9065282685915009E-13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555.15881087162279</v>
      </c>
      <c r="BJ105" s="62">
        <f t="shared" si="92"/>
        <v>668.20427590250733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6.8861903675012615</v>
      </c>
      <c r="BQ105" s="23">
        <f>EXP(-LN(2)/25)*BQ104+(1-EXP(-LN(2)/25))/(LN(2)/25)*Calculateur!BL105*Calculateur!BN105*VLOOKUP('Données projet'!$B$11,Paramètres!$A$1:$I$89,3,0)*0.475*44/12</f>
        <v>3.0740990224998352</v>
      </c>
      <c r="BR105" s="23">
        <f>EXP(-LN(2)/2)*BR104+(1-EXP(-LN(2)/2))/(LN(2)/2)*BL105*BO105*VLOOKUP('Données projet'!$B$11,Paramètres!$A$1:$I$89,3,0)*0.475*44/12</f>
        <v>2.0127765807161397E-10</v>
      </c>
      <c r="BS105" s="24">
        <f t="shared" si="63"/>
        <v>9.9602893902023748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199.64567999999986</v>
      </c>
      <c r="CA105" s="14">
        <f t="shared" si="93"/>
        <v>49.666290879455694</v>
      </c>
      <c r="CB105" s="22">
        <f t="shared" si="64"/>
        <v>434.21834928171842</v>
      </c>
      <c r="CC105" s="62">
        <f t="shared" si="65"/>
        <v>727.55168261505173</v>
      </c>
      <c r="CD105" s="62">
        <f ca="1">AVERAGE(OFFSET($CC$3,0,0,'Données projet'!$E$12+1,1))-AVERAGE(OFFSET($H$3,0,0,'Données projet'!$E$12+1,1))</f>
        <v>293.996396026019</v>
      </c>
      <c r="CE105" s="62">
        <f t="shared" si="94"/>
        <v>152.23954167722536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-4.9658410716801891E-14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303.33040062722074</v>
      </c>
      <c r="T106" s="62">
        <f t="shared" si="88"/>
        <v>425.30058672361548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4.4709630607148121</v>
      </c>
      <c r="AB106" s="23">
        <f>EXP(-LN(2)/2)*AB105+(1-EXP(-LN(2)/2))/(LN(2)/2)*V106*Y106*VLOOKUP('Données projet'!$B$9,Paramètres!$A$1:$I$89,3,0)*0.475*44/12</f>
        <v>1.6757899041042371E-10</v>
      </c>
      <c r="AC106" s="24">
        <f t="shared" si="57"/>
        <v>4.4709630608823909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830.24430301816005</v>
      </c>
      <c r="AN106" s="62">
        <f ca="1">AVERAGE(OFFSET($AM$3,0,0,'Données projet'!$E$10+1,1))-AVERAGE(OFFSET($H$3,0,0,'Données projet'!$E$10+1,1))</f>
        <v>371.75294069149942</v>
      </c>
      <c r="AO106" s="62">
        <f t="shared" si="90"/>
        <v>233.32640143610547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0.35660527399133635</v>
      </c>
      <c r="AW106" s="23">
        <f>EXP(-LN(2)/2)*AW105+(1-EXP(-LN(2)/2))/(LN(2)/2)*AQ106*AT106*VLOOKUP('Données projet'!$B$10,Paramètres!$A$1:$I$89,3,0)*0.475*44/12</f>
        <v>1.2913066218031995E-10</v>
      </c>
      <c r="AX106" s="23">
        <f t="shared" si="60"/>
        <v>0.356605274120467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projet'!$B$11,Paramètres!$A$1:$I$89,3,0)*VLOOKUP('Données projet'!$B$11,Paramètres!$A$1:$I$89,5,0)</f>
        <v>-1.9065282685915009E-13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555.15881087162279</v>
      </c>
      <c r="BJ106" s="62">
        <f t="shared" si="92"/>
        <v>668.20427590250733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6.7511563745559542</v>
      </c>
      <c r="BQ106" s="23">
        <f>EXP(-LN(2)/25)*BQ105+(1-EXP(-LN(2)/25))/(LN(2)/25)*Calculateur!BL106*Calculateur!BN106*VLOOKUP('Données projet'!$B$11,Paramètres!$A$1:$I$89,3,0)*0.475*44/12</f>
        <v>2.9900376230697354</v>
      </c>
      <c r="BR106" s="23">
        <f>EXP(-LN(2)/2)*BR105+(1-EXP(-LN(2)/2))/(LN(2)/2)*BL106*BO106*VLOOKUP('Données projet'!$B$11,Paramètres!$A$1:$I$89,3,0)*0.475*44/12</f>
        <v>1.4232479692378547E-10</v>
      </c>
      <c r="BS106" s="24">
        <f t="shared" si="63"/>
        <v>9.7411939977680149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202.88111999999987</v>
      </c>
      <c r="CA106" s="14">
        <f t="shared" si="93"/>
        <v>50.376822658563313</v>
      </c>
      <c r="CB106" s="22">
        <f t="shared" si="64"/>
        <v>441.09091679699753</v>
      </c>
      <c r="CC106" s="62">
        <f t="shared" si="65"/>
        <v>734.42425013033085</v>
      </c>
      <c r="CD106" s="62">
        <f ca="1">AVERAGE(OFFSET($CC$3,0,0,'Données projet'!$E$12+1,1))-AVERAGE(OFFSET($H$3,0,0,'Données projet'!$E$12+1,1))</f>
        <v>293.996396026019</v>
      </c>
      <c r="CE106" s="62">
        <f t="shared" si="94"/>
        <v>152.23954167722536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-4.9658410716801891E-14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303.33040062722074</v>
      </c>
      <c r="T107" s="62">
        <f t="shared" si="88"/>
        <v>425.30058672361548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4.3487043407018371</v>
      </c>
      <c r="AB107" s="23">
        <f>EXP(-LN(2)/2)*AB106+(1-EXP(-LN(2)/2))/(LN(2)/2)*V107*Y107*VLOOKUP('Données projet'!$B$9,Paramètres!$A$1:$I$89,3,0)*0.475*44/12</f>
        <v>1.1849624050360602E-10</v>
      </c>
      <c r="AC107" s="24">
        <f t="shared" si="57"/>
        <v>4.3487043408203334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838.66279460250325</v>
      </c>
      <c r="AN107" s="62">
        <f ca="1">AVERAGE(OFFSET($AM$3,0,0,'Données projet'!$E$10+1,1))-AVERAGE(OFFSET($H$3,0,0,'Données projet'!$E$10+1,1))</f>
        <v>371.75294069149942</v>
      </c>
      <c r="AO107" s="62">
        <f t="shared" si="90"/>
        <v>233.32640143610547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0.34685388402098694</v>
      </c>
      <c r="AW107" s="23">
        <f>EXP(-LN(2)/2)*AW106+(1-EXP(-LN(2)/2))/(LN(2)/2)*AQ107*AT107*VLOOKUP('Données projet'!$B$10,Paramètres!$A$1:$I$89,3,0)*0.475*44/12</f>
        <v>9.1309166886813487E-11</v>
      </c>
      <c r="AX107" s="23">
        <f t="shared" si="60"/>
        <v>0.34685388411229612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projet'!$B$11,Paramètres!$A$1:$I$89,3,0)*VLOOKUP('Données projet'!$B$11,Paramètres!$A$1:$I$89,5,0)</f>
        <v>-1.9065282685915009E-13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555.15881087162279</v>
      </c>
      <c r="BJ107" s="62">
        <f t="shared" si="92"/>
        <v>668.20427590250733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6.6187703158497015</v>
      </c>
      <c r="BQ107" s="23">
        <f>EXP(-LN(2)/25)*BQ106+(1-EXP(-LN(2)/25))/(LN(2)/25)*Calculateur!BL107*Calculateur!BN107*VLOOKUP('Données projet'!$B$11,Paramètres!$A$1:$I$89,3,0)*0.475*44/12</f>
        <v>2.9082748870276487</v>
      </c>
      <c r="BR107" s="23">
        <f>EXP(-LN(2)/2)*BR106+(1-EXP(-LN(2)/2))/(LN(2)/2)*BL107*BO107*VLOOKUP('Données projet'!$B$11,Paramètres!$A$1:$I$89,3,0)*0.475*44/12</f>
        <v>1.0063882903580698E-10</v>
      </c>
      <c r="BS107" s="24">
        <f t="shared" si="63"/>
        <v>9.5270452029779893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206.11655999999988</v>
      </c>
      <c r="CA107" s="14">
        <f t="shared" si="93"/>
        <v>51.086036652420326</v>
      </c>
      <c r="CB107" s="22">
        <f t="shared" si="64"/>
        <v>447.96118916963178</v>
      </c>
      <c r="CC107" s="62">
        <f t="shared" si="65"/>
        <v>741.29452250296504</v>
      </c>
      <c r="CD107" s="62">
        <f ca="1">AVERAGE(OFFSET($CC$3,0,0,'Données projet'!$E$12+1,1))-AVERAGE(OFFSET($H$3,0,0,'Données projet'!$E$12+1,1))</f>
        <v>293.996396026019</v>
      </c>
      <c r="CE107" s="62">
        <f t="shared" si="94"/>
        <v>152.23954167722536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-4.9658410716801891E-14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303.33040062722074</v>
      </c>
      <c r="T108" s="62">
        <f t="shared" si="88"/>
        <v>425.30058672361548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4.2297887918169232</v>
      </c>
      <c r="AB108" s="23">
        <f>EXP(-LN(2)/2)*AB107+(1-EXP(-LN(2)/2))/(LN(2)/2)*V108*Y108*VLOOKUP('Données projet'!$B$9,Paramètres!$A$1:$I$89,3,0)*0.475*44/12</f>
        <v>8.3789495205211853E-11</v>
      </c>
      <c r="AC108" s="24">
        <f t="shared" si="57"/>
        <v>4.2297887919007131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847.07855918499672</v>
      </c>
      <c r="AN108" s="62">
        <f ca="1">AVERAGE(OFFSET($AM$3,0,0,'Données projet'!$E$10+1,1))-AVERAGE(OFFSET($H$3,0,0,'Données projet'!$E$10+1,1))</f>
        <v>371.75294069149942</v>
      </c>
      <c r="AO108" s="62">
        <f t="shared" si="90"/>
        <v>233.32640143610547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0.33736914632218001</v>
      </c>
      <c r="AW108" s="23">
        <f>EXP(-LN(2)/2)*AW107+(1-EXP(-LN(2)/2))/(LN(2)/2)*AQ108*AT108*VLOOKUP('Données projet'!$B$10,Paramètres!$A$1:$I$89,3,0)*0.475*44/12</f>
        <v>6.4565331090159975E-11</v>
      </c>
      <c r="AX108" s="23">
        <f t="shared" si="60"/>
        <v>0.33736914638674537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projet'!$B$11,Paramètres!$A$1:$I$89,3,0)*VLOOKUP('Données projet'!$B$11,Paramètres!$A$1:$I$89,5,0)</f>
        <v>-1.9065282685915009E-13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555.15881087162279</v>
      </c>
      <c r="BJ108" s="62">
        <f t="shared" si="92"/>
        <v>668.20427590250733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6.4889802670071557</v>
      </c>
      <c r="BQ108" s="23">
        <f>EXP(-LN(2)/25)*BQ107+(1-EXP(-LN(2)/25))/(LN(2)/25)*Calculateur!BL108*Calculateur!BN108*VLOOKUP('Données projet'!$B$11,Paramètres!$A$1:$I$89,3,0)*0.475*44/12</f>
        <v>2.8287479573023484</v>
      </c>
      <c r="BR108" s="23">
        <f>EXP(-LN(2)/2)*BR107+(1-EXP(-LN(2)/2))/(LN(2)/2)*BL108*BO108*VLOOKUP('Données projet'!$B$11,Paramètres!$A$1:$I$89,3,0)*0.475*44/12</f>
        <v>7.1162398461892734E-11</v>
      </c>
      <c r="BS108" s="24">
        <f t="shared" si="63"/>
        <v>9.3177282243806676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209.35199999999986</v>
      </c>
      <c r="CA108" s="14">
        <f t="shared" si="93"/>
        <v>51.79395593509436</v>
      </c>
      <c r="CB108" s="22">
        <f t="shared" si="64"/>
        <v>454.82920658695576</v>
      </c>
      <c r="CC108" s="62">
        <f t="shared" si="65"/>
        <v>748.16253992028908</v>
      </c>
      <c r="CD108" s="62">
        <f ca="1">AVERAGE(OFFSET($CC$3,0,0,'Données projet'!$E$12+1,1))-AVERAGE(OFFSET($H$3,0,0,'Données projet'!$E$12+1,1))</f>
        <v>293.996396026019</v>
      </c>
      <c r="CE108" s="62">
        <f t="shared" si="94"/>
        <v>152.23954167722536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-4.9658410716801891E-14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303.33040062722074</v>
      </c>
      <c r="T109" s="62">
        <f t="shared" si="88"/>
        <v>425.30058672361548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4.1141249948697638</v>
      </c>
      <c r="AB109" s="23">
        <f>EXP(-LN(2)/2)*AB108+(1-EXP(-LN(2)/2))/(LN(2)/2)*V109*Y109*VLOOKUP('Données projet'!$B$9,Paramètres!$A$1:$I$89,3,0)*0.475*44/12</f>
        <v>5.9248120251803009E-11</v>
      </c>
      <c r="AC109" s="24">
        <f t="shared" si="57"/>
        <v>4.1141249949290115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</v>
      </c>
      <c r="AJ109" s="14">
        <f>AI109*VLOOKUP('Données projet'!$B$10,Paramètres!$A$1:$I$89,3,0)*VLOOKUP('Données projet'!$B$10,Paramètres!$A$1:$I$89,5,0)</f>
        <v>241.58159999999998</v>
      </c>
      <c r="AK109" s="14">
        <f t="shared" si="89"/>
        <v>58.779689232021951</v>
      </c>
      <c r="AL109" s="22">
        <f t="shared" si="58"/>
        <v>523.12924541243819</v>
      </c>
      <c r="AM109" s="62">
        <f t="shared" si="59"/>
        <v>816.46257874577145</v>
      </c>
      <c r="AN109" s="62">
        <f ca="1">AVERAGE(OFFSET($AM$3,0,0,'Données projet'!$E$10+1,1))-AVERAGE(OFFSET($H$3,0,0,'Données projet'!$E$10+1,1))</f>
        <v>371.75294069149942</v>
      </c>
      <c r="AO109" s="62">
        <f t="shared" si="90"/>
        <v>233.32640143610547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0.32814376927452765</v>
      </c>
      <c r="AW109" s="23">
        <f>EXP(-LN(2)/2)*AW108+(1-EXP(-LN(2)/2))/(LN(2)/2)*AQ109*AT109*VLOOKUP('Données projet'!$B$10,Paramètres!$A$1:$I$89,3,0)*0.475*44/12</f>
        <v>4.5654583443406744E-11</v>
      </c>
      <c r="AX109" s="23">
        <f t="shared" si="60"/>
        <v>0.32814376932018224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projet'!$B$11,Paramètres!$A$1:$I$89,3,0)*VLOOKUP('Données projet'!$B$11,Paramètres!$A$1:$I$89,5,0)</f>
        <v>-1.9065282685915009E-13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555.15881087162279</v>
      </c>
      <c r="BJ109" s="62">
        <f t="shared" si="92"/>
        <v>668.20427590250733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6.3617353218582995</v>
      </c>
      <c r="BQ109" s="23">
        <f>EXP(-LN(2)/25)*BQ108+(1-EXP(-LN(2)/25))/(LN(2)/25)*Calculateur!BL109*Calculateur!BN109*VLOOKUP('Données projet'!$B$11,Paramètres!$A$1:$I$89,3,0)*0.475*44/12</f>
        <v>2.7513956956525258</v>
      </c>
      <c r="BR109" s="23">
        <f>EXP(-LN(2)/2)*BR108+(1-EXP(-LN(2)/2))/(LN(2)/2)*BL109*BO109*VLOOKUP('Données projet'!$B$11,Paramètres!$A$1:$I$89,3,0)*0.475*44/12</f>
        <v>5.0319414517903492E-11</v>
      </c>
      <c r="BS109" s="24">
        <f t="shared" si="63"/>
        <v>9.1131310175611446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199.83599999999987</v>
      </c>
      <c r="CA109" s="14">
        <f t="shared" si="93"/>
        <v>49.708123768564562</v>
      </c>
      <c r="CB109" s="22">
        <f t="shared" si="64"/>
        <v>434.62268223024967</v>
      </c>
      <c r="CC109" s="62">
        <f t="shared" si="65"/>
        <v>727.95601556358292</v>
      </c>
      <c r="CD109" s="62">
        <f ca="1">AVERAGE(OFFSET($CC$3,0,0,'Données projet'!$E$12+1,1))-AVERAGE(OFFSET($H$3,0,0,'Données projet'!$E$12+1,1))</f>
        <v>293.996396026019</v>
      </c>
      <c r="CE109" s="62">
        <f t="shared" si="94"/>
        <v>152.23954167722536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-4.9658410716801891E-14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303.33040062722074</v>
      </c>
      <c r="T110" s="62">
        <f t="shared" si="88"/>
        <v>425.30058672361548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4.0016240305326196</v>
      </c>
      <c r="AB110" s="23">
        <f>EXP(-LN(2)/2)*AB109+(1-EXP(-LN(2)/2))/(LN(2)/2)*V110*Y110*VLOOKUP('Données projet'!$B$9,Paramètres!$A$1:$I$89,3,0)*0.475*44/12</f>
        <v>4.1894747602605927E-11</v>
      </c>
      <c r="AC110" s="24">
        <f t="shared" si="57"/>
        <v>4.0016240305745141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</v>
      </c>
      <c r="AJ110" s="14">
        <f>AI110*VLOOKUP('Données projet'!$B$10,Paramètres!$A$1:$I$89,3,0)*VLOOKUP('Données projet'!$B$10,Paramètres!$A$1:$I$89,5,0)</f>
        <v>245.20079999999999</v>
      </c>
      <c r="AK110" s="14">
        <f t="shared" si="89"/>
        <v>59.557107941433735</v>
      </c>
      <c r="AL110" s="22">
        <f t="shared" si="58"/>
        <v>530.78668966466364</v>
      </c>
      <c r="AM110" s="62">
        <f t="shared" si="59"/>
        <v>824.12002299799701</v>
      </c>
      <c r="AN110" s="62">
        <f ca="1">AVERAGE(OFFSET($AM$3,0,0,'Données projet'!$E$10+1,1))-AVERAGE(OFFSET($H$3,0,0,'Données projet'!$E$10+1,1))</f>
        <v>371.75294069149942</v>
      </c>
      <c r="AO110" s="62">
        <f t="shared" si="90"/>
        <v>233.32640143610547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0.31917066064738486</v>
      </c>
      <c r="AW110" s="23">
        <f>EXP(-LN(2)/2)*AW109+(1-EXP(-LN(2)/2))/(LN(2)/2)*AQ110*AT110*VLOOKUP('Données projet'!$B$10,Paramètres!$A$1:$I$89,3,0)*0.475*44/12</f>
        <v>3.2282665545079988E-11</v>
      </c>
      <c r="AX110" s="23">
        <f t="shared" si="60"/>
        <v>0.31917066067966754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projet'!$B$11,Paramètres!$A$1:$I$89,3,0)*VLOOKUP('Données projet'!$B$11,Paramètres!$A$1:$I$89,5,0)</f>
        <v>-1.9065282685915009E-13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555.15881087162279</v>
      </c>
      <c r="BJ110" s="62">
        <f t="shared" si="92"/>
        <v>668.20427590250733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6.2369855724720589</v>
      </c>
      <c r="BQ110" s="23">
        <f>EXP(-LN(2)/25)*BQ109+(1-EXP(-LN(2)/25))/(LN(2)/25)*Calculateur!BL110*Calculateur!BN110*VLOOKUP('Données projet'!$B$11,Paramètres!$A$1:$I$89,3,0)*0.475*44/12</f>
        <v>2.6761586356652964</v>
      </c>
      <c r="BR110" s="23">
        <f>EXP(-LN(2)/2)*BR109+(1-EXP(-LN(2)/2))/(LN(2)/2)*BL110*BO110*VLOOKUP('Données projet'!$B$11,Paramètres!$A$1:$I$89,3,0)*0.475*44/12</f>
        <v>3.5581199230946367E-11</v>
      </c>
      <c r="BS110" s="24">
        <f t="shared" si="63"/>
        <v>8.9131442081729357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202.69079999999988</v>
      </c>
      <c r="CA110" s="14">
        <f t="shared" si="93"/>
        <v>50.335063379382063</v>
      </c>
      <c r="CB110" s="22">
        <f t="shared" si="64"/>
        <v>440.6867120524235</v>
      </c>
      <c r="CC110" s="62">
        <f t="shared" si="65"/>
        <v>734.02004538575682</v>
      </c>
      <c r="CD110" s="62">
        <f ca="1">AVERAGE(OFFSET($CC$3,0,0,'Données projet'!$E$12+1,1))-AVERAGE(OFFSET($H$3,0,0,'Données projet'!$E$12+1,1))</f>
        <v>293.996396026019</v>
      </c>
      <c r="CE110" s="62">
        <f t="shared" si="94"/>
        <v>152.23954167722536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-4.9658410716801891E-14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303.33040062722074</v>
      </c>
      <c r="T111" s="62">
        <f t="shared" si="88"/>
        <v>425.30058672361548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3.8921994109814433</v>
      </c>
      <c r="AB111" s="23">
        <f>EXP(-LN(2)/2)*AB110+(1-EXP(-LN(2)/2))/(LN(2)/2)*V111*Y111*VLOOKUP('Données projet'!$B$9,Paramètres!$A$1:$I$89,3,0)*0.475*44/12</f>
        <v>2.9624060125901505E-11</v>
      </c>
      <c r="AC111" s="24">
        <f t="shared" si="57"/>
        <v>3.8921994110110671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</v>
      </c>
      <c r="AJ111" s="14">
        <f>AI111*VLOOKUP('Données projet'!$B$10,Paramètres!$A$1:$I$89,3,0)*VLOOKUP('Données projet'!$B$10,Paramètres!$A$1:$I$89,5,0)</f>
        <v>248.82000000000002</v>
      </c>
      <c r="AK111" s="14">
        <f t="shared" si="89"/>
        <v>60.333192077890068</v>
      </c>
      <c r="AL111" s="22">
        <f t="shared" si="58"/>
        <v>538.44180953565854</v>
      </c>
      <c r="AM111" s="62">
        <f t="shared" si="59"/>
        <v>831.77514286899191</v>
      </c>
      <c r="AN111" s="62">
        <f ca="1">AVERAGE(OFFSET($AM$3,0,0,'Données projet'!$E$10+1,1))-AVERAGE(OFFSET($H$3,0,0,'Données projet'!$E$10+1,1))</f>
        <v>371.75294069149942</v>
      </c>
      <c r="AO111" s="62">
        <f t="shared" si="90"/>
        <v>233.32640143610547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0.31044292214752656</v>
      </c>
      <c r="AW111" s="23">
        <f>EXP(-LN(2)/2)*AW110+(1-EXP(-LN(2)/2))/(LN(2)/2)*AQ111*AT111*VLOOKUP('Données projet'!$B$10,Paramètres!$A$1:$I$89,3,0)*0.475*44/12</f>
        <v>2.2827291721703372E-11</v>
      </c>
      <c r="AX111" s="23">
        <f t="shared" si="60"/>
        <v>0.31044292217035385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projet'!$B$11,Paramètres!$A$1:$I$89,3,0)*VLOOKUP('Données projet'!$B$11,Paramètres!$A$1:$I$89,5,0)</f>
        <v>-1.9065282685915009E-13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555.15881087162279</v>
      </c>
      <c r="BJ111" s="62">
        <f t="shared" si="92"/>
        <v>668.20427590250733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6.1146820895814491</v>
      </c>
      <c r="BQ111" s="23">
        <f>EXP(-LN(2)/25)*BQ110+(1-EXP(-LN(2)/25))/(LN(2)/25)*Calculateur!BL111*Calculateur!BN111*VLOOKUP('Données projet'!$B$11,Paramètres!$A$1:$I$89,3,0)*0.475*44/12</f>
        <v>2.6029789370399627</v>
      </c>
      <c r="BR111" s="23">
        <f>EXP(-LN(2)/2)*BR110+(1-EXP(-LN(2)/2))/(LN(2)/2)*BL111*BO111*VLOOKUP('Données projet'!$B$11,Paramètres!$A$1:$I$89,3,0)*0.475*44/12</f>
        <v>2.5159707258951746E-11</v>
      </c>
      <c r="BS111" s="24">
        <f t="shared" si="63"/>
        <v>8.7176610266465726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205.54559999999987</v>
      </c>
      <c r="CA111" s="14">
        <f t="shared" si="93"/>
        <v>50.960975968608096</v>
      </c>
      <c r="CB111" s="22">
        <f t="shared" si="64"/>
        <v>446.74895314532552</v>
      </c>
      <c r="CC111" s="62">
        <f t="shared" si="65"/>
        <v>740.08228647865883</v>
      </c>
      <c r="CD111" s="62">
        <f ca="1">AVERAGE(OFFSET($CC$3,0,0,'Données projet'!$E$12+1,1))-AVERAGE(OFFSET($H$3,0,0,'Données projet'!$E$12+1,1))</f>
        <v>293.996396026019</v>
      </c>
      <c r="CE111" s="62">
        <f t="shared" si="94"/>
        <v>152.23954167722536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-4.9658410716801891E-14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303.33040062722074</v>
      </c>
      <c r="T112" s="62">
        <f t="shared" si="88"/>
        <v>425.30058672361548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3.7857670134062844</v>
      </c>
      <c r="AB112" s="23">
        <f>EXP(-LN(2)/2)*AB111+(1-EXP(-LN(2)/2))/(LN(2)/2)*V112*Y112*VLOOKUP('Données projet'!$B$9,Paramètres!$A$1:$I$89,3,0)*0.475*44/12</f>
        <v>2.0947373801302963E-11</v>
      </c>
      <c r="AC112" s="24">
        <f t="shared" si="57"/>
        <v>3.7857670134272317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</v>
      </c>
      <c r="AJ112" s="14">
        <f>AI112*VLOOKUP('Données projet'!$B$10,Paramètres!$A$1:$I$89,3,0)*VLOOKUP('Données projet'!$B$10,Paramètres!$A$1:$I$89,5,0)</f>
        <v>252.4392</v>
      </c>
      <c r="AK112" s="14">
        <f t="shared" si="89"/>
        <v>61.107963296116218</v>
      </c>
      <c r="AL112" s="22">
        <f t="shared" si="58"/>
        <v>546.09464274073571</v>
      </c>
      <c r="AM112" s="62">
        <f t="shared" si="59"/>
        <v>839.42797607406897</v>
      </c>
      <c r="AN112" s="62">
        <f ca="1">AVERAGE(OFFSET($AM$3,0,0,'Données projet'!$E$10+1,1))-AVERAGE(OFFSET($H$3,0,0,'Données projet'!$E$10+1,1))</f>
        <v>371.75294069149942</v>
      </c>
      <c r="AO112" s="62">
        <f t="shared" si="90"/>
        <v>233.32640143610547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0.30195384411591869</v>
      </c>
      <c r="AW112" s="23">
        <f>EXP(-LN(2)/2)*AW111+(1-EXP(-LN(2)/2))/(LN(2)/2)*AQ112*AT112*VLOOKUP('Données projet'!$B$10,Paramètres!$A$1:$I$89,3,0)*0.475*44/12</f>
        <v>1.6141332772539994E-11</v>
      </c>
      <c r="AX112" s="23">
        <f t="shared" si="60"/>
        <v>0.30195384413206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projet'!$B$11,Paramètres!$A$1:$I$89,3,0)*VLOOKUP('Données projet'!$B$11,Paramètres!$A$1:$I$89,5,0)</f>
        <v>-1.9065282685915009E-13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555.15881087162279</v>
      </c>
      <c r="BJ112" s="62">
        <f t="shared" si="92"/>
        <v>668.20427590250733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5.9947769033925651</v>
      </c>
      <c r="BQ112" s="23">
        <f>EXP(-LN(2)/25)*BQ111+(1-EXP(-LN(2)/25))/(LN(2)/25)*Calculateur!BL112*Calculateur!BN112*VLOOKUP('Données projet'!$B$11,Paramètres!$A$1:$I$89,3,0)*0.475*44/12</f>
        <v>2.5318003411218917</v>
      </c>
      <c r="BR112" s="23">
        <f>EXP(-LN(2)/2)*BR111+(1-EXP(-LN(2)/2))/(LN(2)/2)*BL112*BO112*VLOOKUP('Données projet'!$B$11,Paramètres!$A$1:$I$89,3,0)*0.475*44/12</f>
        <v>1.7790599615473184E-11</v>
      </c>
      <c r="BS112" s="24">
        <f t="shared" si="63"/>
        <v>8.5265772445322465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208.40039999999988</v>
      </c>
      <c r="CA112" s="14">
        <f t="shared" si="93"/>
        <v>51.585877448947201</v>
      </c>
      <c r="CB112" s="22">
        <f t="shared" si="64"/>
        <v>452.8094332235828</v>
      </c>
      <c r="CC112" s="62">
        <f t="shared" si="65"/>
        <v>746.14276655691606</v>
      </c>
      <c r="CD112" s="62">
        <f ca="1">AVERAGE(OFFSET($CC$3,0,0,'Données projet'!$E$12+1,1))-AVERAGE(OFFSET($H$3,0,0,'Données projet'!$E$12+1,1))</f>
        <v>293.996396026019</v>
      </c>
      <c r="CE112" s="62">
        <f t="shared" si="94"/>
        <v>152.23954167722536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-4.9658410716801891E-14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303.33040062722074</v>
      </c>
      <c r="T113" s="62">
        <f t="shared" si="88"/>
        <v>425.30058672361548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3.6822450153398547</v>
      </c>
      <c r="AB113" s="23">
        <f>EXP(-LN(2)/2)*AB112+(1-EXP(-LN(2)/2))/(LN(2)/2)*V113*Y113*VLOOKUP('Données projet'!$B$9,Paramètres!$A$1:$I$89,3,0)*0.475*44/12</f>
        <v>1.4812030062950752E-11</v>
      </c>
      <c r="AC113" s="24">
        <f t="shared" si="57"/>
        <v>3.6822450153546669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283</v>
      </c>
      <c r="AG113" s="13">
        <f>VLOOKUP(A113,'Données projet'!$A$61:$I$81,9,0)</f>
        <v>4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</v>
      </c>
      <c r="AJ113" s="14">
        <f>AI113*VLOOKUP('Données projet'!$B$10,Paramètres!$A$1:$I$89,3,0)*VLOOKUP('Données projet'!$B$10,Paramètres!$A$1:$I$89,5,0)</f>
        <v>256.05840000000001</v>
      </c>
      <c r="AK113" s="14">
        <f t="shared" si="89"/>
        <v>61.881442594256484</v>
      </c>
      <c r="AL113" s="22">
        <f t="shared" si="58"/>
        <v>553.74522585166335</v>
      </c>
      <c r="AM113" s="62">
        <f t="shared" si="59"/>
        <v>847.07855918499672</v>
      </c>
      <c r="AN113" s="62">
        <f ca="1">AVERAGE(OFFSET($AM$3,0,0,'Données projet'!$E$10+1,1))-AVERAGE(OFFSET($H$3,0,0,'Données projet'!$E$10+1,1))</f>
        <v>371.75294069149942</v>
      </c>
      <c r="AO113" s="62">
        <f t="shared" si="90"/>
        <v>233.32640143610547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0.29369690036950635</v>
      </c>
      <c r="AW113" s="23">
        <f>EXP(-LN(2)/2)*AW112+(1-EXP(-LN(2)/2))/(LN(2)/2)*AQ113*AT113*VLOOKUP('Données projet'!$B$10,Paramètres!$A$1:$I$89,3,0)*0.475*44/12</f>
        <v>1.1413645860851686E-11</v>
      </c>
      <c r="AX113" s="23">
        <f t="shared" si="60"/>
        <v>0.29369690038092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projet'!$B$11,Paramètres!$A$1:$I$89,3,0)*VLOOKUP('Données projet'!$B$11,Paramètres!$A$1:$I$89,5,0)</f>
        <v>-1.9065282685915009E-13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555.15881087162279</v>
      </c>
      <c r="BJ113" s="62">
        <f t="shared" si="92"/>
        <v>668.20427590250733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5.8772229847699036</v>
      </c>
      <c r="BQ113" s="23">
        <f>EXP(-LN(2)/25)*BQ112+(1-EXP(-LN(2)/25))/(LN(2)/25)*Calculateur!BL113*Calculateur!BN113*VLOOKUP('Données projet'!$B$11,Paramètres!$A$1:$I$89,3,0)*0.475*44/12</f>
        <v>2.4625681276523199</v>
      </c>
      <c r="BR113" s="23">
        <f>EXP(-LN(2)/2)*BR112+(1-EXP(-LN(2)/2))/(LN(2)/2)*BL113*BO113*VLOOKUP('Données projet'!$B$11,Paramètres!$A$1:$I$89,3,0)*0.475*44/12</f>
        <v>1.2579853629475873E-11</v>
      </c>
      <c r="BS113" s="24">
        <f t="shared" si="63"/>
        <v>8.3397911124348028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211.25519999999986</v>
      </c>
      <c r="CA113" s="14">
        <f t="shared" si="93"/>
        <v>52.209783272090966</v>
      </c>
      <c r="CB113" s="22">
        <f t="shared" si="64"/>
        <v>458.86817919889148</v>
      </c>
      <c r="CC113" s="62">
        <f t="shared" si="65"/>
        <v>752.2015125322248</v>
      </c>
      <c r="CD113" s="62">
        <f ca="1">AVERAGE(OFFSET($CC$3,0,0,'Données projet'!$E$12+1,1))-AVERAGE(OFFSET($H$3,0,0,'Données projet'!$E$12+1,1))</f>
        <v>293.996396026019</v>
      </c>
      <c r="CE113" s="62">
        <f t="shared" si="94"/>
        <v>152.23954167722536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-4.9658410716801891E-14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303.33040062722074</v>
      </c>
      <c r="T114" s="62">
        <f t="shared" si="88"/>
        <v>425.30058672361548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3.5815538317545368</v>
      </c>
      <c r="AB114" s="23">
        <f>EXP(-LN(2)/2)*AB113+(1-EXP(-LN(2)/2))/(LN(2)/2)*V114*Y114*VLOOKUP('Données projet'!$B$9,Paramètres!$A$1:$I$89,3,0)*0.475*44/12</f>
        <v>1.0473686900651482E-11</v>
      </c>
      <c r="AC114" s="24">
        <f t="shared" si="57"/>
        <v>3.5815538317650106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267.8</v>
      </c>
      <c r="AJ114" s="14">
        <f>AI114*VLOOKUP('Données projet'!$B$10,Paramètres!$A$1:$I$89,3,0)*VLOOKUP('Données projet'!$B$10,Paramètres!$A$1:$I$89,5,0)</f>
        <v>242.30543999999998</v>
      </c>
      <c r="AK114" s="14">
        <f t="shared" si="89"/>
        <v>58.935280802002701</v>
      </c>
      <c r="AL114" s="22">
        <f t="shared" si="58"/>
        <v>524.66092206348787</v>
      </c>
      <c r="AM114" s="62">
        <f t="shared" si="59"/>
        <v>817.99425539682125</v>
      </c>
      <c r="AN114" s="62">
        <f ca="1">AVERAGE(OFFSET($AM$3,0,0,'Données projet'!$E$10+1,1))-AVERAGE(OFFSET($H$3,0,0,'Données projet'!$E$10+1,1))</f>
        <v>371.75294069149942</v>
      </c>
      <c r="AO114" s="62">
        <f t="shared" si="90"/>
        <v>233.32640143610547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0.28566574318405347</v>
      </c>
      <c r="AW114" s="23">
        <f>EXP(-LN(2)/2)*AW113+(1-EXP(-LN(2)/2))/(LN(2)/2)*AQ114*AT114*VLOOKUP('Données projet'!$B$10,Paramètres!$A$1:$I$89,3,0)*0.475*44/12</f>
        <v>8.0706663862699969E-12</v>
      </c>
      <c r="AX114" s="23">
        <f t="shared" si="60"/>
        <v>0.28566574319212412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projet'!$B$11,Paramètres!$A$1:$I$89,3,0)*VLOOKUP('Données projet'!$B$11,Paramètres!$A$1:$I$89,5,0)</f>
        <v>-1.9065282685915009E-13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555.15881087162279</v>
      </c>
      <c r="BJ114" s="62">
        <f t="shared" si="92"/>
        <v>668.20427590250733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5.7619742267906213</v>
      </c>
      <c r="BQ114" s="23">
        <f>EXP(-LN(2)/25)*BQ113+(1-EXP(-LN(2)/25))/(LN(2)/25)*Calculateur!BL114*Calculateur!BN114*VLOOKUP('Données projet'!$B$11,Paramètres!$A$1:$I$89,3,0)*0.475*44/12</f>
        <v>2.3952290727008378</v>
      </c>
      <c r="BR114" s="23">
        <f>EXP(-LN(2)/2)*BR113+(1-EXP(-LN(2)/2))/(LN(2)/2)*BL114*BO114*VLOOKUP('Données projet'!$B$11,Paramètres!$A$1:$I$89,3,0)*0.475*44/12</f>
        <v>8.8952998077365918E-12</v>
      </c>
      <c r="BS114" s="24">
        <f t="shared" si="63"/>
        <v>8.1572032995003561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201.54887999999988</v>
      </c>
      <c r="CA114" s="14">
        <f t="shared" si="93"/>
        <v>50.084411684709657</v>
      </c>
      <c r="CB114" s="22">
        <f t="shared" si="64"/>
        <v>438.26131635086909</v>
      </c>
      <c r="CC114" s="62">
        <f t="shared" si="65"/>
        <v>731.59464968420241</v>
      </c>
      <c r="CD114" s="62">
        <f ca="1">AVERAGE(OFFSET($CC$3,0,0,'Données projet'!$E$12+1,1))-AVERAGE(OFFSET($H$3,0,0,'Données projet'!$E$12+1,1))</f>
        <v>293.996396026019</v>
      </c>
      <c r="CE114" s="62">
        <f t="shared" si="94"/>
        <v>152.23954167722536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-4.9658410716801891E-14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303.33040062722074</v>
      </c>
      <c r="T115" s="62">
        <f t="shared" si="88"/>
        <v>425.30058672361548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3.4836160538794787</v>
      </c>
      <c r="AB115" s="23">
        <f>EXP(-LN(2)/2)*AB114+(1-EXP(-LN(2)/2))/(LN(2)/2)*V115*Y115*VLOOKUP('Données projet'!$B$9,Paramètres!$A$1:$I$89,3,0)*0.475*44/12</f>
        <v>7.4060150314753762E-12</v>
      </c>
      <c r="AC115" s="24">
        <f t="shared" si="57"/>
        <v>3.4836160538868848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271.60000000000002</v>
      </c>
      <c r="AJ115" s="14">
        <f>AI115*VLOOKUP('Données projet'!$B$10,Paramètres!$A$1:$I$89,3,0)*VLOOKUP('Données projet'!$B$10,Paramètres!$A$1:$I$89,5,0)</f>
        <v>245.74367999999998</v>
      </c>
      <c r="AK115" s="14">
        <f t="shared" si="89"/>
        <v>59.673605104126452</v>
      </c>
      <c r="AL115" s="22">
        <f t="shared" si="58"/>
        <v>531.93510488968684</v>
      </c>
      <c r="AM115" s="62">
        <f t="shared" si="59"/>
        <v>825.26843822302021</v>
      </c>
      <c r="AN115" s="62">
        <f ca="1">AVERAGE(OFFSET($AM$3,0,0,'Données projet'!$E$10+1,1))-AVERAGE(OFFSET($H$3,0,0,'Données projet'!$E$10+1,1))</f>
        <v>371.75294069149942</v>
      </c>
      <c r="AO115" s="62">
        <f t="shared" si="90"/>
        <v>233.32640143610547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0.27785419841417697</v>
      </c>
      <c r="AW115" s="23">
        <f>EXP(-LN(2)/2)*AW114+(1-EXP(-LN(2)/2))/(LN(2)/2)*AQ115*AT115*VLOOKUP('Données projet'!$B$10,Paramètres!$A$1:$I$89,3,0)*0.475*44/12</f>
        <v>5.7068229304258429E-12</v>
      </c>
      <c r="AX115" s="23">
        <f t="shared" si="60"/>
        <v>0.27785419841988379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projet'!$B$11,Paramètres!$A$1:$I$89,3,0)*VLOOKUP('Données projet'!$B$11,Paramètres!$A$1:$I$89,5,0)</f>
        <v>-1.9065282685915009E-13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555.15881087162279</v>
      </c>
      <c r="BJ115" s="62">
        <f t="shared" si="92"/>
        <v>668.20427590250733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5.648985426660512</v>
      </c>
      <c r="BQ115" s="23">
        <f>EXP(-LN(2)/25)*BQ114+(1-EXP(-LN(2)/25))/(LN(2)/25)*Calculateur!BL115*Calculateur!BN115*VLOOKUP('Données projet'!$B$11,Paramètres!$A$1:$I$89,3,0)*0.475*44/12</f>
        <v>2.329731407748211</v>
      </c>
      <c r="BR115" s="23">
        <f>EXP(-LN(2)/2)*BR114+(1-EXP(-LN(2)/2))/(LN(2)/2)*BL115*BO115*VLOOKUP('Données projet'!$B$11,Paramètres!$A$1:$I$89,3,0)*0.475*44/12</f>
        <v>6.2899268147379366E-12</v>
      </c>
      <c r="BS115" s="24">
        <f t="shared" si="63"/>
        <v>7.978716834415013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204.21335999999988</v>
      </c>
      <c r="CA115" s="14">
        <f t="shared" si="93"/>
        <v>50.669010210991793</v>
      </c>
      <c r="CB115" s="22">
        <f t="shared" si="64"/>
        <v>443.92012811747713</v>
      </c>
      <c r="CC115" s="62">
        <f t="shared" si="65"/>
        <v>737.25346145081039</v>
      </c>
      <c r="CD115" s="62">
        <f ca="1">AVERAGE(OFFSET($CC$3,0,0,'Données projet'!$E$12+1,1))-AVERAGE(OFFSET($H$3,0,0,'Données projet'!$E$12+1,1))</f>
        <v>293.996396026019</v>
      </c>
      <c r="CE115" s="62">
        <f t="shared" si="94"/>
        <v>152.23954167722536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-4.9658410716801891E-14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303.33040062722074</v>
      </c>
      <c r="T116" s="62">
        <f t="shared" si="88"/>
        <v>425.30058672361548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3.3883563896907378</v>
      </c>
      <c r="AB116" s="23">
        <f>EXP(-LN(2)/2)*AB115+(1-EXP(-LN(2)/2))/(LN(2)/2)*V116*Y116*VLOOKUP('Données projet'!$B$9,Paramètres!$A$1:$I$89,3,0)*0.475*44/12</f>
        <v>5.2368434503257408E-12</v>
      </c>
      <c r="AC116" s="24">
        <f t="shared" si="57"/>
        <v>3.3883563896959745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275.40000000000003</v>
      </c>
      <c r="AJ116" s="14">
        <f>AI116*VLOOKUP('Données projet'!$B$10,Paramètres!$A$1:$I$89,3,0)*VLOOKUP('Données projet'!$B$10,Paramètres!$A$1:$I$89,5,0)</f>
        <v>249.18192000000002</v>
      </c>
      <c r="AK116" s="14">
        <f t="shared" si="89"/>
        <v>60.410727929515595</v>
      </c>
      <c r="AL116" s="22">
        <f t="shared" si="58"/>
        <v>539.20719514390646</v>
      </c>
      <c r="AM116" s="62">
        <f t="shared" si="59"/>
        <v>832.54052847723983</v>
      </c>
      <c r="AN116" s="62">
        <f ca="1">AVERAGE(OFFSET($AM$3,0,0,'Données projet'!$E$10+1,1))-AVERAGE(OFFSET($H$3,0,0,'Données projet'!$E$10+1,1))</f>
        <v>371.75294069149942</v>
      </c>
      <c r="AO116" s="62">
        <f t="shared" si="90"/>
        <v>233.32640143610547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0.27025626074682407</v>
      </c>
      <c r="AW116" s="23">
        <f>EXP(-LN(2)/2)*AW115+(1-EXP(-LN(2)/2))/(LN(2)/2)*AQ116*AT116*VLOOKUP('Données projet'!$B$10,Paramètres!$A$1:$I$89,3,0)*0.475*44/12</f>
        <v>4.0353331931349984E-12</v>
      </c>
      <c r="AX116" s="23">
        <f t="shared" si="60"/>
        <v>0.2702562607508594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projet'!$B$11,Paramètres!$A$1:$I$89,3,0)*VLOOKUP('Données projet'!$B$11,Paramètres!$A$1:$I$89,5,0)</f>
        <v>-1.9065282685915009E-13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555.15881087162279</v>
      </c>
      <c r="BJ116" s="62">
        <f t="shared" si="92"/>
        <v>668.20427590250733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5.5382122679845907</v>
      </c>
      <c r="BQ116" s="23">
        <f>EXP(-LN(2)/25)*BQ115+(1-EXP(-LN(2)/25))/(LN(2)/25)*Calculateur!BL116*Calculateur!BN116*VLOOKUP('Données projet'!$B$11,Paramètres!$A$1:$I$89,3,0)*0.475*44/12</f>
        <v>2.2660247798880859</v>
      </c>
      <c r="BR116" s="23">
        <f>EXP(-LN(2)/2)*BR115+(1-EXP(-LN(2)/2))/(LN(2)/2)*BL116*BO116*VLOOKUP('Données projet'!$B$11,Paramètres!$A$1:$I$89,3,0)*0.475*44/12</f>
        <v>4.4476499038682959E-12</v>
      </c>
      <c r="BS116" s="24">
        <f t="shared" si="63"/>
        <v>7.804237047877125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206.87783999999988</v>
      </c>
      <c r="CA116" s="14">
        <f t="shared" si="93"/>
        <v>51.252721535720333</v>
      </c>
      <c r="CB116" s="22">
        <f t="shared" si="64"/>
        <v>449.57739467471271</v>
      </c>
      <c r="CC116" s="62">
        <f t="shared" si="65"/>
        <v>742.91072800804602</v>
      </c>
      <c r="CD116" s="62">
        <f ca="1">AVERAGE(OFFSET($CC$3,0,0,'Données projet'!$E$12+1,1))-AVERAGE(OFFSET($H$3,0,0,'Données projet'!$E$12+1,1))</f>
        <v>293.996396026019</v>
      </c>
      <c r="CE116" s="62">
        <f t="shared" si="94"/>
        <v>152.23954167722536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-4.9658410716801891E-14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303.33040062722074</v>
      </c>
      <c r="T117" s="62">
        <f t="shared" si="88"/>
        <v>425.30058672361548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3.2957016060287261</v>
      </c>
      <c r="AB117" s="23">
        <f>EXP(-LN(2)/2)*AB116+(1-EXP(-LN(2)/2))/(LN(2)/2)*V117*Y117*VLOOKUP('Données projet'!$B$9,Paramètres!$A$1:$I$89,3,0)*0.475*44/12</f>
        <v>3.7030075157376881E-12</v>
      </c>
      <c r="AC117" s="24">
        <f t="shared" si="57"/>
        <v>3.2957016060324289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279.20000000000005</v>
      </c>
      <c r="AJ117" s="14">
        <f>AI117*VLOOKUP('Données projet'!$B$10,Paramètres!$A$1:$I$89,3,0)*VLOOKUP('Données projet'!$B$10,Paramètres!$A$1:$I$89,5,0)</f>
        <v>252.62016000000003</v>
      </c>
      <c r="AK117" s="14">
        <f t="shared" si="89"/>
        <v>61.14666777229877</v>
      </c>
      <c r="AL117" s="22">
        <f t="shared" si="58"/>
        <v>546.47722503675379</v>
      </c>
      <c r="AM117" s="62">
        <f t="shared" si="59"/>
        <v>839.81055837008716</v>
      </c>
      <c r="AN117" s="62">
        <f ca="1">AVERAGE(OFFSET($AM$3,0,0,'Données projet'!$E$10+1,1))-AVERAGE(OFFSET($H$3,0,0,'Données projet'!$E$10+1,1))</f>
        <v>371.75294069149942</v>
      </c>
      <c r="AO117" s="62">
        <f t="shared" si="90"/>
        <v>233.32640143610547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0.26286608908454312</v>
      </c>
      <c r="AW117" s="23">
        <f>EXP(-LN(2)/2)*AW116+(1-EXP(-LN(2)/2))/(LN(2)/2)*AQ117*AT117*VLOOKUP('Données projet'!$B$10,Paramètres!$A$1:$I$89,3,0)*0.475*44/12</f>
        <v>2.8534114652129215E-12</v>
      </c>
      <c r="AX117" s="23">
        <f t="shared" si="60"/>
        <v>0.2628660890873965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projet'!$B$11,Paramètres!$A$1:$I$89,3,0)*VLOOKUP('Données projet'!$B$11,Paramètres!$A$1:$I$89,5,0)</f>
        <v>-1.9065282685915009E-13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555.15881087162279</v>
      </c>
      <c r="BJ117" s="62">
        <f t="shared" si="92"/>
        <v>668.20427590250733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5.4296113033853493</v>
      </c>
      <c r="BQ117" s="23">
        <f>EXP(-LN(2)/25)*BQ116+(1-EXP(-LN(2)/25))/(LN(2)/25)*Calculateur!BL117*Calculateur!BN117*VLOOKUP('Données projet'!$B$11,Paramètres!$A$1:$I$89,3,0)*0.475*44/12</f>
        <v>2.204060213116982</v>
      </c>
      <c r="BR117" s="23">
        <f>EXP(-LN(2)/2)*BR116+(1-EXP(-LN(2)/2))/(LN(2)/2)*BL117*BO117*VLOOKUP('Données projet'!$B$11,Paramètres!$A$1:$I$89,3,0)*0.475*44/12</f>
        <v>3.1449634073689683E-12</v>
      </c>
      <c r="BS117" s="24">
        <f t="shared" si="63"/>
        <v>7.6336715165054763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209.54231999999993</v>
      </c>
      <c r="CA117" s="14">
        <f t="shared" si="93"/>
        <v>51.835558406813547</v>
      </c>
      <c r="CB117" s="22">
        <f t="shared" si="64"/>
        <v>455.23313822520009</v>
      </c>
      <c r="CC117" s="62">
        <f t="shared" si="65"/>
        <v>748.56647155853341</v>
      </c>
      <c r="CD117" s="62">
        <f ca="1">AVERAGE(OFFSET($CC$3,0,0,'Données projet'!$E$12+1,1))-AVERAGE(OFFSET($H$3,0,0,'Données projet'!$E$12+1,1))</f>
        <v>293.996396026019</v>
      </c>
      <c r="CE117" s="62">
        <f t="shared" si="94"/>
        <v>152.23954167722536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-4.9658410716801891E-14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303.33040062722074</v>
      </c>
      <c r="T118" s="62">
        <f t="shared" si="88"/>
        <v>425.30058672361548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3.2055804722984553</v>
      </c>
      <c r="AB118" s="23">
        <f>EXP(-LN(2)/2)*AB117+(1-EXP(-LN(2)/2))/(LN(2)/2)*V118*Y118*VLOOKUP('Données projet'!$B$9,Paramètres!$A$1:$I$89,3,0)*0.475*44/12</f>
        <v>2.6184217251628704E-12</v>
      </c>
      <c r="AC118" s="24">
        <f t="shared" si="57"/>
        <v>3.2055804723010737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283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283.00000000000006</v>
      </c>
      <c r="AJ118" s="14">
        <f>AI118*VLOOKUP('Données projet'!$B$10,Paramètres!$A$1:$I$89,3,0)*VLOOKUP('Données projet'!$B$10,Paramètres!$A$1:$I$89,5,0)</f>
        <v>256.05840000000001</v>
      </c>
      <c r="AK118" s="14">
        <f t="shared" si="89"/>
        <v>61.881442594256484</v>
      </c>
      <c r="AL118" s="22">
        <f t="shared" si="58"/>
        <v>553.74522585166335</v>
      </c>
      <c r="AM118" s="62">
        <f t="shared" si="59"/>
        <v>847.07855918499672</v>
      </c>
      <c r="AN118" s="62">
        <f ca="1">AVERAGE(OFFSET($AM$3,0,0,'Données projet'!$E$10+1,1))-AVERAGE(OFFSET($H$3,0,0,'Données projet'!$E$10+1,1))</f>
        <v>371.75294069149942</v>
      </c>
      <c r="AO118" s="62">
        <f t="shared" si="90"/>
        <v>233.32640143610547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0.25567800205499946</v>
      </c>
      <c r="AW118" s="23">
        <f>EXP(-LN(2)/2)*AW117+(1-EXP(-LN(2)/2))/(LN(2)/2)*AQ118*AT118*VLOOKUP('Données projet'!$B$10,Paramètres!$A$1:$I$89,3,0)*0.475*44/12</f>
        <v>2.0176665965674992E-12</v>
      </c>
      <c r="AX118" s="23">
        <f t="shared" si="60"/>
        <v>0.25567800205701713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projet'!$B$11,Paramètres!$A$1:$I$89,3,0)*VLOOKUP('Données projet'!$B$11,Paramètres!$A$1:$I$89,5,0)</f>
        <v>-1.9065282685915009E-13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555.15881087162279</v>
      </c>
      <c r="BJ118" s="62">
        <f t="shared" si="92"/>
        <v>668.20427590250733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5.3231399374618507</v>
      </c>
      <c r="BQ118" s="23">
        <f>EXP(-LN(2)/25)*BQ117+(1-EXP(-LN(2)/25))/(LN(2)/25)*Calculateur!BL118*Calculateur!BN118*VLOOKUP('Données projet'!$B$11,Paramètres!$A$1:$I$89,3,0)*0.475*44/12</f>
        <v>2.143790070682809</v>
      </c>
      <c r="BR118" s="23">
        <f>EXP(-LN(2)/2)*BR117+(1-EXP(-LN(2)/2))/(LN(2)/2)*BL118*BO118*VLOOKUP('Données projet'!$B$11,Paramètres!$A$1:$I$89,3,0)*0.475*44/12</f>
        <v>2.2238249519341479E-12</v>
      </c>
      <c r="BS118" s="24">
        <f t="shared" si="63"/>
        <v>7.4669300081468837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212.20679999999993</v>
      </c>
      <c r="CA118" s="14">
        <f t="shared" si="93"/>
        <v>52.417533229349637</v>
      </c>
      <c r="CB118" s="22">
        <f t="shared" si="64"/>
        <v>460.88738037445046</v>
      </c>
      <c r="CC118" s="62">
        <f t="shared" si="65"/>
        <v>754.22071370778372</v>
      </c>
      <c r="CD118" s="62">
        <f ca="1">AVERAGE(OFFSET($CC$3,0,0,'Données projet'!$E$12+1,1))-AVERAGE(OFFSET($H$3,0,0,'Données projet'!$E$12+1,1))</f>
        <v>293.996396026019</v>
      </c>
      <c r="CE118" s="62">
        <f t="shared" si="94"/>
        <v>152.23954167722536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-4.9658410716801891E-14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303.33040062722074</v>
      </c>
      <c r="T119" s="62">
        <f t="shared" si="88"/>
        <v>425.30058672361548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3.1179237057093037</v>
      </c>
      <c r="AB119" s="23">
        <f>EXP(-LN(2)/2)*AB118+(1-EXP(-LN(2)/2))/(LN(2)/2)*V119*Y119*VLOOKUP('Données projet'!$B$9,Paramètres!$A$1:$I$89,3,0)*0.475*44/12</f>
        <v>1.851503757868844E-12</v>
      </c>
      <c r="AC119" s="24">
        <f t="shared" si="57"/>
        <v>3.1179237057111551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268.60000000000008</v>
      </c>
      <c r="AJ119" s="14">
        <f>AI119*VLOOKUP('Données projet'!$B$10,Paramètres!$A$1:$I$89,3,0)*VLOOKUP('Données projet'!$B$10,Paramètres!$A$1:$I$89,5,0)</f>
        <v>243.02928000000006</v>
      </c>
      <c r="AK119" s="14">
        <f t="shared" si="89"/>
        <v>59.090818278663519</v>
      </c>
      <c r="AL119" s="22">
        <f t="shared" si="58"/>
        <v>526.1925045020057</v>
      </c>
      <c r="AM119" s="62">
        <f t="shared" si="59"/>
        <v>819.52583783533896</v>
      </c>
      <c r="AN119" s="62">
        <f ca="1">AVERAGE(OFFSET($AM$3,0,0,'Données projet'!$E$10+1,1))-AVERAGE(OFFSET($H$3,0,0,'Données projet'!$E$10+1,1))</f>
        <v>371.75294069149942</v>
      </c>
      <c r="AO119" s="62">
        <f t="shared" si="90"/>
        <v>233.32640143610547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0.24868647364328372</v>
      </c>
      <c r="AW119" s="23">
        <f>EXP(-LN(2)/2)*AW118+(1-EXP(-LN(2)/2))/(LN(2)/2)*AQ119*AT119*VLOOKUP('Données projet'!$B$10,Paramètres!$A$1:$I$89,3,0)*0.475*44/12</f>
        <v>1.4267057326064607E-12</v>
      </c>
      <c r="AX119" s="23">
        <f t="shared" si="60"/>
        <v>0.24868647364471042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projet'!$B$11,Paramètres!$A$1:$I$89,3,0)*VLOOKUP('Données projet'!$B$11,Paramètres!$A$1:$I$89,5,0)</f>
        <v>-1.9065282685915009E-13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555.15881087162279</v>
      </c>
      <c r="BJ119" s="62">
        <f t="shared" si="92"/>
        <v>668.20427590250733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5.2187564100829915</v>
      </c>
      <c r="BQ119" s="23">
        <f>EXP(-LN(2)/25)*BQ118+(1-EXP(-LN(2)/25))/(LN(2)/25)*Calculateur!BL119*Calculateur!BN119*VLOOKUP('Données projet'!$B$11,Paramètres!$A$1:$I$89,3,0)*0.475*44/12</f>
        <v>2.0851680184629675</v>
      </c>
      <c r="BR119" s="23">
        <f>EXP(-LN(2)/2)*BR118+(1-EXP(-LN(2)/2))/(LN(2)/2)*BL119*BO119*VLOOKUP('Données projet'!$B$11,Paramètres!$A$1:$I$89,3,0)*0.475*44/12</f>
        <v>1.5724817036844841E-12</v>
      </c>
      <c r="BS119" s="24">
        <f t="shared" si="63"/>
        <v>7.3039244285475311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202.1198399999999</v>
      </c>
      <c r="CA119" s="14">
        <f t="shared" si="93"/>
        <v>50.209758136493654</v>
      </c>
      <c r="CB119" s="22">
        <f t="shared" si="64"/>
        <v>439.47405008772625</v>
      </c>
      <c r="CC119" s="62">
        <f t="shared" si="65"/>
        <v>732.80738342105951</v>
      </c>
      <c r="CD119" s="62">
        <f ca="1">AVERAGE(OFFSET($CC$3,0,0,'Données projet'!$E$12+1,1))-AVERAGE(OFFSET($H$3,0,0,'Données projet'!$E$12+1,1))</f>
        <v>293.996396026019</v>
      </c>
      <c r="CE119" s="62">
        <f t="shared" si="94"/>
        <v>152.23954167722536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-4.9658410716801891E-14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303.33040062722074</v>
      </c>
      <c r="T120" s="62">
        <f t="shared" si="88"/>
        <v>425.30058672361548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3.0326639180122013</v>
      </c>
      <c r="AB120" s="23">
        <f>EXP(-LN(2)/2)*AB119+(1-EXP(-LN(2)/2))/(LN(2)/2)*V120*Y120*VLOOKUP('Données projet'!$B$9,Paramètres!$A$1:$I$89,3,0)*0.475*44/12</f>
        <v>1.3092108625814352E-12</v>
      </c>
      <c r="AC120" s="24">
        <f t="shared" si="57"/>
        <v>3.0326639180135104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272.2000000000001</v>
      </c>
      <c r="AJ120" s="14">
        <f>AI120*VLOOKUP('Données projet'!$B$10,Paramètres!$A$1:$I$89,3,0)*VLOOKUP('Données projet'!$B$10,Paramètres!$A$1:$I$89,5,0)</f>
        <v>246.28656000000009</v>
      </c>
      <c r="AK120" s="14">
        <f t="shared" si="89"/>
        <v>59.790072314231324</v>
      </c>
      <c r="AL120" s="22">
        <f t="shared" si="58"/>
        <v>533.08346794728629</v>
      </c>
      <c r="AM120" s="62">
        <f t="shared" si="59"/>
        <v>826.41680128061967</v>
      </c>
      <c r="AN120" s="62">
        <f ca="1">AVERAGE(OFFSET($AM$3,0,0,'Données projet'!$E$10+1,1))-AVERAGE(OFFSET($H$3,0,0,'Données projet'!$E$10+1,1))</f>
        <v>371.75294069149942</v>
      </c>
      <c r="AO120" s="62">
        <f t="shared" si="90"/>
        <v>233.32640143610547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0.24188612894365485</v>
      </c>
      <c r="AW120" s="23">
        <f>EXP(-LN(2)/2)*AW119+(1-EXP(-LN(2)/2))/(LN(2)/2)*AQ120*AT120*VLOOKUP('Données projet'!$B$10,Paramètres!$A$1:$I$89,3,0)*0.475*44/12</f>
        <v>1.0088332982837496E-12</v>
      </c>
      <c r="AX120" s="23">
        <f t="shared" si="60"/>
        <v>0.24188612894466369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projet'!$B$11,Paramètres!$A$1:$I$89,3,0)*VLOOKUP('Données projet'!$B$11,Paramètres!$A$1:$I$89,5,0)</f>
        <v>-1.9065282685915009E-13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555.15881087162279</v>
      </c>
      <c r="BJ120" s="62">
        <f t="shared" si="92"/>
        <v>668.20427590250733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5.1164197800083668</v>
      </c>
      <c r="BQ120" s="23">
        <f>EXP(-LN(2)/25)*BQ119+(1-EXP(-LN(2)/25))/(LN(2)/25)*Calculateur!BL120*Calculateur!BN120*VLOOKUP('Données projet'!$B$11,Paramètres!$A$1:$I$89,3,0)*0.475*44/12</f>
        <v>2.0281489893438773</v>
      </c>
      <c r="BR120" s="23">
        <f>EXP(-LN(2)/2)*BR119+(1-EXP(-LN(2)/2))/(LN(2)/2)*BL120*BO120*VLOOKUP('Données projet'!$B$11,Paramètres!$A$1:$I$89,3,0)*0.475*44/12</f>
        <v>1.111912475967074E-12</v>
      </c>
      <c r="BS120" s="24">
        <f t="shared" si="63"/>
        <v>7.1445687693533557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204.40367999999995</v>
      </c>
      <c r="CA120" s="14">
        <f t="shared" si="93"/>
        <v>50.710733146553501</v>
      </c>
      <c r="CB120" s="22">
        <f t="shared" si="64"/>
        <v>444.32426956358057</v>
      </c>
      <c r="CC120" s="62">
        <f t="shared" si="65"/>
        <v>737.65760289691389</v>
      </c>
      <c r="CD120" s="62">
        <f ca="1">AVERAGE(OFFSET($CC$3,0,0,'Données projet'!$E$12+1,1))-AVERAGE(OFFSET($H$3,0,0,'Données projet'!$E$12+1,1))</f>
        <v>293.996396026019</v>
      </c>
      <c r="CE120" s="62">
        <f t="shared" si="94"/>
        <v>152.23954167722536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-4.9658410716801891E-14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303.33040062722074</v>
      </c>
      <c r="T121" s="62">
        <f t="shared" si="88"/>
        <v>425.30058672361548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2.9497355636932934</v>
      </c>
      <c r="AB121" s="23">
        <f>EXP(-LN(2)/2)*AB120+(1-EXP(-LN(2)/2))/(LN(2)/2)*V121*Y121*VLOOKUP('Données projet'!$B$9,Paramètres!$A$1:$I$89,3,0)*0.475*44/12</f>
        <v>9.2575187893442202E-13</v>
      </c>
      <c r="AC121" s="24">
        <f t="shared" si="57"/>
        <v>2.9497355636942193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275.80000000000013</v>
      </c>
      <c r="AJ121" s="14">
        <f>AI121*VLOOKUP('Données projet'!$B$10,Paramètres!$A$1:$I$89,3,0)*VLOOKUP('Données projet'!$B$10,Paramètres!$A$1:$I$89,5,0)</f>
        <v>249.5438400000001</v>
      </c>
      <c r="AK121" s="14">
        <f t="shared" si="89"/>
        <v>60.488250673786602</v>
      </c>
      <c r="AL121" s="22">
        <f t="shared" si="58"/>
        <v>539.97255792351177</v>
      </c>
      <c r="AM121" s="62">
        <f t="shared" si="59"/>
        <v>833.30589125684514</v>
      </c>
      <c r="AN121" s="62">
        <f ca="1">AVERAGE(OFFSET($AM$3,0,0,'Données projet'!$E$10+1,1))-AVERAGE(OFFSET($H$3,0,0,'Données projet'!$E$10+1,1))</f>
        <v>371.75294069149942</v>
      </c>
      <c r="AO121" s="62">
        <f t="shared" si="90"/>
        <v>233.32640143610547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0.23527174002745194</v>
      </c>
      <c r="AW121" s="23">
        <f>EXP(-LN(2)/2)*AW120+(1-EXP(-LN(2)/2))/(LN(2)/2)*AQ121*AT121*VLOOKUP('Données projet'!$B$10,Paramètres!$A$1:$I$89,3,0)*0.475*44/12</f>
        <v>7.1335286630323037E-13</v>
      </c>
      <c r="AX121" s="23">
        <f t="shared" si="60"/>
        <v>0.23527174002816528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projet'!$B$11,Paramètres!$A$1:$I$89,3,0)*VLOOKUP('Données projet'!$B$11,Paramètres!$A$1:$I$89,5,0)</f>
        <v>-1.9065282685915009E-13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555.15881087162279</v>
      </c>
      <c r="BJ121" s="62">
        <f t="shared" si="92"/>
        <v>668.20427590250733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5.0160899088303239</v>
      </c>
      <c r="BQ121" s="23">
        <f>EXP(-LN(2)/25)*BQ120+(1-EXP(-LN(2)/25))/(LN(2)/25)*Calculateur!BL121*Calculateur!BN121*VLOOKUP('Données projet'!$B$11,Paramètres!$A$1:$I$89,3,0)*0.475*44/12</f>
        <v>1.972689148574549</v>
      </c>
      <c r="BR121" s="23">
        <f>EXP(-LN(2)/2)*BR120+(1-EXP(-LN(2)/2))/(LN(2)/2)*BL121*BO121*VLOOKUP('Données projet'!$B$11,Paramètres!$A$1:$I$89,3,0)*0.475*44/12</f>
        <v>7.8624085184224207E-13</v>
      </c>
      <c r="BS121" s="24">
        <f t="shared" si="63"/>
        <v>6.988779057405659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206.68751999999995</v>
      </c>
      <c r="CA121" s="14">
        <f t="shared" si="93"/>
        <v>51.211057018402521</v>
      </c>
      <c r="CB121" s="22">
        <f t="shared" si="64"/>
        <v>449.17335497371761</v>
      </c>
      <c r="CC121" s="62">
        <f t="shared" si="65"/>
        <v>742.50668830705092</v>
      </c>
      <c r="CD121" s="62">
        <f ca="1">AVERAGE(OFFSET($CC$3,0,0,'Données projet'!$E$12+1,1))-AVERAGE(OFFSET($H$3,0,0,'Données projet'!$E$12+1,1))</f>
        <v>293.996396026019</v>
      </c>
      <c r="CE121" s="62">
        <f t="shared" si="94"/>
        <v>152.23954167722536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-4.9658410716801891E-14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303.33040062722074</v>
      </c>
      <c r="T122" s="62">
        <f t="shared" si="88"/>
        <v>425.30058672361548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2.8690748895842488</v>
      </c>
      <c r="AB122" s="23">
        <f>EXP(-LN(2)/2)*AB121+(1-EXP(-LN(2)/2))/(LN(2)/2)*V122*Y122*VLOOKUP('Données projet'!$B$9,Paramètres!$A$1:$I$89,3,0)*0.475*44/12</f>
        <v>6.546054312907176E-13</v>
      </c>
      <c r="AC122" s="24">
        <f t="shared" si="57"/>
        <v>2.8690748895849034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279.40000000000015</v>
      </c>
      <c r="AJ122" s="14">
        <f>AI122*VLOOKUP('Données projet'!$B$10,Paramètres!$A$1:$I$89,3,0)*VLOOKUP('Données projet'!$B$10,Paramètres!$A$1:$I$89,5,0)</f>
        <v>252.80112000000014</v>
      </c>
      <c r="AK122" s="14">
        <f t="shared" si="89"/>
        <v>61.185369021394266</v>
      </c>
      <c r="AL122" s="22">
        <f t="shared" si="58"/>
        <v>546.85980171226186</v>
      </c>
      <c r="AM122" s="62">
        <f t="shared" si="59"/>
        <v>840.19313504559523</v>
      </c>
      <c r="AN122" s="62">
        <f ca="1">AVERAGE(OFFSET($AM$3,0,0,'Données projet'!$E$10+1,1))-AVERAGE(OFFSET($H$3,0,0,'Données projet'!$E$10+1,1))</f>
        <v>371.75294069149942</v>
      </c>
      <c r="AO122" s="62">
        <f t="shared" si="90"/>
        <v>233.32640143610547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0.22883822192399816</v>
      </c>
      <c r="AW122" s="23">
        <f>EXP(-LN(2)/2)*AW121+(1-EXP(-LN(2)/2))/(LN(2)/2)*AQ122*AT122*VLOOKUP('Données projet'!$B$10,Paramètres!$A$1:$I$89,3,0)*0.475*44/12</f>
        <v>5.0441664914187481E-13</v>
      </c>
      <c r="AX122" s="23">
        <f t="shared" si="60"/>
        <v>0.22883822192450259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projet'!$B$11,Paramètres!$A$1:$I$89,3,0)*VLOOKUP('Données projet'!$B$11,Paramètres!$A$1:$I$89,5,0)</f>
        <v>-1.9065282685915009E-13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555.15881087162279</v>
      </c>
      <c r="BJ122" s="62">
        <f t="shared" si="92"/>
        <v>668.20427590250733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4.9177274452309039</v>
      </c>
      <c r="BQ122" s="23">
        <f>EXP(-LN(2)/25)*BQ121+(1-EXP(-LN(2)/25))/(LN(2)/25)*Calculateur!BL122*Calculateur!BN122*VLOOKUP('Données projet'!$B$11,Paramètres!$A$1:$I$89,3,0)*0.475*44/12</f>
        <v>1.9187458600675642</v>
      </c>
      <c r="BR122" s="23">
        <f>EXP(-LN(2)/2)*BR121+(1-EXP(-LN(2)/2))/(LN(2)/2)*BL122*BO122*VLOOKUP('Données projet'!$B$11,Paramètres!$A$1:$I$89,3,0)*0.475*44/12</f>
        <v>5.5595623798353698E-13</v>
      </c>
      <c r="BS122" s="24">
        <f t="shared" si="63"/>
        <v>6.8364733052990241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208.97135999999995</v>
      </c>
      <c r="CA122" s="14">
        <f t="shared" si="93"/>
        <v>51.710737779589067</v>
      </c>
      <c r="CB122" s="22">
        <f t="shared" si="64"/>
        <v>454.02132029945079</v>
      </c>
      <c r="CC122" s="62">
        <f t="shared" si="65"/>
        <v>747.35465363278411</v>
      </c>
      <c r="CD122" s="62">
        <f ca="1">AVERAGE(OFFSET($CC$3,0,0,'Données projet'!$E$12+1,1))-AVERAGE(OFFSET($H$3,0,0,'Données projet'!$E$12+1,1))</f>
        <v>293.996396026019</v>
      </c>
      <c r="CE122" s="62">
        <f t="shared" si="94"/>
        <v>152.23954167722536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-4.9658410716801891E-14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303.33040062722074</v>
      </c>
      <c r="T123" s="62">
        <f t="shared" si="88"/>
        <v>425.30058672361548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2.7906198858504765</v>
      </c>
      <c r="AB123" s="23">
        <f>EXP(-LN(2)/2)*AB122+(1-EXP(-LN(2)/2))/(LN(2)/2)*V123*Y123*VLOOKUP('Données projet'!$B$9,Paramètres!$A$1:$I$89,3,0)*0.475*44/12</f>
        <v>4.6287593946721101E-13</v>
      </c>
      <c r="AC123" s="24">
        <f t="shared" si="57"/>
        <v>2.7906198858509392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283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283.00000000000017</v>
      </c>
      <c r="AJ123" s="14">
        <f>AI123*VLOOKUP('Données projet'!$B$10,Paramètres!$A$1:$I$89,3,0)*VLOOKUP('Données projet'!$B$10,Paramètres!$A$1:$I$89,5,0)</f>
        <v>256.05840000000018</v>
      </c>
      <c r="AK123" s="14">
        <f t="shared" si="89"/>
        <v>61.881442594256541</v>
      </c>
      <c r="AL123" s="22">
        <f t="shared" si="58"/>
        <v>553.7452258516638</v>
      </c>
      <c r="AM123" s="62">
        <f t="shared" si="59"/>
        <v>847.07855918499718</v>
      </c>
      <c r="AN123" s="62">
        <f ca="1">AVERAGE(OFFSET($AM$3,0,0,'Données projet'!$E$10+1,1))-AVERAGE(OFFSET($H$3,0,0,'Données projet'!$E$10+1,1))</f>
        <v>371.75294069149942</v>
      </c>
      <c r="AO123" s="62">
        <f t="shared" si="90"/>
        <v>233.32640143610547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283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0.22258062871140735</v>
      </c>
      <c r="AW123" s="23">
        <f>EXP(-LN(2)/2)*AW122+(1-EXP(-LN(2)/2))/(LN(2)/2)*AQ123*AT123*VLOOKUP('Données projet'!$B$10,Paramètres!$A$1:$I$89,3,0)*0.475*44/12</f>
        <v>3.5667643315161518E-13</v>
      </c>
      <c r="AX123" s="23">
        <f t="shared" si="60"/>
        <v>0.22258062871176404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projet'!$B$11,Paramètres!$A$1:$I$89,3,0)*VLOOKUP('Données projet'!$B$11,Paramètres!$A$1:$I$89,5,0)</f>
        <v>-1.9065282685915009E-13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555.15881087162279</v>
      </c>
      <c r="BJ123" s="62">
        <f t="shared" si="92"/>
        <v>668.20427590250733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4.8212938095474893</v>
      </c>
      <c r="BQ123" s="23">
        <f>EXP(-LN(2)/25)*BQ122+(1-EXP(-LN(2)/25))/(LN(2)/25)*Calculateur!BL123*Calculateur!BN123*VLOOKUP('Données projet'!$B$11,Paramètres!$A$1:$I$89,3,0)*0.475*44/12</f>
        <v>1.8662776536215573</v>
      </c>
      <c r="BR123" s="23">
        <f>EXP(-LN(2)/2)*BR122+(1-EXP(-LN(2)/2))/(LN(2)/2)*BL123*BO123*VLOOKUP('Données projet'!$B$11,Paramètres!$A$1:$I$89,3,0)*0.475*44/12</f>
        <v>3.9312042592112103E-13</v>
      </c>
      <c r="BS123" s="24">
        <f t="shared" si="63"/>
        <v>6.6875714631694398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211.25519999999995</v>
      </c>
      <c r="CA123" s="14">
        <f t="shared" si="93"/>
        <v>52.209783272091016</v>
      </c>
      <c r="CB123" s="22">
        <f t="shared" si="64"/>
        <v>458.86817919889177</v>
      </c>
      <c r="CC123" s="62">
        <f t="shared" si="65"/>
        <v>752.20151253222502</v>
      </c>
      <c r="CD123" s="62">
        <f ca="1">AVERAGE(OFFSET($CC$3,0,0,'Données projet'!$E$12+1,1))-AVERAGE(OFFSET($H$3,0,0,'Données projet'!$E$12+1,1))</f>
        <v>293.996396026019</v>
      </c>
      <c r="CE123" s="62">
        <f t="shared" si="94"/>
        <v>152.23954167722536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-4.9658410716801891E-14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303.33040062722074</v>
      </c>
      <c r="T124" s="62">
        <f t="shared" si="88"/>
        <v>425.30058672361548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2.7143102383195736</v>
      </c>
      <c r="AB124" s="23">
        <f>EXP(-LN(2)/2)*AB123+(1-EXP(-LN(2)/2))/(LN(2)/2)*V124*Y124*VLOOKUP('Données projet'!$B$9,Paramètres!$A$1:$I$89,3,0)*0.475*44/12</f>
        <v>3.273027156453588E-13</v>
      </c>
      <c r="AC124" s="24">
        <f t="shared" si="57"/>
        <v>2.7143102383199009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1.5429577615577727E-13</v>
      </c>
      <c r="AK124" s="14">
        <f t="shared" si="89"/>
        <v>2.2038482767263348E-12</v>
      </c>
      <c r="AL124" s="22">
        <f t="shared" si="58"/>
        <v>4.107100892103012E-12</v>
      </c>
      <c r="AM124" s="62">
        <f t="shared" si="59"/>
        <v>293.33333333333741</v>
      </c>
      <c r="AN124" s="62">
        <f ca="1">AVERAGE(OFFSET($AM$3,0,0,'Données projet'!$E$10+1,1))-AVERAGE(OFFSET($H$3,0,0,'Données projet'!$E$10+1,1))</f>
        <v>371.75294069149942</v>
      </c>
      <c r="AO124" s="62">
        <f t="shared" si="90"/>
        <v>233.32640143610547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0.21649414971428738</v>
      </c>
      <c r="AW124" s="23">
        <f>EXP(-LN(2)/2)*AW123+(1-EXP(-LN(2)/2))/(LN(2)/2)*AQ124*AT124*VLOOKUP('Données projet'!$B$10,Paramètres!$A$1:$I$89,3,0)*0.475*44/12</f>
        <v>2.522083245709374E-13</v>
      </c>
      <c r="AX124" s="23">
        <f t="shared" si="60"/>
        <v>0.21649414971453959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-1.9065282685915009E-13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555.15881087162279</v>
      </c>
      <c r="BJ124" s="62">
        <f t="shared" si="92"/>
        <v>668.20427590250733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4.7267511786411172</v>
      </c>
      <c r="BQ124" s="23">
        <f>EXP(-LN(2)/25)*BQ123+(1-EXP(-LN(2)/25))/(LN(2)/25)*Calculateur!BL124*Calculateur!BN124*VLOOKUP('Données projet'!$B$11,Paramètres!$A$1:$I$89,3,0)*0.475*44/12</f>
        <v>1.8152441930399994</v>
      </c>
      <c r="BR124" s="23">
        <f>EXP(-LN(2)/2)*BR123+(1-EXP(-LN(2)/2))/(LN(2)/2)*BL124*BO124*VLOOKUP('Données projet'!$B$11,Paramètres!$A$1:$I$89,3,0)*0.475*44/12</f>
        <v>2.7797811899176849E-13</v>
      </c>
      <c r="BS124" s="24">
        <f t="shared" si="63"/>
        <v>6.5419953716813941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-5.4092197387944907E-14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293.996396026019</v>
      </c>
      <c r="CE124" s="62">
        <f t="shared" si="94"/>
        <v>152.23954167722536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-4.9658410716801891E-14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303.33040062722074</v>
      </c>
      <c r="T125" s="62">
        <f t="shared" si="88"/>
        <v>425.30058672361548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2.640087282113353</v>
      </c>
      <c r="AB125" s="23">
        <f>EXP(-LN(2)/2)*AB124+(1-EXP(-LN(2)/2))/(LN(2)/2)*V125*Y125*VLOOKUP('Données projet'!$B$9,Paramètres!$A$1:$I$89,3,0)*0.475*44/12</f>
        <v>2.3143796973360551E-13</v>
      </c>
      <c r="AC125" s="24">
        <f t="shared" si="57"/>
        <v>2.6400872821135843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1.5429577615577727E-13</v>
      </c>
      <c r="AK125" s="14">
        <f t="shared" si="89"/>
        <v>2.2038482767263348E-12</v>
      </c>
      <c r="AL125" s="22">
        <f t="shared" si="58"/>
        <v>4.107100892103012E-12</v>
      </c>
      <c r="AM125" s="62">
        <f t="shared" si="59"/>
        <v>293.33333333333741</v>
      </c>
      <c r="AN125" s="62">
        <f ca="1">AVERAGE(OFFSET($AM$3,0,0,'Données projet'!$E$10+1,1))-AVERAGE(OFFSET($H$3,0,0,'Données projet'!$E$10+1,1))</f>
        <v>371.75294069149942</v>
      </c>
      <c r="AO125" s="62">
        <f t="shared" si="90"/>
        <v>233.32640143610547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0.21057410580541766</v>
      </c>
      <c r="AW125" s="23">
        <f>EXP(-LN(2)/2)*AW124+(1-EXP(-LN(2)/2))/(LN(2)/2)*AQ125*AT125*VLOOKUP('Données projet'!$B$10,Paramètres!$A$1:$I$89,3,0)*0.475*44/12</f>
        <v>1.7833821657580759E-13</v>
      </c>
      <c r="AX125" s="23">
        <f t="shared" si="60"/>
        <v>0.21057410580559599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-1.9065282685915009E-13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555.15881087162279</v>
      </c>
      <c r="BJ125" s="62">
        <f t="shared" si="92"/>
        <v>668.20427590250733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4.6340624710615081</v>
      </c>
      <c r="BQ125" s="23">
        <f>EXP(-LN(2)/25)*BQ124+(1-EXP(-LN(2)/25))/(LN(2)/25)*Calculateur!BL125*Calculateur!BN125*VLOOKUP('Données projet'!$B$11,Paramètres!$A$1:$I$89,3,0)*0.475*44/12</f>
        <v>1.7656062451217773</v>
      </c>
      <c r="BR125" s="23">
        <f>EXP(-LN(2)/2)*BR124+(1-EXP(-LN(2)/2))/(LN(2)/2)*BL125*BO125*VLOOKUP('Données projet'!$B$11,Paramètres!$A$1:$I$89,3,0)*0.475*44/12</f>
        <v>1.9656021296056052E-13</v>
      </c>
      <c r="BS125" s="24">
        <f t="shared" si="63"/>
        <v>6.3996687161834815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-5.4092197387944907E-14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293.996396026019</v>
      </c>
      <c r="CE125" s="62">
        <f t="shared" si="94"/>
        <v>152.23954167722536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-4.9658410716801891E-14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303.33040062722074</v>
      </c>
      <c r="T126" s="62">
        <f t="shared" si="88"/>
        <v>425.30058672361548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2.5678939565478074</v>
      </c>
      <c r="AB126" s="23">
        <f>EXP(-LN(2)/2)*AB125+(1-EXP(-LN(2)/2))/(LN(2)/2)*V126*Y126*VLOOKUP('Données projet'!$B$9,Paramètres!$A$1:$I$89,3,0)*0.475*44/12</f>
        <v>1.636513578226794E-13</v>
      </c>
      <c r="AC126" s="24">
        <f t="shared" si="57"/>
        <v>2.5678939565479713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1.5429577615577727E-13</v>
      </c>
      <c r="AK126" s="14">
        <f t="shared" si="89"/>
        <v>2.2038482767263348E-12</v>
      </c>
      <c r="AL126" s="22">
        <f t="shared" si="58"/>
        <v>4.107100892103012E-12</v>
      </c>
      <c r="AM126" s="62">
        <f t="shared" si="59"/>
        <v>293.33333333333741</v>
      </c>
      <c r="AN126" s="62">
        <f ca="1">AVERAGE(OFFSET($AM$3,0,0,'Données projet'!$E$10+1,1))-AVERAGE(OFFSET($H$3,0,0,'Données projet'!$E$10+1,1))</f>
        <v>371.75294069149942</v>
      </c>
      <c r="AO126" s="62">
        <f t="shared" si="90"/>
        <v>233.32640143610547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0.20481594580855755</v>
      </c>
      <c r="AW126" s="23">
        <f>EXP(-LN(2)/2)*AW125+(1-EXP(-LN(2)/2))/(LN(2)/2)*AQ126*AT126*VLOOKUP('Données projet'!$B$10,Paramètres!$A$1:$I$89,3,0)*0.475*44/12</f>
        <v>1.261041622854687E-13</v>
      </c>
      <c r="AX126" s="23">
        <f t="shared" si="60"/>
        <v>0.20481594580868365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-1.9065282685915009E-13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555.15881087162279</v>
      </c>
      <c r="BJ126" s="62">
        <f t="shared" si="92"/>
        <v>668.20427590250733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4.5431913325030058</v>
      </c>
      <c r="BQ126" s="23">
        <f>EXP(-LN(2)/25)*BQ125+(1-EXP(-LN(2)/25))/(LN(2)/25)*Calculateur!BL126*Calculateur!BN126*VLOOKUP('Données projet'!$B$11,Paramètres!$A$1:$I$89,3,0)*0.475*44/12</f>
        <v>1.7173256494997253</v>
      </c>
      <c r="BR126" s="23">
        <f>EXP(-LN(2)/2)*BR125+(1-EXP(-LN(2)/2))/(LN(2)/2)*BL126*BO126*VLOOKUP('Données projet'!$B$11,Paramètres!$A$1:$I$89,3,0)*0.475*44/12</f>
        <v>1.3898905949588425E-13</v>
      </c>
      <c r="BS126" s="24">
        <f t="shared" si="63"/>
        <v>6.2605169820028692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-5.4092197387944907E-14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293.996396026019</v>
      </c>
      <c r="CE126" s="62">
        <f t="shared" si="94"/>
        <v>152.23954167722536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-4.9658410716801891E-14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303.33040062722074</v>
      </c>
      <c r="T127" s="62">
        <f t="shared" si="88"/>
        <v>425.30058672361548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2.4976747612663335</v>
      </c>
      <c r="AB127" s="23">
        <f>EXP(-LN(2)/2)*AB126+(1-EXP(-LN(2)/2))/(LN(2)/2)*V127*Y127*VLOOKUP('Données projet'!$B$9,Paramètres!$A$1:$I$89,3,0)*0.475*44/12</f>
        <v>1.1571898486680275E-13</v>
      </c>
      <c r="AC127" s="24">
        <f t="shared" si="57"/>
        <v>2.4976747612664494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1.5429577615577727E-13</v>
      </c>
      <c r="AK127" s="14">
        <f t="shared" si="89"/>
        <v>2.2038482767263348E-12</v>
      </c>
      <c r="AL127" s="22">
        <f t="shared" si="58"/>
        <v>4.107100892103012E-12</v>
      </c>
      <c r="AM127" s="62">
        <f t="shared" si="59"/>
        <v>293.33333333333741</v>
      </c>
      <c r="AN127" s="62">
        <f ca="1">AVERAGE(OFFSET($AM$3,0,0,'Données projet'!$E$10+1,1))-AVERAGE(OFFSET($H$3,0,0,'Données projet'!$E$10+1,1))</f>
        <v>371.75294069149942</v>
      </c>
      <c r="AO127" s="62">
        <f t="shared" si="90"/>
        <v>233.32640143610547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0.19921524299962007</v>
      </c>
      <c r="AW127" s="23">
        <f>EXP(-LN(2)/2)*AW126+(1-EXP(-LN(2)/2))/(LN(2)/2)*AQ127*AT127*VLOOKUP('Données projet'!$B$10,Paramètres!$A$1:$I$89,3,0)*0.475*44/12</f>
        <v>8.9169108287903796E-14</v>
      </c>
      <c r="AX127" s="23">
        <f t="shared" si="60"/>
        <v>0.19921524299970925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-1.9065282685915009E-13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555.15881087162279</v>
      </c>
      <c r="BJ127" s="62">
        <f t="shared" si="92"/>
        <v>668.20427590250733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4.4541021215457137</v>
      </c>
      <c r="BQ127" s="23">
        <f>EXP(-LN(2)/25)*BQ126+(1-EXP(-LN(2)/25))/(LN(2)/25)*Calculateur!BL127*Calculateur!BN127*VLOOKUP('Données projet'!$B$11,Paramètres!$A$1:$I$89,3,0)*0.475*44/12</f>
        <v>1.6703652893039245</v>
      </c>
      <c r="BR127" s="23">
        <f>EXP(-LN(2)/2)*BR126+(1-EXP(-LN(2)/2))/(LN(2)/2)*BL127*BO127*VLOOKUP('Données projet'!$B$11,Paramètres!$A$1:$I$89,3,0)*0.475*44/12</f>
        <v>9.8280106480280259E-14</v>
      </c>
      <c r="BS127" s="24">
        <f t="shared" si="63"/>
        <v>6.1244674108497366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-5.4092197387944907E-14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293.996396026019</v>
      </c>
      <c r="CE127" s="62">
        <f t="shared" si="94"/>
        <v>152.23954167722536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-4.9658410716801891E-14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303.33040062722074</v>
      </c>
      <c r="T128" s="62">
        <f t="shared" si="88"/>
        <v>425.30058672361548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2.4293757135724983</v>
      </c>
      <c r="AB128" s="23">
        <f>EXP(-LN(2)/2)*AB127+(1-EXP(-LN(2)/2))/(LN(2)/2)*V128*Y128*VLOOKUP('Données projet'!$B$9,Paramètres!$A$1:$I$89,3,0)*0.475*44/12</f>
        <v>8.1825678911339701E-14</v>
      </c>
      <c r="AC128" s="24">
        <f t="shared" si="57"/>
        <v>2.42937571357258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1.5429577615577727E-13</v>
      </c>
      <c r="AK128" s="14">
        <f t="shared" si="89"/>
        <v>2.2038482767263348E-12</v>
      </c>
      <c r="AL128" s="22">
        <f t="shared" si="58"/>
        <v>4.107100892103012E-12</v>
      </c>
      <c r="AM128" s="62">
        <f t="shared" si="59"/>
        <v>293.33333333333741</v>
      </c>
      <c r="AN128" s="62">
        <f ca="1">AVERAGE(OFFSET($AM$3,0,0,'Données projet'!$E$10+1,1))-AVERAGE(OFFSET($H$3,0,0,'Données projet'!$E$10+1,1))</f>
        <v>371.75294069149942</v>
      </c>
      <c r="AO128" s="62">
        <f t="shared" si="90"/>
        <v>233.32640143610547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0.19376769170352115</v>
      </c>
      <c r="AW128" s="23">
        <f>EXP(-LN(2)/2)*AW127+(1-EXP(-LN(2)/2))/(LN(2)/2)*AQ128*AT128*VLOOKUP('Données projet'!$B$10,Paramètres!$A$1:$I$89,3,0)*0.475*44/12</f>
        <v>6.3052081142734351E-14</v>
      </c>
      <c r="AX128" s="23">
        <f t="shared" si="60"/>
        <v>0.19376769170358421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-1.9065282685915009E-13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555.15881087162279</v>
      </c>
      <c r="BJ128" s="62">
        <f t="shared" si="92"/>
        <v>668.20427590250733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4.3667598956762408</v>
      </c>
      <c r="BQ128" s="23">
        <f>EXP(-LN(2)/25)*BQ127+(1-EXP(-LN(2)/25))/(LN(2)/25)*Calculateur!BL128*Calculateur!BN128*VLOOKUP('Données projet'!$B$11,Paramètres!$A$1:$I$89,3,0)*0.475*44/12</f>
        <v>1.6246890626272157</v>
      </c>
      <c r="BR128" s="23">
        <f>EXP(-LN(2)/2)*BR127+(1-EXP(-LN(2)/2))/(LN(2)/2)*BL128*BO128*VLOOKUP('Données projet'!$B$11,Paramètres!$A$1:$I$89,3,0)*0.475*44/12</f>
        <v>6.9494529747942123E-14</v>
      </c>
      <c r="BS128" s="24">
        <f t="shared" si="63"/>
        <v>5.9914489583035255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-5.4092197387944907E-14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293.996396026019</v>
      </c>
      <c r="CE128" s="62">
        <f t="shared" si="94"/>
        <v>152.23954167722536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-4.9658410716801891E-14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303.33040062722074</v>
      </c>
      <c r="T129" s="62">
        <f t="shared" si="88"/>
        <v>425.30058672361548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2.3629443069295419</v>
      </c>
      <c r="AB129" s="23">
        <f>EXP(-LN(2)/2)*AB128+(1-EXP(-LN(2)/2))/(LN(2)/2)*V129*Y129*VLOOKUP('Données projet'!$B$9,Paramètres!$A$1:$I$89,3,0)*0.475*44/12</f>
        <v>5.7859492433401376E-14</v>
      </c>
      <c r="AC129" s="24">
        <f t="shared" si="57"/>
        <v>2.3629443069295997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1.5429577615577727E-13</v>
      </c>
      <c r="AK129" s="14">
        <f t="shared" si="89"/>
        <v>2.2038482767263348E-12</v>
      </c>
      <c r="AL129" s="22">
        <f t="shared" si="58"/>
        <v>4.107100892103012E-12</v>
      </c>
      <c r="AM129" s="62">
        <f t="shared" si="59"/>
        <v>293.33333333333741</v>
      </c>
      <c r="AN129" s="62">
        <f ca="1">AVERAGE(OFFSET($AM$3,0,0,'Données projet'!$E$10+1,1))-AVERAGE(OFFSET($H$3,0,0,'Données projet'!$E$10+1,1))</f>
        <v>371.75294069149942</v>
      </c>
      <c r="AO129" s="62">
        <f t="shared" si="90"/>
        <v>233.32640143610547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0.18846910398408831</v>
      </c>
      <c r="AW129" s="23">
        <f>EXP(-LN(2)/2)*AW128+(1-EXP(-LN(2)/2))/(LN(2)/2)*AQ129*AT129*VLOOKUP('Données projet'!$B$10,Paramètres!$A$1:$I$89,3,0)*0.475*44/12</f>
        <v>4.4584554143951898E-14</v>
      </c>
      <c r="AX129" s="23">
        <f t="shared" si="60"/>
        <v>0.18846910398413289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-1.9065282685915009E-13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555.15881087162279</v>
      </c>
      <c r="BJ129" s="62">
        <f t="shared" si="92"/>
        <v>668.20427590250733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4.2811303975825714</v>
      </c>
      <c r="BQ129" s="23">
        <f>EXP(-LN(2)/25)*BQ128+(1-EXP(-LN(2)/25))/(LN(2)/25)*Calculateur!BL129*Calculateur!BN129*VLOOKUP('Données projet'!$B$11,Paramètres!$A$1:$I$89,3,0)*0.475*44/12</f>
        <v>1.5802618547709899</v>
      </c>
      <c r="BR129" s="23">
        <f>EXP(-LN(2)/2)*BR128+(1-EXP(-LN(2)/2))/(LN(2)/2)*BL129*BO129*VLOOKUP('Données projet'!$B$11,Paramètres!$A$1:$I$89,3,0)*0.475*44/12</f>
        <v>4.9140053240140129E-14</v>
      </c>
      <c r="BS129" s="24">
        <f t="shared" si="63"/>
        <v>5.8613922523536104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-5.4092197387944907E-14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293.996396026019</v>
      </c>
      <c r="CE129" s="62">
        <f t="shared" si="94"/>
        <v>152.23954167722536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-4.9658410716801891E-14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303.33040062722074</v>
      </c>
      <c r="T130" s="62">
        <f t="shared" si="88"/>
        <v>425.30058672361548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2.2983294705947133</v>
      </c>
      <c r="AB130" s="23">
        <f>EXP(-LN(2)/2)*AB129+(1-EXP(-LN(2)/2))/(LN(2)/2)*V130*Y130*VLOOKUP('Données projet'!$B$9,Paramètres!$A$1:$I$89,3,0)*0.475*44/12</f>
        <v>4.091283945566985E-14</v>
      </c>
      <c r="AC130" s="24">
        <f t="shared" si="57"/>
        <v>2.2983294705947541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1.5429577615577727E-13</v>
      </c>
      <c r="AK130" s="14">
        <f t="shared" si="89"/>
        <v>2.2038482767263348E-12</v>
      </c>
      <c r="AL130" s="22">
        <f t="shared" si="58"/>
        <v>4.107100892103012E-12</v>
      </c>
      <c r="AM130" s="62">
        <f t="shared" si="59"/>
        <v>293.33333333333741</v>
      </c>
      <c r="AN130" s="62">
        <f ca="1">AVERAGE(OFFSET($AM$3,0,0,'Données projet'!$E$10+1,1))-AVERAGE(OFFSET($H$3,0,0,'Données projet'!$E$10+1,1))</f>
        <v>371.75294069149942</v>
      </c>
      <c r="AO130" s="62">
        <f t="shared" si="90"/>
        <v>233.32640143610547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0.18331540642448399</v>
      </c>
      <c r="AW130" s="23">
        <f>EXP(-LN(2)/2)*AW129+(1-EXP(-LN(2)/2))/(LN(2)/2)*AQ130*AT130*VLOOKUP('Données projet'!$B$10,Paramètres!$A$1:$I$89,3,0)*0.475*44/12</f>
        <v>3.1526040571367175E-14</v>
      </c>
      <c r="AX130" s="23">
        <f t="shared" si="60"/>
        <v>0.18331540642451552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-1.9065282685915009E-13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555.15881087162279</v>
      </c>
      <c r="BJ130" s="62">
        <f t="shared" si="92"/>
        <v>668.20427590250733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4.1971800417176821</v>
      </c>
      <c r="BQ130" s="23">
        <f>EXP(-LN(2)/25)*BQ129+(1-EXP(-LN(2)/25))/(LN(2)/25)*Calculateur!BL130*Calculateur!BN130*VLOOKUP('Données projet'!$B$11,Paramètres!$A$1:$I$89,3,0)*0.475*44/12</f>
        <v>1.5370495112499181</v>
      </c>
      <c r="BR130" s="23">
        <f>EXP(-LN(2)/2)*BR129+(1-EXP(-LN(2)/2))/(LN(2)/2)*BL130*BO130*VLOOKUP('Données projet'!$B$11,Paramètres!$A$1:$I$89,3,0)*0.475*44/12</f>
        <v>3.4747264873971062E-14</v>
      </c>
      <c r="BS130" s="24">
        <f t="shared" si="63"/>
        <v>5.7342295529676344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-5.4092197387944907E-14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293.996396026019</v>
      </c>
      <c r="CE130" s="62">
        <f t="shared" si="94"/>
        <v>152.23954167722536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-4.9658410716801891E-14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303.33040062722074</v>
      </c>
      <c r="T131" s="62">
        <f t="shared" si="88"/>
        <v>425.30058672361548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2.2354815303574069</v>
      </c>
      <c r="AB131" s="23">
        <f>EXP(-LN(2)/2)*AB130+(1-EXP(-LN(2)/2))/(LN(2)/2)*V131*Y131*VLOOKUP('Données projet'!$B$9,Paramètres!$A$1:$I$89,3,0)*0.475*44/12</f>
        <v>2.8929746216700688E-14</v>
      </c>
      <c r="AC131" s="24">
        <f t="shared" si="57"/>
        <v>2.2354815303574358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1.5429577615577727E-13</v>
      </c>
      <c r="AK131" s="14">
        <f t="shared" si="89"/>
        <v>2.2038482767263348E-12</v>
      </c>
      <c r="AL131" s="22">
        <f t="shared" si="58"/>
        <v>4.107100892103012E-12</v>
      </c>
      <c r="AM131" s="62">
        <f t="shared" si="59"/>
        <v>293.33333333333741</v>
      </c>
      <c r="AN131" s="62">
        <f ca="1">AVERAGE(OFFSET($AM$3,0,0,'Données projet'!$E$10+1,1))-AVERAGE(OFFSET($H$3,0,0,'Données projet'!$E$10+1,1))</f>
        <v>371.75294069149942</v>
      </c>
      <c r="AO131" s="62">
        <f t="shared" si="90"/>
        <v>233.32640143610547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0.17830263699566823</v>
      </c>
      <c r="AW131" s="23">
        <f>EXP(-LN(2)/2)*AW130+(1-EXP(-LN(2)/2))/(LN(2)/2)*AQ131*AT131*VLOOKUP('Données projet'!$B$10,Paramètres!$A$1:$I$89,3,0)*0.475*44/12</f>
        <v>2.2292277071975949E-14</v>
      </c>
      <c r="AX131" s="23">
        <f t="shared" si="60"/>
        <v>0.17830263699569052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-1.9065282685915009E-13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555.15881087162279</v>
      </c>
      <c r="BJ131" s="62">
        <f t="shared" si="92"/>
        <v>668.20427590250733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4.1148759011266423</v>
      </c>
      <c r="BQ131" s="23">
        <f>EXP(-LN(2)/25)*BQ130+(1-EXP(-LN(2)/25))/(LN(2)/25)*Calculateur!BL131*Calculateur!BN131*VLOOKUP('Données projet'!$B$11,Paramètres!$A$1:$I$89,3,0)*0.475*44/12</f>
        <v>1.4950188115348682</v>
      </c>
      <c r="BR131" s="23">
        <f>EXP(-LN(2)/2)*BR130+(1-EXP(-LN(2)/2))/(LN(2)/2)*BL131*BO131*VLOOKUP('Données projet'!$B$11,Paramètres!$A$1:$I$89,3,0)*0.475*44/12</f>
        <v>2.4570026620070065E-14</v>
      </c>
      <c r="BS131" s="24">
        <f t="shared" si="63"/>
        <v>5.6098947126615357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-5.4092197387944907E-14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293.996396026019</v>
      </c>
      <c r="CE131" s="62">
        <f t="shared" si="94"/>
        <v>152.23954167722536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-4.9658410716801891E-14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303.33040062722074</v>
      </c>
      <c r="T132" s="62">
        <f t="shared" si="88"/>
        <v>425.30058672361548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2.1743521703509194</v>
      </c>
      <c r="AB132" s="23">
        <f>EXP(-LN(2)/2)*AB131+(1-EXP(-LN(2)/2))/(LN(2)/2)*V132*Y132*VLOOKUP('Données projet'!$B$9,Paramètres!$A$1:$I$89,3,0)*0.475*44/12</f>
        <v>2.0456419727834925E-14</v>
      </c>
      <c r="AC132" s="24">
        <f t="shared" ref="AC132:AC153" si="111">SUM(Z132:AB132)</f>
        <v>2.1743521703509399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1.5429577615577727E-13</v>
      </c>
      <c r="AK132" s="14">
        <f t="shared" si="89"/>
        <v>2.2038482767263348E-12</v>
      </c>
      <c r="AL132" s="22">
        <f t="shared" ref="AL132:AL153" si="112">(AJ132+AK132)*0.475*44/12</f>
        <v>4.107100892103012E-12</v>
      </c>
      <c r="AM132" s="62">
        <f t="shared" ref="AM132:AM195" si="113">AL132+(AD132+AE132)*44/12</f>
        <v>293.33333333333741</v>
      </c>
      <c r="AN132" s="62">
        <f ca="1">AVERAGE(OFFSET($AM$3,0,0,'Données projet'!$E$10+1,1))-AVERAGE(OFFSET($H$3,0,0,'Données projet'!$E$10+1,1))</f>
        <v>371.75294069149942</v>
      </c>
      <c r="AO132" s="62">
        <f t="shared" si="90"/>
        <v>233.32640143610547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0.17342694201049352</v>
      </c>
      <c r="AW132" s="23">
        <f>EXP(-LN(2)/2)*AW131+(1-EXP(-LN(2)/2))/(LN(2)/2)*AQ132*AT132*VLOOKUP('Données projet'!$B$10,Paramètres!$A$1:$I$89,3,0)*0.475*44/12</f>
        <v>1.5763020285683588E-14</v>
      </c>
      <c r="AX132" s="23">
        <f t="shared" ref="AX132:AX153" si="114">SUM(AU132:AW132)</f>
        <v>0.17342694201050929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-1.9065282685915009E-13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555.15881087162279</v>
      </c>
      <c r="BJ132" s="62">
        <f t="shared" si="92"/>
        <v>668.20427590250733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4.0341856945320238</v>
      </c>
      <c r="BQ132" s="23">
        <f>EXP(-LN(2)/25)*BQ131+(1-EXP(-LN(2)/25))/(LN(2)/25)*Calculateur!BL132*Calculateur!BN132*VLOOKUP('Données projet'!$B$11,Paramètres!$A$1:$I$89,3,0)*0.475*44/12</f>
        <v>1.4541374435138248</v>
      </c>
      <c r="BR132" s="23">
        <f>EXP(-LN(2)/2)*BR131+(1-EXP(-LN(2)/2))/(LN(2)/2)*BL132*BO132*VLOOKUP('Données projet'!$B$11,Paramètres!$A$1:$I$89,3,0)*0.475*44/12</f>
        <v>1.7373632436985531E-14</v>
      </c>
      <c r="BS132" s="24">
        <f t="shared" ref="BS132:BS153" si="117">SUM(BP132:BR132)</f>
        <v>5.4883231380458666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-5.4092197387944907E-14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293.996396026019</v>
      </c>
      <c r="CE132" s="62">
        <f t="shared" si="94"/>
        <v>152.23954167722536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303.33040062722074</v>
      </c>
      <c r="T133" s="62">
        <f t="shared" ref="T133:T196" si="142">$T$3</f>
        <v>425.30058672361548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2.1148943959084625</v>
      </c>
      <c r="AB133" s="23">
        <f>EXP(-LN(2)/2)*AB132+(1-EXP(-LN(2)/2))/(LN(2)/2)*V133*Y133*VLOOKUP('Données projet'!$B$9,Paramètres!$A$1:$I$89,3,0)*0.475*44/12</f>
        <v>1.4464873108350344E-14</v>
      </c>
      <c r="AC133" s="24">
        <f t="shared" si="111"/>
        <v>2.1148943959084772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1.5429577615577727E-13</v>
      </c>
      <c r="AK133" s="14">
        <f t="shared" ref="AK133:AK153" si="143">EXP(-1.0587+0.8836*LN(AJ133)+0.284)</f>
        <v>2.2038482767263348E-12</v>
      </c>
      <c r="AL133" s="22">
        <f t="shared" si="112"/>
        <v>4.107100892103012E-12</v>
      </c>
      <c r="AM133" s="62">
        <f t="shared" si="113"/>
        <v>293.33333333333741</v>
      </c>
      <c r="AN133" s="62">
        <f ca="1">AVERAGE(OFFSET($AM$3,0,0,'Données projet'!$E$10+1,1))-AVERAGE(OFFSET($H$3,0,0,'Données projet'!$E$10+1,1))</f>
        <v>371.75294069149942</v>
      </c>
      <c r="AO133" s="62">
        <f t="shared" ref="AO133:AO196" si="144">$AO$3</f>
        <v>233.32640143610547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0.16868457316109006</v>
      </c>
      <c r="AW133" s="23">
        <f>EXP(-LN(2)/2)*AW132+(1-EXP(-LN(2)/2))/(LN(2)/2)*AQ133*AT133*VLOOKUP('Données projet'!$B$10,Paramètres!$A$1:$I$89,3,0)*0.475*44/12</f>
        <v>1.1146138535987975E-14</v>
      </c>
      <c r="AX133" s="23">
        <f t="shared" si="114"/>
        <v>0.16868457316110122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-1.9065282685915009E-13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555.15881087162279</v>
      </c>
      <c r="BJ133" s="62">
        <f t="shared" ref="BJ133:BJ196" si="146">$BJ$3</f>
        <v>668.20427590250733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3.9550777736725595</v>
      </c>
      <c r="BQ133" s="23">
        <f>EXP(-LN(2)/25)*BQ132+(1-EXP(-LN(2)/25))/(LN(2)/25)*Calculateur!BL133*Calculateur!BN133*VLOOKUP('Données projet'!$B$11,Paramètres!$A$1:$I$89,3,0)*0.475*44/12</f>
        <v>1.4143739786511746</v>
      </c>
      <c r="BR133" s="23">
        <f>EXP(-LN(2)/2)*BR132+(1-EXP(-LN(2)/2))/(LN(2)/2)*BL133*BO133*VLOOKUP('Données projet'!$B$11,Paramètres!$A$1:$I$89,3,0)*0.475*44/12</f>
        <v>1.2285013310035032E-14</v>
      </c>
      <c r="BS133" s="24">
        <f t="shared" si="117"/>
        <v>5.3694517523237462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-5.4092197387944907E-14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293.996396026019</v>
      </c>
      <c r="CE133" s="62">
        <f t="shared" ref="CE133:CE196" si="148">$CE$3</f>
        <v>152.23954167722536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303.33040062722074</v>
      </c>
      <c r="T134" s="62">
        <f t="shared" si="142"/>
        <v>425.30058672361548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2.0570624974348828</v>
      </c>
      <c r="AB134" s="23">
        <f>EXP(-LN(2)/2)*AB133+(1-EXP(-LN(2)/2))/(LN(2)/2)*V134*Y134*VLOOKUP('Données projet'!$B$9,Paramètres!$A$1:$I$89,3,0)*0.475*44/12</f>
        <v>1.0228209863917463E-14</v>
      </c>
      <c r="AC134" s="24">
        <f t="shared" si="111"/>
        <v>2.057062497434893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1.5429577615577727E-13</v>
      </c>
      <c r="AK134" s="14">
        <f t="shared" si="143"/>
        <v>2.2038482767263348E-12</v>
      </c>
      <c r="AL134" s="22">
        <f t="shared" si="112"/>
        <v>4.107100892103012E-12</v>
      </c>
      <c r="AM134" s="62">
        <f t="shared" si="113"/>
        <v>293.33333333333741</v>
      </c>
      <c r="AN134" s="62">
        <f ca="1">AVERAGE(OFFSET($AM$3,0,0,'Données projet'!$E$10+1,1))-AVERAGE(OFFSET($H$3,0,0,'Données projet'!$E$10+1,1))</f>
        <v>371.75294069149942</v>
      </c>
      <c r="AO134" s="62">
        <f t="shared" si="144"/>
        <v>233.32640143610547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0.16407188463726388</v>
      </c>
      <c r="AW134" s="23">
        <f>EXP(-LN(2)/2)*AW133+(1-EXP(-LN(2)/2))/(LN(2)/2)*AQ134*AT134*VLOOKUP('Données projet'!$B$10,Paramètres!$A$1:$I$89,3,0)*0.475*44/12</f>
        <v>7.8815101428417938E-15</v>
      </c>
      <c r="AX134" s="23">
        <f t="shared" si="114"/>
        <v>0.16407188463727176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-1.9065282685915009E-13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555.15881087162279</v>
      </c>
      <c r="BJ134" s="62">
        <f t="shared" si="146"/>
        <v>668.20427590250733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3.8775211108900818</v>
      </c>
      <c r="BQ134" s="23">
        <f>EXP(-LN(2)/25)*BQ133+(1-EXP(-LN(2)/25))/(LN(2)/25)*Calculateur!BL134*Calculateur!BN134*VLOOKUP('Données projet'!$B$11,Paramètres!$A$1:$I$89,3,0)*0.475*44/12</f>
        <v>1.3756978478262634</v>
      </c>
      <c r="BR134" s="23">
        <f>EXP(-LN(2)/2)*BR133+(1-EXP(-LN(2)/2))/(LN(2)/2)*BL134*BO134*VLOOKUP('Données projet'!$B$11,Paramètres!$A$1:$I$89,3,0)*0.475*44/12</f>
        <v>8.6868162184927654E-15</v>
      </c>
      <c r="BS134" s="24">
        <f t="shared" si="117"/>
        <v>5.2532189587163538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-5.4092197387944907E-14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293.996396026019</v>
      </c>
      <c r="CE134" s="62">
        <f t="shared" si="148"/>
        <v>152.23954167722536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303.33040062722074</v>
      </c>
      <c r="T135" s="62">
        <f t="shared" si="142"/>
        <v>425.30058672361548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2.0008120152663107</v>
      </c>
      <c r="AB135" s="23">
        <f>EXP(-LN(2)/2)*AB134+(1-EXP(-LN(2)/2))/(LN(2)/2)*V135*Y135*VLOOKUP('Données projet'!$B$9,Paramètres!$A$1:$I$89,3,0)*0.475*44/12</f>
        <v>7.232436554175172E-15</v>
      </c>
      <c r="AC135" s="24">
        <f t="shared" si="111"/>
        <v>2.0008120152663178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1.5429577615577727E-13</v>
      </c>
      <c r="AK135" s="14">
        <f t="shared" si="143"/>
        <v>2.2038482767263348E-12</v>
      </c>
      <c r="AL135" s="22">
        <f t="shared" si="112"/>
        <v>4.107100892103012E-12</v>
      </c>
      <c r="AM135" s="62">
        <f t="shared" si="113"/>
        <v>293.33333333333741</v>
      </c>
      <c r="AN135" s="62">
        <f ca="1">AVERAGE(OFFSET($AM$3,0,0,'Données projet'!$E$10+1,1))-AVERAGE(OFFSET($H$3,0,0,'Données projet'!$E$10+1,1))</f>
        <v>371.75294069149942</v>
      </c>
      <c r="AO135" s="62">
        <f t="shared" si="144"/>
        <v>233.32640143610547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0.15958533032369249</v>
      </c>
      <c r="AW135" s="23">
        <f>EXP(-LN(2)/2)*AW134+(1-EXP(-LN(2)/2))/(LN(2)/2)*AQ135*AT135*VLOOKUP('Données projet'!$B$10,Paramètres!$A$1:$I$89,3,0)*0.475*44/12</f>
        <v>5.5730692679939873E-15</v>
      </c>
      <c r="AX135" s="23">
        <f t="shared" si="114"/>
        <v>0.15958533032369807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-1.9065282685915009E-13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555.15881087162279</v>
      </c>
      <c r="BJ135" s="62">
        <f t="shared" si="146"/>
        <v>668.20427590250733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3.801485286959875</v>
      </c>
      <c r="BQ135" s="23">
        <f>EXP(-LN(2)/25)*BQ134+(1-EXP(-LN(2)/25))/(LN(2)/25)*Calculateur!BL135*Calculateur!BN135*VLOOKUP('Données projet'!$B$11,Paramètres!$A$1:$I$89,3,0)*0.475*44/12</f>
        <v>1.3380793178326487</v>
      </c>
      <c r="BR135" s="23">
        <f>EXP(-LN(2)/2)*BR134+(1-EXP(-LN(2)/2))/(LN(2)/2)*BL135*BO135*VLOOKUP('Données projet'!$B$11,Paramètres!$A$1:$I$89,3,0)*0.475*44/12</f>
        <v>6.1425066550175162E-15</v>
      </c>
      <c r="BS135" s="24">
        <f t="shared" si="117"/>
        <v>5.1395646047925299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-5.4092197387944907E-14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293.996396026019</v>
      </c>
      <c r="CE135" s="62">
        <f t="shared" si="148"/>
        <v>152.23954167722536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303.33040062722074</v>
      </c>
      <c r="T136" s="62">
        <f t="shared" si="142"/>
        <v>425.30058672361548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1.9460997054907225</v>
      </c>
      <c r="AB136" s="23">
        <f>EXP(-LN(2)/2)*AB135+(1-EXP(-LN(2)/2))/(LN(2)/2)*V136*Y136*VLOOKUP('Données projet'!$B$9,Paramètres!$A$1:$I$89,3,0)*0.475*44/12</f>
        <v>5.1141049319587313E-15</v>
      </c>
      <c r="AC136" s="24">
        <f t="shared" si="111"/>
        <v>1.9460997054907276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1.5429577615577727E-13</v>
      </c>
      <c r="AK136" s="14">
        <f t="shared" si="143"/>
        <v>2.2038482767263348E-12</v>
      </c>
      <c r="AL136" s="22">
        <f t="shared" si="112"/>
        <v>4.107100892103012E-12</v>
      </c>
      <c r="AM136" s="62">
        <f t="shared" si="113"/>
        <v>293.33333333333741</v>
      </c>
      <c r="AN136" s="62">
        <f ca="1">AVERAGE(OFFSET($AM$3,0,0,'Données projet'!$E$10+1,1))-AVERAGE(OFFSET($H$3,0,0,'Données projet'!$E$10+1,1))</f>
        <v>371.75294069149942</v>
      </c>
      <c r="AO136" s="62">
        <f t="shared" si="144"/>
        <v>233.32640143610547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0.15522146107376333</v>
      </c>
      <c r="AW136" s="23">
        <f>EXP(-LN(2)/2)*AW135+(1-EXP(-LN(2)/2))/(LN(2)/2)*AQ136*AT136*VLOOKUP('Données projet'!$B$10,Paramètres!$A$1:$I$89,3,0)*0.475*44/12</f>
        <v>3.9407550714208969E-15</v>
      </c>
      <c r="AX136" s="23">
        <f t="shared" si="114"/>
        <v>0.15522146107376728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-1.9065282685915009E-13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555.15881087162279</v>
      </c>
      <c r="BJ136" s="62">
        <f t="shared" si="146"/>
        <v>668.20427590250733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3.7269404791596665</v>
      </c>
      <c r="BQ136" s="23">
        <f>EXP(-LN(2)/25)*BQ135+(1-EXP(-LN(2)/25))/(LN(2)/25)*Calculateur!BL136*Calculateur!BN136*VLOOKUP('Données projet'!$B$11,Paramètres!$A$1:$I$89,3,0)*0.475*44/12</f>
        <v>1.3014894685199818</v>
      </c>
      <c r="BR136" s="23">
        <f>EXP(-LN(2)/2)*BR135+(1-EXP(-LN(2)/2))/(LN(2)/2)*BL136*BO136*VLOOKUP('Données projet'!$B$11,Paramètres!$A$1:$I$89,3,0)*0.475*44/12</f>
        <v>4.3434081092463827E-15</v>
      </c>
      <c r="BS136" s="24">
        <f t="shared" si="117"/>
        <v>5.028429947679653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-5.4092197387944907E-14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293.996396026019</v>
      </c>
      <c r="CE136" s="62">
        <f t="shared" si="148"/>
        <v>152.23954167722536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303.33040062722074</v>
      </c>
      <c r="T137" s="62">
        <f t="shared" si="142"/>
        <v>425.30058672361548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1.8928835067031431</v>
      </c>
      <c r="AB137" s="23">
        <f>EXP(-LN(2)/2)*AB136+(1-EXP(-LN(2)/2))/(LN(2)/2)*V137*Y137*VLOOKUP('Données projet'!$B$9,Paramètres!$A$1:$I$89,3,0)*0.475*44/12</f>
        <v>3.616218277087586E-15</v>
      </c>
      <c r="AC137" s="24">
        <f t="shared" si="111"/>
        <v>1.8928835067031466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1.5429577615577727E-13</v>
      </c>
      <c r="AK137" s="14">
        <f t="shared" si="143"/>
        <v>2.2038482767263348E-12</v>
      </c>
      <c r="AL137" s="22">
        <f t="shared" si="112"/>
        <v>4.107100892103012E-12</v>
      </c>
      <c r="AM137" s="62">
        <f t="shared" si="113"/>
        <v>293.33333333333741</v>
      </c>
      <c r="AN137" s="62">
        <f ca="1">AVERAGE(OFFSET($AM$3,0,0,'Données projet'!$E$10+1,1))-AVERAGE(OFFSET($H$3,0,0,'Données projet'!$E$10+1,1))</f>
        <v>371.75294069149942</v>
      </c>
      <c r="AO137" s="62">
        <f t="shared" si="144"/>
        <v>233.32640143610547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0.1509769220579594</v>
      </c>
      <c r="AW137" s="23">
        <f>EXP(-LN(2)/2)*AW136+(1-EXP(-LN(2)/2))/(LN(2)/2)*AQ137*AT137*VLOOKUP('Données projet'!$B$10,Paramètres!$A$1:$I$89,3,0)*0.475*44/12</f>
        <v>2.7865346339969936E-15</v>
      </c>
      <c r="AX137" s="23">
        <f t="shared" si="114"/>
        <v>0.15097692205796218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-1.9065282685915009E-13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555.15881087162279</v>
      </c>
      <c r="BJ137" s="62">
        <f t="shared" si="146"/>
        <v>668.20427590250733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3.6538574495725769</v>
      </c>
      <c r="BQ137" s="23">
        <f>EXP(-LN(2)/25)*BQ136+(1-EXP(-LN(2)/25))/(LN(2)/25)*Calculateur!BL137*Calculateur!BN137*VLOOKUP('Données projet'!$B$11,Paramètres!$A$1:$I$89,3,0)*0.475*44/12</f>
        <v>1.2659001705609463</v>
      </c>
      <c r="BR137" s="23">
        <f>EXP(-LN(2)/2)*BR136+(1-EXP(-LN(2)/2))/(LN(2)/2)*BL137*BO137*VLOOKUP('Données projet'!$B$11,Paramètres!$A$1:$I$89,3,0)*0.475*44/12</f>
        <v>3.0712533275087581E-15</v>
      </c>
      <c r="BS137" s="24">
        <f t="shared" si="117"/>
        <v>4.9197576201335256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-5.4092197387944907E-14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293.996396026019</v>
      </c>
      <c r="CE137" s="62">
        <f t="shared" si="148"/>
        <v>152.23954167722536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303.33040062722074</v>
      </c>
      <c r="T138" s="62">
        <f t="shared" si="142"/>
        <v>425.30058672361548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1.8411225076699282</v>
      </c>
      <c r="AB138" s="23">
        <f>EXP(-LN(2)/2)*AB137+(1-EXP(-LN(2)/2))/(LN(2)/2)*V138*Y138*VLOOKUP('Données projet'!$B$9,Paramètres!$A$1:$I$89,3,0)*0.475*44/12</f>
        <v>2.5570524659793656E-15</v>
      </c>
      <c r="AC138" s="24">
        <f t="shared" si="111"/>
        <v>1.8411225076699309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1.5429577615577727E-13</v>
      </c>
      <c r="AK138" s="14">
        <f t="shared" si="143"/>
        <v>2.2038482767263348E-12</v>
      </c>
      <c r="AL138" s="22">
        <f t="shared" si="112"/>
        <v>4.107100892103012E-12</v>
      </c>
      <c r="AM138" s="62">
        <f t="shared" si="113"/>
        <v>293.33333333333741</v>
      </c>
      <c r="AN138" s="62">
        <f ca="1">AVERAGE(OFFSET($AM$3,0,0,'Données projet'!$E$10+1,1))-AVERAGE(OFFSET($H$3,0,0,'Données projet'!$E$10+1,1))</f>
        <v>371.75294069149942</v>
      </c>
      <c r="AO138" s="62">
        <f t="shared" si="144"/>
        <v>233.32640143610547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0.14684845018475323</v>
      </c>
      <c r="AW138" s="23">
        <f>EXP(-LN(2)/2)*AW137+(1-EXP(-LN(2)/2))/(LN(2)/2)*AQ138*AT138*VLOOKUP('Données projet'!$B$10,Paramètres!$A$1:$I$89,3,0)*0.475*44/12</f>
        <v>1.9703775357104485E-15</v>
      </c>
      <c r="AX138" s="23">
        <f t="shared" si="114"/>
        <v>0.1468484501847552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-1.9065282685915009E-13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555.15881087162279</v>
      </c>
      <c r="BJ138" s="62">
        <f t="shared" si="146"/>
        <v>668.20427590250733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3.5822075336194437</v>
      </c>
      <c r="BQ138" s="23">
        <f>EXP(-LN(2)/25)*BQ137+(1-EXP(-LN(2)/25))/(LN(2)/25)*Calculateur!BL138*Calculateur!BN138*VLOOKUP('Données projet'!$B$11,Paramètres!$A$1:$I$89,3,0)*0.475*44/12</f>
        <v>1.2312840638261604</v>
      </c>
      <c r="BR138" s="23">
        <f>EXP(-LN(2)/2)*BR137+(1-EXP(-LN(2)/2))/(LN(2)/2)*BL138*BO138*VLOOKUP('Données projet'!$B$11,Paramètres!$A$1:$I$89,3,0)*0.475*44/12</f>
        <v>2.1717040546231913E-15</v>
      </c>
      <c r="BS138" s="24">
        <f t="shared" si="117"/>
        <v>4.8134915974456058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-5.4092197387944907E-14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293.996396026019</v>
      </c>
      <c r="CE138" s="62">
        <f t="shared" si="148"/>
        <v>152.23954167722536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303.33040062722074</v>
      </c>
      <c r="T139" s="62">
        <f t="shared" si="142"/>
        <v>425.30058672361548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1.7907769158772693</v>
      </c>
      <c r="AB139" s="23">
        <f>EXP(-LN(2)/2)*AB138+(1-EXP(-LN(2)/2))/(LN(2)/2)*V139*Y139*VLOOKUP('Données projet'!$B$9,Paramètres!$A$1:$I$89,3,0)*0.475*44/12</f>
        <v>1.808109138543793E-15</v>
      </c>
      <c r="AC139" s="24">
        <f t="shared" si="111"/>
        <v>1.7907769158772711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1.5429577615577727E-13</v>
      </c>
      <c r="AK139" s="14">
        <f t="shared" si="143"/>
        <v>2.2038482767263348E-12</v>
      </c>
      <c r="AL139" s="22">
        <f t="shared" si="112"/>
        <v>4.107100892103012E-12</v>
      </c>
      <c r="AM139" s="62">
        <f t="shared" si="113"/>
        <v>293.33333333333741</v>
      </c>
      <c r="AN139" s="62">
        <f ca="1">AVERAGE(OFFSET($AM$3,0,0,'Données projet'!$E$10+1,1))-AVERAGE(OFFSET($H$3,0,0,'Données projet'!$E$10+1,1))</f>
        <v>371.75294069149942</v>
      </c>
      <c r="AO139" s="62">
        <f t="shared" si="144"/>
        <v>233.32640143610547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0.14283287159202679</v>
      </c>
      <c r="AW139" s="23">
        <f>EXP(-LN(2)/2)*AW138+(1-EXP(-LN(2)/2))/(LN(2)/2)*AQ139*AT139*VLOOKUP('Données projet'!$B$10,Paramètres!$A$1:$I$89,3,0)*0.475*44/12</f>
        <v>1.3932673169984968E-15</v>
      </c>
      <c r="AX139" s="23">
        <f t="shared" si="114"/>
        <v>0.14283287159202818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-1.9065282685915009E-13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555.15881087162279</v>
      </c>
      <c r="BJ139" s="62">
        <f t="shared" si="146"/>
        <v>668.20427590250733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3.511962628816018</v>
      </c>
      <c r="BQ139" s="23">
        <f>EXP(-LN(2)/25)*BQ138+(1-EXP(-LN(2)/25))/(LN(2)/25)*Calculateur!BL139*Calculateur!BN139*VLOOKUP('Données projet'!$B$11,Paramètres!$A$1:$I$89,3,0)*0.475*44/12</f>
        <v>1.1976145363504194</v>
      </c>
      <c r="BR139" s="23">
        <f>EXP(-LN(2)/2)*BR138+(1-EXP(-LN(2)/2))/(LN(2)/2)*BL139*BO139*VLOOKUP('Données projet'!$B$11,Paramètres!$A$1:$I$89,3,0)*0.475*44/12</f>
        <v>1.535626663754379E-15</v>
      </c>
      <c r="BS139" s="24">
        <f t="shared" si="117"/>
        <v>4.7095771651664391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-5.4092197387944907E-14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293.996396026019</v>
      </c>
      <c r="CE139" s="62">
        <f t="shared" si="148"/>
        <v>152.23954167722536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303.33040062722074</v>
      </c>
      <c r="T140" s="62">
        <f t="shared" si="142"/>
        <v>425.30058672361548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1.7418080269397402</v>
      </c>
      <c r="AB140" s="23">
        <f>EXP(-LN(2)/2)*AB139+(1-EXP(-LN(2)/2))/(LN(2)/2)*V140*Y140*VLOOKUP('Données projet'!$B$9,Paramètres!$A$1:$I$89,3,0)*0.475*44/12</f>
        <v>1.2785262329896828E-15</v>
      </c>
      <c r="AC140" s="24">
        <f t="shared" si="111"/>
        <v>1.7418080269397416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1.5429577615577727E-13</v>
      </c>
      <c r="AK140" s="14">
        <f t="shared" si="143"/>
        <v>2.2038482767263348E-12</v>
      </c>
      <c r="AL140" s="22">
        <f t="shared" si="112"/>
        <v>4.107100892103012E-12</v>
      </c>
      <c r="AM140" s="62">
        <f t="shared" si="113"/>
        <v>293.33333333333741</v>
      </c>
      <c r="AN140" s="62">
        <f ca="1">AVERAGE(OFFSET($AM$3,0,0,'Données projet'!$E$10+1,1))-AVERAGE(OFFSET($H$3,0,0,'Données projet'!$E$10+1,1))</f>
        <v>371.75294069149942</v>
      </c>
      <c r="AO140" s="62">
        <f t="shared" si="144"/>
        <v>233.32640143610547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0.13892709920708854</v>
      </c>
      <c r="AW140" s="23">
        <f>EXP(-LN(2)/2)*AW139+(1-EXP(-LN(2)/2))/(LN(2)/2)*AQ140*AT140*VLOOKUP('Données projet'!$B$10,Paramètres!$A$1:$I$89,3,0)*0.475*44/12</f>
        <v>9.8518876785522423E-16</v>
      </c>
      <c r="AX140" s="23">
        <f t="shared" si="114"/>
        <v>0.13892709920708951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-1.9065282685915009E-13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555.15881087162279</v>
      </c>
      <c r="BJ140" s="62">
        <f t="shared" si="146"/>
        <v>668.20427590250733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3.4430951837506258</v>
      </c>
      <c r="BQ140" s="23">
        <f>EXP(-LN(2)/25)*BQ139+(1-EXP(-LN(2)/25))/(LN(2)/25)*Calculateur!BL140*Calculateur!BN140*VLOOKUP('Données projet'!$B$11,Paramètres!$A$1:$I$89,3,0)*0.475*44/12</f>
        <v>1.1648657038741059</v>
      </c>
      <c r="BR140" s="23">
        <f>EXP(-LN(2)/2)*BR139+(1-EXP(-LN(2)/2))/(LN(2)/2)*BL140*BO140*VLOOKUP('Données projet'!$B$11,Paramètres!$A$1:$I$89,3,0)*0.475*44/12</f>
        <v>1.0858520273115957E-15</v>
      </c>
      <c r="BS140" s="24">
        <f t="shared" si="117"/>
        <v>4.6079608876247322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-5.4092197387944907E-14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293.996396026019</v>
      </c>
      <c r="CE140" s="62">
        <f t="shared" si="148"/>
        <v>152.23954167722536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303.33040062722074</v>
      </c>
      <c r="T141" s="62">
        <f t="shared" si="142"/>
        <v>425.30058672361548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1.6941781948453698</v>
      </c>
      <c r="AB141" s="23">
        <f>EXP(-LN(2)/2)*AB140+(1-EXP(-LN(2)/2))/(LN(2)/2)*V141*Y141*VLOOKUP('Données projet'!$B$9,Paramètres!$A$1:$I$89,3,0)*0.475*44/12</f>
        <v>9.040545692718965E-16</v>
      </c>
      <c r="AC141" s="24">
        <f t="shared" si="111"/>
        <v>1.6941781948453707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1.5429577615577727E-13</v>
      </c>
      <c r="AK141" s="14">
        <f t="shared" si="143"/>
        <v>2.2038482767263348E-12</v>
      </c>
      <c r="AL141" s="22">
        <f t="shared" si="112"/>
        <v>4.107100892103012E-12</v>
      </c>
      <c r="AM141" s="62">
        <f t="shared" si="113"/>
        <v>293.33333333333741</v>
      </c>
      <c r="AN141" s="62">
        <f ca="1">AVERAGE(OFFSET($AM$3,0,0,'Données projet'!$E$10+1,1))-AVERAGE(OFFSET($H$3,0,0,'Données projet'!$E$10+1,1))</f>
        <v>371.75294069149942</v>
      </c>
      <c r="AO141" s="62">
        <f t="shared" si="144"/>
        <v>233.32640143610547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0.13512813037341206</v>
      </c>
      <c r="AW141" s="23">
        <f>EXP(-LN(2)/2)*AW140+(1-EXP(-LN(2)/2))/(LN(2)/2)*AQ141*AT141*VLOOKUP('Données projet'!$B$10,Paramètres!$A$1:$I$89,3,0)*0.475*44/12</f>
        <v>6.9663365849924841E-16</v>
      </c>
      <c r="AX141" s="23">
        <f t="shared" si="114"/>
        <v>0.13512813037341276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-1.9065282685915009E-13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555.15881087162279</v>
      </c>
      <c r="BJ141" s="62">
        <f t="shared" si="146"/>
        <v>668.20427590250733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3.3755781872779722</v>
      </c>
      <c r="BQ141" s="23">
        <f>EXP(-LN(2)/25)*BQ140+(1-EXP(-LN(2)/25))/(LN(2)/25)*Calculateur!BL141*Calculateur!BN141*VLOOKUP('Données projet'!$B$11,Paramètres!$A$1:$I$89,3,0)*0.475*44/12</f>
        <v>1.1330123899440434</v>
      </c>
      <c r="BR141" s="23">
        <f>EXP(-LN(2)/2)*BR140+(1-EXP(-LN(2)/2))/(LN(2)/2)*BL141*BO141*VLOOKUP('Données projet'!$B$11,Paramètres!$A$1:$I$89,3,0)*0.475*44/12</f>
        <v>7.6781333187718952E-16</v>
      </c>
      <c r="BS141" s="24">
        <f t="shared" si="117"/>
        <v>4.5085905772220167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-5.4092197387944907E-14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293.996396026019</v>
      </c>
      <c r="CE141" s="62">
        <f t="shared" si="148"/>
        <v>152.23954167722536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303.33040062722074</v>
      </c>
      <c r="T142" s="62">
        <f t="shared" si="142"/>
        <v>425.30058672361548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1.6478508030143639</v>
      </c>
      <c r="AB142" s="23">
        <f>EXP(-LN(2)/2)*AB141+(1-EXP(-LN(2)/2))/(LN(2)/2)*V142*Y142*VLOOKUP('Données projet'!$B$9,Paramètres!$A$1:$I$89,3,0)*0.475*44/12</f>
        <v>6.3926311649484141E-16</v>
      </c>
      <c r="AC142" s="24">
        <f t="shared" si="111"/>
        <v>1.6478508030143646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1.5429577615577727E-13</v>
      </c>
      <c r="AK142" s="14">
        <f t="shared" si="143"/>
        <v>2.2038482767263348E-12</v>
      </c>
      <c r="AL142" s="22">
        <f t="shared" si="112"/>
        <v>4.107100892103012E-12</v>
      </c>
      <c r="AM142" s="62">
        <f t="shared" si="113"/>
        <v>293.33333333333741</v>
      </c>
      <c r="AN142" s="62">
        <f ca="1">AVERAGE(OFFSET($AM$3,0,0,'Données projet'!$E$10+1,1))-AVERAGE(OFFSET($H$3,0,0,'Données projet'!$E$10+1,1))</f>
        <v>371.75294069149942</v>
      </c>
      <c r="AO142" s="62">
        <f t="shared" si="144"/>
        <v>233.32640143610547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0.13143304454227159</v>
      </c>
      <c r="AW142" s="23">
        <f>EXP(-LN(2)/2)*AW141+(1-EXP(-LN(2)/2))/(LN(2)/2)*AQ142*AT142*VLOOKUP('Données projet'!$B$10,Paramètres!$A$1:$I$89,3,0)*0.475*44/12</f>
        <v>4.9259438392761211E-16</v>
      </c>
      <c r="AX142" s="23">
        <f t="shared" si="114"/>
        <v>0.13143304454227209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-1.9065282685915009E-13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555.15881087162279</v>
      </c>
      <c r="BJ142" s="62">
        <f t="shared" si="146"/>
        <v>668.20427590250733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3.3093851579248459</v>
      </c>
      <c r="BQ142" s="23">
        <f>EXP(-LN(2)/25)*BQ141+(1-EXP(-LN(2)/25))/(LN(2)/25)*Calculateur!BL142*Calculateur!BN142*VLOOKUP('Données projet'!$B$11,Paramètres!$A$1:$I$89,3,0)*0.475*44/12</f>
        <v>1.1020301065584914</v>
      </c>
      <c r="BR142" s="23">
        <f>EXP(-LN(2)/2)*BR141+(1-EXP(-LN(2)/2))/(LN(2)/2)*BL142*BO142*VLOOKUP('Données projet'!$B$11,Paramètres!$A$1:$I$89,3,0)*0.475*44/12</f>
        <v>5.4292601365579784E-16</v>
      </c>
      <c r="BS142" s="24">
        <f t="shared" si="117"/>
        <v>4.4114152644833382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-5.4092197387944907E-14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293.996396026019</v>
      </c>
      <c r="CE142" s="62">
        <f t="shared" si="148"/>
        <v>152.23954167722536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303.33040062722074</v>
      </c>
      <c r="T143" s="62">
        <f t="shared" si="142"/>
        <v>425.30058672361548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1.6027902361492286</v>
      </c>
      <c r="AB143" s="23">
        <f>EXP(-LN(2)/2)*AB142+(1-EXP(-LN(2)/2))/(LN(2)/2)*V143*Y143*VLOOKUP('Données projet'!$B$9,Paramètres!$A$1:$I$89,3,0)*0.475*44/12</f>
        <v>4.5202728463594825E-16</v>
      </c>
      <c r="AC143" s="24">
        <f t="shared" si="111"/>
        <v>1.602790236149229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1.5429577615577727E-13</v>
      </c>
      <c r="AK143" s="14">
        <f t="shared" si="143"/>
        <v>2.2038482767263348E-12</v>
      </c>
      <c r="AL143" s="22">
        <f t="shared" si="112"/>
        <v>4.107100892103012E-12</v>
      </c>
      <c r="AM143" s="62">
        <f t="shared" si="113"/>
        <v>293.33333333333741</v>
      </c>
      <c r="AN143" s="62">
        <f ca="1">AVERAGE(OFFSET($AM$3,0,0,'Données projet'!$E$10+1,1))-AVERAGE(OFFSET($H$3,0,0,'Données projet'!$E$10+1,1))</f>
        <v>371.75294069149942</v>
      </c>
      <c r="AO143" s="62">
        <f t="shared" si="144"/>
        <v>233.32640143610547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0.12783900102749976</v>
      </c>
      <c r="AW143" s="23">
        <f>EXP(-LN(2)/2)*AW142+(1-EXP(-LN(2)/2))/(LN(2)/2)*AQ143*AT143*VLOOKUP('Données projet'!$B$10,Paramètres!$A$1:$I$89,3,0)*0.475*44/12</f>
        <v>3.483168292496242E-16</v>
      </c>
      <c r="AX143" s="23">
        <f t="shared" si="114"/>
        <v>0.12783900102750012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-1.9065282685915009E-13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555.15881087162279</v>
      </c>
      <c r="BJ143" s="62">
        <f t="shared" si="146"/>
        <v>668.20427590250733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3.244490133503573</v>
      </c>
      <c r="BQ143" s="23">
        <f>EXP(-LN(2)/25)*BQ142+(1-EXP(-LN(2)/25))/(LN(2)/25)*Calculateur!BL143*Calculateur!BN143*VLOOKUP('Données projet'!$B$11,Paramètres!$A$1:$I$89,3,0)*0.475*44/12</f>
        <v>1.071895035341405</v>
      </c>
      <c r="BR143" s="23">
        <f>EXP(-LN(2)/2)*BR142+(1-EXP(-LN(2)/2))/(LN(2)/2)*BL143*BO143*VLOOKUP('Données projet'!$B$11,Paramètres!$A$1:$I$89,3,0)*0.475*44/12</f>
        <v>3.8390666593859476E-16</v>
      </c>
      <c r="BS143" s="24">
        <f t="shared" si="117"/>
        <v>4.3163851688449775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-5.4092197387944907E-14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293.996396026019</v>
      </c>
      <c r="CE143" s="62">
        <f t="shared" si="148"/>
        <v>152.23954167722536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303.33040062722074</v>
      </c>
      <c r="T144" s="62">
        <f t="shared" si="142"/>
        <v>425.30058672361548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1.5589618528546525</v>
      </c>
      <c r="AB144" s="23">
        <f>EXP(-LN(2)/2)*AB143+(1-EXP(-LN(2)/2))/(LN(2)/2)*V144*Y144*VLOOKUP('Données projet'!$B$9,Paramètres!$A$1:$I$89,3,0)*0.475*44/12</f>
        <v>3.1963155824742071E-16</v>
      </c>
      <c r="AC144" s="24">
        <f t="shared" si="111"/>
        <v>1.5589618528546527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1.5429577615577727E-13</v>
      </c>
      <c r="AK144" s="14">
        <f t="shared" si="143"/>
        <v>2.2038482767263348E-12</v>
      </c>
      <c r="AL144" s="22">
        <f t="shared" si="112"/>
        <v>4.107100892103012E-12</v>
      </c>
      <c r="AM144" s="62">
        <f t="shared" si="113"/>
        <v>293.33333333333741</v>
      </c>
      <c r="AN144" s="62">
        <f ca="1">AVERAGE(OFFSET($AM$3,0,0,'Données projet'!$E$10+1,1))-AVERAGE(OFFSET($H$3,0,0,'Données projet'!$E$10+1,1))</f>
        <v>371.75294069149942</v>
      </c>
      <c r="AO144" s="62">
        <f t="shared" si="144"/>
        <v>233.32640143610547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0.12434323682164189</v>
      </c>
      <c r="AW144" s="23">
        <f>EXP(-LN(2)/2)*AW143+(1-EXP(-LN(2)/2))/(LN(2)/2)*AQ144*AT144*VLOOKUP('Données projet'!$B$10,Paramètres!$A$1:$I$89,3,0)*0.475*44/12</f>
        <v>2.4629719196380606E-16</v>
      </c>
      <c r="AX144" s="23">
        <f t="shared" si="114"/>
        <v>0.12434323682164214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-1.9065282685915009E-13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555.15881087162279</v>
      </c>
      <c r="BJ144" s="62">
        <f t="shared" si="146"/>
        <v>668.20427590250733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3.1808676609291449</v>
      </c>
      <c r="BQ144" s="23">
        <f>EXP(-LN(2)/25)*BQ143+(1-EXP(-LN(2)/25))/(LN(2)/25)*Calculateur!BL144*Calculateur!BN144*VLOOKUP('Données projet'!$B$11,Paramètres!$A$1:$I$89,3,0)*0.475*44/12</f>
        <v>1.0425840092314842</v>
      </c>
      <c r="BR144" s="23">
        <f>EXP(-LN(2)/2)*BR143+(1-EXP(-LN(2)/2))/(LN(2)/2)*BL144*BO144*VLOOKUP('Données projet'!$B$11,Paramètres!$A$1:$I$89,3,0)*0.475*44/12</f>
        <v>2.7146300682789892E-16</v>
      </c>
      <c r="BS144" s="24">
        <f t="shared" si="117"/>
        <v>4.2234516701606291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-5.4092197387944907E-14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293.996396026019</v>
      </c>
      <c r="CE144" s="62">
        <f t="shared" si="148"/>
        <v>152.23954167722536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303.33040062722074</v>
      </c>
      <c r="T145" s="62">
        <f t="shared" si="142"/>
        <v>425.30058672361548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1.5163319590061013</v>
      </c>
      <c r="AB145" s="23">
        <f>EXP(-LN(2)/2)*AB144+(1-EXP(-LN(2)/2))/(LN(2)/2)*V145*Y145*VLOOKUP('Données projet'!$B$9,Paramètres!$A$1:$I$89,3,0)*0.475*44/12</f>
        <v>2.2601364231797413E-16</v>
      </c>
      <c r="AC145" s="24">
        <f t="shared" si="111"/>
        <v>1.5163319590061015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1.5429577615577727E-13</v>
      </c>
      <c r="AK145" s="14">
        <f t="shared" si="143"/>
        <v>2.2038482767263348E-12</v>
      </c>
      <c r="AL145" s="22">
        <f t="shared" si="112"/>
        <v>4.107100892103012E-12</v>
      </c>
      <c r="AM145" s="62">
        <f t="shared" si="113"/>
        <v>293.33333333333741</v>
      </c>
      <c r="AN145" s="62">
        <f ca="1">AVERAGE(OFFSET($AM$3,0,0,'Données projet'!$E$10+1,1))-AVERAGE(OFFSET($H$3,0,0,'Données projet'!$E$10+1,1))</f>
        <v>371.75294069149942</v>
      </c>
      <c r="AO145" s="62">
        <f t="shared" si="144"/>
        <v>233.32640143610547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0.12094306447182746</v>
      </c>
      <c r="AW145" s="23">
        <f>EXP(-LN(2)/2)*AW144+(1-EXP(-LN(2)/2))/(LN(2)/2)*AQ145*AT145*VLOOKUP('Données projet'!$B$10,Paramètres!$A$1:$I$89,3,0)*0.475*44/12</f>
        <v>1.741584146248121E-16</v>
      </c>
      <c r="AX145" s="23">
        <f t="shared" si="114"/>
        <v>0.12094306447182764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-1.9065282685915009E-13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555.15881087162279</v>
      </c>
      <c r="BJ145" s="62">
        <f t="shared" si="146"/>
        <v>668.20427590250733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3.118492786236025</v>
      </c>
      <c r="BQ145" s="23">
        <f>EXP(-LN(2)/25)*BQ144+(1-EXP(-LN(2)/25))/(LN(2)/25)*Calculateur!BL145*Calculateur!BN145*VLOOKUP('Données projet'!$B$11,Paramètres!$A$1:$I$89,3,0)*0.475*44/12</f>
        <v>1.0140744946719391</v>
      </c>
      <c r="BR145" s="23">
        <f>EXP(-LN(2)/2)*BR144+(1-EXP(-LN(2)/2))/(LN(2)/2)*BL145*BO145*VLOOKUP('Données projet'!$B$11,Paramètres!$A$1:$I$89,3,0)*0.475*44/12</f>
        <v>1.9195333296929738E-16</v>
      </c>
      <c r="BS145" s="24">
        <f t="shared" si="117"/>
        <v>4.1325672809079643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-5.4092197387944907E-14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293.996396026019</v>
      </c>
      <c r="CE145" s="62">
        <f t="shared" si="148"/>
        <v>152.23954167722536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303.33040062722074</v>
      </c>
      <c r="T146" s="62">
        <f t="shared" si="142"/>
        <v>425.30058672361548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1.4748677818466474</v>
      </c>
      <c r="AB146" s="23">
        <f>EXP(-LN(2)/2)*AB145+(1-EXP(-LN(2)/2))/(LN(2)/2)*V146*Y146*VLOOKUP('Données projet'!$B$9,Paramètres!$A$1:$I$89,3,0)*0.475*44/12</f>
        <v>1.5981577912371035E-16</v>
      </c>
      <c r="AC146" s="24">
        <f t="shared" si="111"/>
        <v>1.4748677818466476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1.5429577615577727E-13</v>
      </c>
      <c r="AK146" s="14">
        <f t="shared" si="143"/>
        <v>2.2038482767263348E-12</v>
      </c>
      <c r="AL146" s="22">
        <f t="shared" si="112"/>
        <v>4.107100892103012E-12</v>
      </c>
      <c r="AM146" s="62">
        <f t="shared" si="113"/>
        <v>293.33333333333741</v>
      </c>
      <c r="AN146" s="62">
        <f ca="1">AVERAGE(OFFSET($AM$3,0,0,'Données projet'!$E$10+1,1))-AVERAGE(OFFSET($H$3,0,0,'Données projet'!$E$10+1,1))</f>
        <v>371.75294069149942</v>
      </c>
      <c r="AO146" s="62">
        <f t="shared" si="144"/>
        <v>233.32640143610547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0.117635870013726</v>
      </c>
      <c r="AW146" s="23">
        <f>EXP(-LN(2)/2)*AW145+(1-EXP(-LN(2)/2))/(LN(2)/2)*AQ146*AT146*VLOOKUP('Données projet'!$B$10,Paramètres!$A$1:$I$89,3,0)*0.475*44/12</f>
        <v>1.2314859598190303E-16</v>
      </c>
      <c r="AX146" s="23">
        <f t="shared" si="114"/>
        <v>0.11763587001372612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-1.9065282685915009E-13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555.15881087162279</v>
      </c>
      <c r="BJ146" s="62">
        <f t="shared" si="146"/>
        <v>668.20427590250733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3.0573410447907201</v>
      </c>
      <c r="BQ146" s="23">
        <f>EXP(-LN(2)/25)*BQ145+(1-EXP(-LN(2)/25))/(LN(2)/25)*Calculateur!BL146*Calculateur!BN146*VLOOKUP('Données projet'!$B$11,Paramètres!$A$1:$I$89,3,0)*0.475*44/12</f>
        <v>0.98634457428727496</v>
      </c>
      <c r="BR146" s="23">
        <f>EXP(-LN(2)/2)*BR145+(1-EXP(-LN(2)/2))/(LN(2)/2)*BL146*BO146*VLOOKUP('Données projet'!$B$11,Paramètres!$A$1:$I$89,3,0)*0.475*44/12</f>
        <v>1.3573150341394946E-16</v>
      </c>
      <c r="BS146" s="24">
        <f t="shared" si="117"/>
        <v>4.0436856190779951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-5.4092197387944907E-14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293.996396026019</v>
      </c>
      <c r="CE146" s="62">
        <f t="shared" si="148"/>
        <v>152.23954167722536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303.33040062722074</v>
      </c>
      <c r="T147" s="62">
        <f t="shared" si="142"/>
        <v>425.30058672361548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1.4345374447921251</v>
      </c>
      <c r="AB147" s="23">
        <f>EXP(-LN(2)/2)*AB146+(1-EXP(-LN(2)/2))/(LN(2)/2)*V147*Y147*VLOOKUP('Données projet'!$B$9,Paramètres!$A$1:$I$89,3,0)*0.475*44/12</f>
        <v>1.1300682115898706E-16</v>
      </c>
      <c r="AC147" s="24">
        <f t="shared" si="111"/>
        <v>1.4345374447921253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1.5429577615577727E-13</v>
      </c>
      <c r="AK147" s="14">
        <f t="shared" si="143"/>
        <v>2.2038482767263348E-12</v>
      </c>
      <c r="AL147" s="22">
        <f t="shared" si="112"/>
        <v>4.107100892103012E-12</v>
      </c>
      <c r="AM147" s="62">
        <f t="shared" si="113"/>
        <v>293.33333333333741</v>
      </c>
      <c r="AN147" s="62">
        <f ca="1">AVERAGE(OFFSET($AM$3,0,0,'Données projet'!$E$10+1,1))-AVERAGE(OFFSET($H$3,0,0,'Données projet'!$E$10+1,1))</f>
        <v>371.75294069149942</v>
      </c>
      <c r="AO147" s="62">
        <f t="shared" si="144"/>
        <v>233.32640143610547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0.11441911096199911</v>
      </c>
      <c r="AW147" s="23">
        <f>EXP(-LN(2)/2)*AW146+(1-EXP(-LN(2)/2))/(LN(2)/2)*AQ147*AT147*VLOOKUP('Données projet'!$B$10,Paramètres!$A$1:$I$89,3,0)*0.475*44/12</f>
        <v>8.7079207312406051E-17</v>
      </c>
      <c r="AX147" s="23">
        <f t="shared" si="114"/>
        <v>0.11441911096199919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-1.9065282685915009E-13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555.15881087162279</v>
      </c>
      <c r="BJ147" s="62">
        <f t="shared" si="146"/>
        <v>668.20427590250733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2.9973884516962781</v>
      </c>
      <c r="BQ147" s="23">
        <f>EXP(-LN(2)/25)*BQ146+(1-EXP(-LN(2)/25))/(LN(2)/25)*Calculateur!BL147*Calculateur!BN147*VLOOKUP('Données projet'!$B$11,Paramètres!$A$1:$I$89,3,0)*0.475*44/12</f>
        <v>0.95937293003378254</v>
      </c>
      <c r="BR147" s="23">
        <f>EXP(-LN(2)/2)*BR146+(1-EXP(-LN(2)/2))/(LN(2)/2)*BL147*BO147*VLOOKUP('Données projet'!$B$11,Paramètres!$A$1:$I$89,3,0)*0.475*44/12</f>
        <v>9.597666648464869E-17</v>
      </c>
      <c r="BS147" s="24">
        <f t="shared" si="117"/>
        <v>3.9567613817300606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-5.4092197387944907E-14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293.996396026019</v>
      </c>
      <c r="CE147" s="62">
        <f t="shared" si="148"/>
        <v>152.23954167722536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303.33040062722074</v>
      </c>
      <c r="T148" s="62">
        <f t="shared" si="142"/>
        <v>425.30058672361548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1.3953099429252389</v>
      </c>
      <c r="AB148" s="23">
        <f>EXP(-LN(2)/2)*AB147+(1-EXP(-LN(2)/2))/(LN(2)/2)*V148*Y148*VLOOKUP('Données projet'!$B$9,Paramètres!$A$1:$I$89,3,0)*0.475*44/12</f>
        <v>7.9907889561855176E-17</v>
      </c>
      <c r="AC148" s="24">
        <f t="shared" si="111"/>
        <v>1.3953099429252389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1.5429577615577727E-13</v>
      </c>
      <c r="AK148" s="14">
        <f t="shared" si="143"/>
        <v>2.2038482767263348E-12</v>
      </c>
      <c r="AL148" s="22">
        <f t="shared" si="112"/>
        <v>4.107100892103012E-12</v>
      </c>
      <c r="AM148" s="62">
        <f t="shared" si="113"/>
        <v>293.33333333333741</v>
      </c>
      <c r="AN148" s="62">
        <f ca="1">AVERAGE(OFFSET($AM$3,0,0,'Données projet'!$E$10+1,1))-AVERAGE(OFFSET($H$3,0,0,'Données projet'!$E$10+1,1))</f>
        <v>371.75294069149942</v>
      </c>
      <c r="AO148" s="62">
        <f t="shared" si="144"/>
        <v>233.32640143610547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0.1112903143557037</v>
      </c>
      <c r="AW148" s="23">
        <f>EXP(-LN(2)/2)*AW147+(1-EXP(-LN(2)/2))/(LN(2)/2)*AQ148*AT148*VLOOKUP('Données projet'!$B$10,Paramètres!$A$1:$I$89,3,0)*0.475*44/12</f>
        <v>6.1574297990951514E-17</v>
      </c>
      <c r="AX148" s="23">
        <f t="shared" si="114"/>
        <v>0.11129031435570376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-1.9065282685915009E-13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555.15881087162279</v>
      </c>
      <c r="BJ148" s="62">
        <f t="shared" si="146"/>
        <v>668.20427590250733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2.9386114923849473</v>
      </c>
      <c r="BQ148" s="23">
        <f>EXP(-LN(2)/25)*BQ147+(1-EXP(-LN(2)/25))/(LN(2)/25)*Calculateur!BL148*Calculateur!BN148*VLOOKUP('Données projet'!$B$11,Paramètres!$A$1:$I$89,3,0)*0.475*44/12</f>
        <v>0.93313882681077909</v>
      </c>
      <c r="BR148" s="23">
        <f>EXP(-LN(2)/2)*BR147+(1-EXP(-LN(2)/2))/(LN(2)/2)*BL148*BO148*VLOOKUP('Données projet'!$B$11,Paramètres!$A$1:$I$89,3,0)*0.475*44/12</f>
        <v>6.786575170697473E-17</v>
      </c>
      <c r="BS148" s="24">
        <f t="shared" si="117"/>
        <v>3.8717503191957263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-5.4092197387944907E-14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293.996396026019</v>
      </c>
      <c r="CE148" s="62">
        <f t="shared" si="148"/>
        <v>152.23954167722536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303.33040062722074</v>
      </c>
      <c r="T149" s="62">
        <f t="shared" si="142"/>
        <v>425.30058672361548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1.3571551191597875</v>
      </c>
      <c r="AB149" s="23">
        <f>EXP(-LN(2)/2)*AB148+(1-EXP(-LN(2)/2))/(LN(2)/2)*V149*Y149*VLOOKUP('Données projet'!$B$9,Paramètres!$A$1:$I$89,3,0)*0.475*44/12</f>
        <v>5.6503410579493532E-17</v>
      </c>
      <c r="AC149" s="24">
        <f t="shared" si="111"/>
        <v>1.3571551191597875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1.5429577615577727E-13</v>
      </c>
      <c r="AK149" s="14">
        <f t="shared" si="143"/>
        <v>2.2038482767263348E-12</v>
      </c>
      <c r="AL149" s="22">
        <f t="shared" si="112"/>
        <v>4.107100892103012E-12</v>
      </c>
      <c r="AM149" s="62">
        <f t="shared" si="113"/>
        <v>293.33333333333741</v>
      </c>
      <c r="AN149" s="62">
        <f ca="1">AVERAGE(OFFSET($AM$3,0,0,'Données projet'!$E$10+1,1))-AVERAGE(OFFSET($H$3,0,0,'Données projet'!$E$10+1,1))</f>
        <v>371.75294069149942</v>
      </c>
      <c r="AO149" s="62">
        <f t="shared" si="144"/>
        <v>233.32640143610547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0.10824707485714372</v>
      </c>
      <c r="AW149" s="23">
        <f>EXP(-LN(2)/2)*AW148+(1-EXP(-LN(2)/2))/(LN(2)/2)*AQ149*AT149*VLOOKUP('Données projet'!$B$10,Paramètres!$A$1:$I$89,3,0)*0.475*44/12</f>
        <v>4.3539603656203025E-17</v>
      </c>
      <c r="AX149" s="23">
        <f t="shared" si="114"/>
        <v>0.10824707485714376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-1.9065282685915009E-13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555.15881087162279</v>
      </c>
      <c r="BJ149" s="62">
        <f t="shared" si="146"/>
        <v>668.20427590250733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2.8809871133953067</v>
      </c>
      <c r="BQ149" s="23">
        <f>EXP(-LN(2)/25)*BQ148+(1-EXP(-LN(2)/25))/(LN(2)/25)*Calculateur!BL149*Calculateur!BN149*VLOOKUP('Données projet'!$B$11,Paramètres!$A$1:$I$89,3,0)*0.475*44/12</f>
        <v>0.90762209652000014</v>
      </c>
      <c r="BR149" s="23">
        <f>EXP(-LN(2)/2)*BR148+(1-EXP(-LN(2)/2))/(LN(2)/2)*BL149*BO149*VLOOKUP('Données projet'!$B$11,Paramètres!$A$1:$I$89,3,0)*0.475*44/12</f>
        <v>4.7988333242324345E-17</v>
      </c>
      <c r="BS149" s="24">
        <f t="shared" si="117"/>
        <v>3.7886092099153066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-5.4092197387944907E-14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293.996396026019</v>
      </c>
      <c r="CE149" s="62">
        <f t="shared" si="148"/>
        <v>152.23954167722536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303.33040062722074</v>
      </c>
      <c r="T150" s="62">
        <f t="shared" si="142"/>
        <v>425.30058672361548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1.3200436410566772</v>
      </c>
      <c r="AB150" s="23">
        <f>EXP(-LN(2)/2)*AB149+(1-EXP(-LN(2)/2))/(LN(2)/2)*V150*Y150*VLOOKUP('Données projet'!$B$9,Paramètres!$A$1:$I$89,3,0)*0.475*44/12</f>
        <v>3.9953944780927588E-17</v>
      </c>
      <c r="AC150" s="24">
        <f t="shared" si="111"/>
        <v>1.3200436410566772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1.5429577615577727E-13</v>
      </c>
      <c r="AK150" s="14">
        <f t="shared" si="143"/>
        <v>2.2038482767263348E-12</v>
      </c>
      <c r="AL150" s="22">
        <f t="shared" si="112"/>
        <v>4.107100892103012E-12</v>
      </c>
      <c r="AM150" s="62">
        <f t="shared" si="113"/>
        <v>293.33333333333741</v>
      </c>
      <c r="AN150" s="62">
        <f ca="1">AVERAGE(OFFSET($AM$3,0,0,'Données projet'!$E$10+1,1))-AVERAGE(OFFSET($H$3,0,0,'Données projet'!$E$10+1,1))</f>
        <v>371.75294069149942</v>
      </c>
      <c r="AO150" s="62">
        <f t="shared" si="144"/>
        <v>233.32640143610547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0.10528705290270886</v>
      </c>
      <c r="AW150" s="23">
        <f>EXP(-LN(2)/2)*AW149+(1-EXP(-LN(2)/2))/(LN(2)/2)*AQ150*AT150*VLOOKUP('Données projet'!$B$10,Paramètres!$A$1:$I$89,3,0)*0.475*44/12</f>
        <v>3.0787148995475757E-17</v>
      </c>
      <c r="AX150" s="23">
        <f t="shared" si="114"/>
        <v>0.10528705290270889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-1.9065282685915009E-13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555.15881087162279</v>
      </c>
      <c r="BJ150" s="62">
        <f t="shared" si="146"/>
        <v>668.20427590250733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2.824492713330252</v>
      </c>
      <c r="BQ150" s="23">
        <f>EXP(-LN(2)/25)*BQ149+(1-EXP(-LN(2)/25))/(LN(2)/25)*Calculateur!BL150*Calculateur!BN150*VLOOKUP('Données projet'!$B$11,Paramètres!$A$1:$I$89,3,0)*0.475*44/12</f>
        <v>0.88280312256088911</v>
      </c>
      <c r="BR150" s="23">
        <f>EXP(-LN(2)/2)*BR149+(1-EXP(-LN(2)/2))/(LN(2)/2)*BL150*BO150*VLOOKUP('Données projet'!$B$11,Paramètres!$A$1:$I$89,3,0)*0.475*44/12</f>
        <v>3.3932875853487365E-17</v>
      </c>
      <c r="BS150" s="24">
        <f t="shared" si="117"/>
        <v>3.707295835891141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-5.4092197387944907E-14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293.996396026019</v>
      </c>
      <c r="CE150" s="62">
        <f t="shared" si="148"/>
        <v>152.23954167722536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303.33040062722074</v>
      </c>
      <c r="T151" s="62">
        <f t="shared" si="142"/>
        <v>425.30058672361548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1.2839469782739041</v>
      </c>
      <c r="AB151" s="23">
        <f>EXP(-LN(2)/2)*AB150+(1-EXP(-LN(2)/2))/(LN(2)/2)*V151*Y151*VLOOKUP('Données projet'!$B$9,Paramètres!$A$1:$I$89,3,0)*0.475*44/12</f>
        <v>2.8251705289746766E-17</v>
      </c>
      <c r="AC151" s="24">
        <f t="shared" si="111"/>
        <v>1.2839469782739041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1.5429577615577727E-13</v>
      </c>
      <c r="AK151" s="14">
        <f t="shared" si="143"/>
        <v>2.2038482767263348E-12</v>
      </c>
      <c r="AL151" s="22">
        <f t="shared" si="112"/>
        <v>4.107100892103012E-12</v>
      </c>
      <c r="AM151" s="62">
        <f t="shared" si="113"/>
        <v>293.33333333333741</v>
      </c>
      <c r="AN151" s="62">
        <f ca="1">AVERAGE(OFFSET($AM$3,0,0,'Données projet'!$E$10+1,1))-AVERAGE(OFFSET($H$3,0,0,'Données projet'!$E$10+1,1))</f>
        <v>371.75294069149942</v>
      </c>
      <c r="AO151" s="62">
        <f t="shared" si="144"/>
        <v>233.32640143610547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0.1024079729042788</v>
      </c>
      <c r="AW151" s="23">
        <f>EXP(-LN(2)/2)*AW150+(1-EXP(-LN(2)/2))/(LN(2)/2)*AQ151*AT151*VLOOKUP('Données projet'!$B$10,Paramètres!$A$1:$I$89,3,0)*0.475*44/12</f>
        <v>2.1769801828101513E-17</v>
      </c>
      <c r="AX151" s="23">
        <f t="shared" si="114"/>
        <v>0.10240797290427883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-1.9065282685915009E-13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555.15881087162279</v>
      </c>
      <c r="BJ151" s="62">
        <f t="shared" si="146"/>
        <v>668.20427590250733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2.7691061339922913</v>
      </c>
      <c r="BQ151" s="23">
        <f>EXP(-LN(2)/25)*BQ150+(1-EXP(-LN(2)/25))/(LN(2)/25)*Calculateur!BL151*Calculateur!BN151*VLOOKUP('Données projet'!$B$11,Paramètres!$A$1:$I$89,3,0)*0.475*44/12</f>
        <v>0.85866282474986311</v>
      </c>
      <c r="BR151" s="23">
        <f>EXP(-LN(2)/2)*BR150+(1-EXP(-LN(2)/2))/(LN(2)/2)*BL151*BO151*VLOOKUP('Données projet'!$B$11,Paramètres!$A$1:$I$89,3,0)*0.475*44/12</f>
        <v>2.3994166621162173E-17</v>
      </c>
      <c r="BS151" s="24">
        <f t="shared" si="117"/>
        <v>3.6277689587421547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-5.4092197387944907E-14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293.996396026019</v>
      </c>
      <c r="CE151" s="62">
        <f t="shared" si="148"/>
        <v>152.23954167722536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303.33040062722074</v>
      </c>
      <c r="T152" s="62">
        <f t="shared" si="142"/>
        <v>425.30058672361548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1.2488373806331672</v>
      </c>
      <c r="AB152" s="23">
        <f>EXP(-LN(2)/2)*AB151+(1-EXP(-LN(2)/2))/(LN(2)/2)*V152*Y152*VLOOKUP('Données projet'!$B$9,Paramètres!$A$1:$I$89,3,0)*0.475*44/12</f>
        <v>1.9976972390463794E-17</v>
      </c>
      <c r="AC152" s="24">
        <f t="shared" si="111"/>
        <v>1.2488373806331672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1.5429577615577727E-13</v>
      </c>
      <c r="AK152" s="14">
        <f t="shared" si="143"/>
        <v>2.2038482767263348E-12</v>
      </c>
      <c r="AL152" s="22">
        <f t="shared" si="112"/>
        <v>4.107100892103012E-12</v>
      </c>
      <c r="AM152" s="62">
        <f t="shared" si="113"/>
        <v>293.33333333333741</v>
      </c>
      <c r="AN152" s="62">
        <f ca="1">AVERAGE(OFFSET($AM$3,0,0,'Données projet'!$E$10+1,1))-AVERAGE(OFFSET($H$3,0,0,'Données projet'!$E$10+1,1))</f>
        <v>371.75294069149942</v>
      </c>
      <c r="AO152" s="62">
        <f t="shared" si="144"/>
        <v>233.32640143610547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9.9607621499810062E-2</v>
      </c>
      <c r="AW152" s="23">
        <f>EXP(-LN(2)/2)*AW151+(1-EXP(-LN(2)/2))/(LN(2)/2)*AQ152*AT152*VLOOKUP('Données projet'!$B$10,Paramètres!$A$1:$I$89,3,0)*0.475*44/12</f>
        <v>1.5393574497737879E-17</v>
      </c>
      <c r="AX152" s="23">
        <f t="shared" si="114"/>
        <v>9.9607621499810076E-2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-1.9065282685915009E-13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555.15881087162279</v>
      </c>
      <c r="BJ152" s="62">
        <f t="shared" si="146"/>
        <v>668.20427590250733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2.7148056516926706</v>
      </c>
      <c r="BQ152" s="23">
        <f>EXP(-LN(2)/25)*BQ151+(1-EXP(-LN(2)/25))/(LN(2)/25)*Calculateur!BL152*Calculateur!BN152*VLOOKUP('Données projet'!$B$11,Paramètres!$A$1:$I$89,3,0)*0.475*44/12</f>
        <v>0.83518264465196268</v>
      </c>
      <c r="BR152" s="23">
        <f>EXP(-LN(2)/2)*BR151+(1-EXP(-LN(2)/2))/(LN(2)/2)*BL152*BO152*VLOOKUP('Données projet'!$B$11,Paramètres!$A$1:$I$89,3,0)*0.475*44/12</f>
        <v>1.6966437926743682E-17</v>
      </c>
      <c r="BS152" s="24">
        <f t="shared" si="117"/>
        <v>3.5499882963446332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-5.4092197387944907E-14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293.996396026019</v>
      </c>
      <c r="CE152" s="62">
        <f t="shared" si="148"/>
        <v>152.23954167722536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303.33040062722074</v>
      </c>
      <c r="T153" s="62">
        <f t="shared" si="142"/>
        <v>425.30058672361548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1.2146878567862496</v>
      </c>
      <c r="AB153" s="23">
        <f>EXP(-LN(2)/2)*AB152+(1-EXP(-LN(2)/2))/(LN(2)/2)*V153*Y153*VLOOKUP('Données projet'!$B$9,Paramètres!$A$1:$I$89,3,0)*0.475*44/12</f>
        <v>1.4125852644873383E-17</v>
      </c>
      <c r="AC153" s="24">
        <f t="shared" si="111"/>
        <v>1.2146878567862496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1.5429577615577727E-13</v>
      </c>
      <c r="AK153" s="14">
        <f t="shared" si="143"/>
        <v>2.2038482767263348E-12</v>
      </c>
      <c r="AL153" s="22">
        <f t="shared" si="112"/>
        <v>4.107100892103012E-12</v>
      </c>
      <c r="AM153" s="62">
        <f t="shared" si="113"/>
        <v>293.33333333333741</v>
      </c>
      <c r="AN153" s="62">
        <f ca="1">AVERAGE(OFFSET($AM$3,0,0,'Données projet'!$E$10+1,1))-AVERAGE(OFFSET($H$3,0,0,'Données projet'!$E$10+1,1))</f>
        <v>371.75294069149942</v>
      </c>
      <c r="AO153" s="62">
        <f t="shared" si="144"/>
        <v>233.32640143610547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9.6883845851760603E-2</v>
      </c>
      <c r="AW153" s="23">
        <f>EXP(-LN(2)/2)*AW152+(1-EXP(-LN(2)/2))/(LN(2)/2)*AQ153*AT153*VLOOKUP('Données projet'!$B$10,Paramètres!$A$1:$I$89,3,0)*0.475*44/12</f>
        <v>1.0884900914050756E-17</v>
      </c>
      <c r="AX153" s="23">
        <f t="shared" si="114"/>
        <v>9.6883845851760617E-2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-1.9065282685915009E-13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555.15881087162279</v>
      </c>
      <c r="BJ153" s="62">
        <f t="shared" si="146"/>
        <v>668.20427590250733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2.6615699687309213</v>
      </c>
      <c r="BQ153" s="23">
        <f>EXP(-LN(2)/25)*BQ152+(1-EXP(-LN(2)/25))/(LN(2)/25)*Calculateur!BL153*Calculateur!BN153*VLOOKUP('Données projet'!$B$11,Paramètres!$A$1:$I$89,3,0)*0.475*44/12</f>
        <v>0.81234453131360829</v>
      </c>
      <c r="BR153" s="23">
        <f>EXP(-LN(2)/2)*BR152+(1-EXP(-LN(2)/2))/(LN(2)/2)*BL153*BO153*VLOOKUP('Données projet'!$B$11,Paramètres!$A$1:$I$89,3,0)*0.475*44/12</f>
        <v>1.1997083310581086E-17</v>
      </c>
      <c r="BS153" s="24">
        <f t="shared" si="117"/>
        <v>3.4739145000445295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-5.4092197387944907E-14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293.996396026019</v>
      </c>
      <c r="CE153" s="62">
        <f t="shared" si="148"/>
        <v>152.23954167722536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303.33040062722074</v>
      </c>
      <c r="T154" s="62">
        <f t="shared" si="142"/>
        <v>425.30058672361548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1.1814721534647714</v>
      </c>
      <c r="AB154" s="23">
        <f>EXP(-LN(2)/2)*AB153+(1-EXP(-LN(2)/2))/(LN(2)/2)*V154*Y154*VLOOKUP('Données projet'!$B$9,Paramètres!$A$1:$I$89,3,0)*0.475*44/12</f>
        <v>9.988486195231897E-18</v>
      </c>
      <c r="AC154" s="24">
        <f t="shared" ref="AC154:AC203" si="163">SUM(Z154:AB154)</f>
        <v>1.1814721534647714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1.5429577615577727E-13</v>
      </c>
      <c r="AK154" s="14">
        <f t="shared" ref="AK154:AK203" si="164">EXP(-1.0587+0.8836*LN(AJ154)+0.284)</f>
        <v>2.2038482767263348E-12</v>
      </c>
      <c r="AL154" s="22">
        <f t="shared" ref="AL154:AL203" si="165">(AJ154+AK154)*0.475*44/12</f>
        <v>4.107100892103012E-12</v>
      </c>
      <c r="AM154" s="62">
        <f t="shared" si="113"/>
        <v>293.33333333333741</v>
      </c>
      <c r="AN154" s="62">
        <f ca="1">AVERAGE(OFFSET($AM$3,0,0,'Données projet'!$E$10+1,1))-AVERAGE(OFFSET($H$3,0,0,'Données projet'!$E$10+1,1))</f>
        <v>371.75294069149942</v>
      </c>
      <c r="AO154" s="62">
        <f t="shared" si="144"/>
        <v>233.32640143610547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9.4234551992044183E-2</v>
      </c>
      <c r="AW154" s="23">
        <f>EXP(-LN(2)/2)*AW153+(1-EXP(-LN(2)/2))/(LN(2)/2)*AQ154*AT154*VLOOKUP('Données projet'!$B$10,Paramètres!$A$1:$I$89,3,0)*0.475*44/12</f>
        <v>7.6967872488689393E-18</v>
      </c>
      <c r="AX154" s="23">
        <f t="shared" ref="AX154:AX203" si="166">SUM(AU154:AW154)</f>
        <v>9.4234551992044197E-2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-1.9065282685915009E-13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555.15881087162279</v>
      </c>
      <c r="BJ154" s="62">
        <f t="shared" si="146"/>
        <v>668.20427590250733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2.6093782050414918</v>
      </c>
      <c r="BQ154" s="23">
        <f>EXP(-LN(2)/25)*BQ153+(1-EXP(-LN(2)/25))/(LN(2)/25)*Calculateur!BL154*Calculateur!BN154*VLOOKUP('Données projet'!$B$11,Paramètres!$A$1:$I$89,3,0)*0.475*44/12</f>
        <v>0.7901309273854954</v>
      </c>
      <c r="BR154" s="23">
        <f>EXP(-LN(2)/2)*BR153+(1-EXP(-LN(2)/2))/(LN(2)/2)*BL154*BO154*VLOOKUP('Données projet'!$B$11,Paramètres!$A$1:$I$89,3,0)*0.475*44/12</f>
        <v>8.4832189633718412E-18</v>
      </c>
      <c r="BS154" s="24">
        <f t="shared" ref="BS154:BS203" si="169">SUM(BP154:BR154)</f>
        <v>3.3995091324269873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-5.4092197387944907E-14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293.996396026019</v>
      </c>
      <c r="CE154" s="62">
        <f t="shared" si="148"/>
        <v>152.23954167722536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303.33040062722074</v>
      </c>
      <c r="T155" s="62">
        <f t="shared" si="142"/>
        <v>425.30058672361548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1.1491647352973571</v>
      </c>
      <c r="AB155" s="23">
        <f>EXP(-LN(2)/2)*AB154+(1-EXP(-LN(2)/2))/(LN(2)/2)*V155*Y155*VLOOKUP('Données projet'!$B$9,Paramètres!$A$1:$I$89,3,0)*0.475*44/12</f>
        <v>7.0629263224366914E-18</v>
      </c>
      <c r="AC155" s="24">
        <f t="shared" si="163"/>
        <v>1.1491647352973571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1.5429577615577727E-13</v>
      </c>
      <c r="AK155" s="14">
        <f t="shared" si="164"/>
        <v>2.2038482767263348E-12</v>
      </c>
      <c r="AL155" s="22">
        <f t="shared" si="165"/>
        <v>4.107100892103012E-12</v>
      </c>
      <c r="AM155" s="62">
        <f t="shared" si="113"/>
        <v>293.33333333333741</v>
      </c>
      <c r="AN155" s="62">
        <f ca="1">AVERAGE(OFFSET($AM$3,0,0,'Données projet'!$E$10+1,1))-AVERAGE(OFFSET($H$3,0,0,'Données projet'!$E$10+1,1))</f>
        <v>371.75294069149942</v>
      </c>
      <c r="AO155" s="62">
        <f t="shared" si="144"/>
        <v>233.32640143610547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9.1657703212242023E-2</v>
      </c>
      <c r="AW155" s="23">
        <f>EXP(-LN(2)/2)*AW154+(1-EXP(-LN(2)/2))/(LN(2)/2)*AQ155*AT155*VLOOKUP('Données projet'!$B$10,Paramètres!$A$1:$I$89,3,0)*0.475*44/12</f>
        <v>5.4424504570253782E-18</v>
      </c>
      <c r="AX155" s="23">
        <f t="shared" si="166"/>
        <v>9.1657703212242023E-2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-1.9065282685915009E-13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555.15881087162279</v>
      </c>
      <c r="BJ155" s="62">
        <f t="shared" si="146"/>
        <v>668.20427590250733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2.5582098900041794</v>
      </c>
      <c r="BQ155" s="23">
        <f>EXP(-LN(2)/25)*BQ154+(1-EXP(-LN(2)/25))/(LN(2)/25)*Calculateur!BL155*Calculateur!BN155*VLOOKUP('Données projet'!$B$11,Paramètres!$A$1:$I$89,3,0)*0.475*44/12</f>
        <v>0.76852475562495948</v>
      </c>
      <c r="BR155" s="23">
        <f>EXP(-LN(2)/2)*BR154+(1-EXP(-LN(2)/2))/(LN(2)/2)*BL155*BO155*VLOOKUP('Données projet'!$B$11,Paramètres!$A$1:$I$89,3,0)*0.475*44/12</f>
        <v>5.9985416552905431E-18</v>
      </c>
      <c r="BS155" s="24">
        <f t="shared" si="169"/>
        <v>3.3267346456291387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-5.4092197387944907E-14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293.996396026019</v>
      </c>
      <c r="CE155" s="62">
        <f t="shared" si="148"/>
        <v>152.23954167722536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303.33040062722074</v>
      </c>
      <c r="T156" s="62">
        <f t="shared" si="142"/>
        <v>425.30058672361548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1.1177407651787039</v>
      </c>
      <c r="AB156" s="23">
        <f>EXP(-LN(2)/2)*AB155+(1-EXP(-LN(2)/2))/(LN(2)/2)*V156*Y156*VLOOKUP('Données projet'!$B$9,Paramètres!$A$1:$I$89,3,0)*0.475*44/12</f>
        <v>4.9942430976159485E-18</v>
      </c>
      <c r="AC156" s="24">
        <f t="shared" si="163"/>
        <v>1.1177407651787039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1.5429577615577727E-13</v>
      </c>
      <c r="AK156" s="14">
        <f t="shared" si="164"/>
        <v>2.2038482767263348E-12</v>
      </c>
      <c r="AL156" s="22">
        <f t="shared" si="165"/>
        <v>4.107100892103012E-12</v>
      </c>
      <c r="AM156" s="62">
        <f t="shared" si="113"/>
        <v>293.33333333333741</v>
      </c>
      <c r="AN156" s="62">
        <f ca="1">AVERAGE(OFFSET($AM$3,0,0,'Données projet'!$E$10+1,1))-AVERAGE(OFFSET($H$3,0,0,'Données projet'!$E$10+1,1))</f>
        <v>371.75294069149942</v>
      </c>
      <c r="AO156" s="62">
        <f t="shared" si="144"/>
        <v>233.32640143610547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8.9151318497834142E-2</v>
      </c>
      <c r="AW156" s="23">
        <f>EXP(-LN(2)/2)*AW155+(1-EXP(-LN(2)/2))/(LN(2)/2)*AQ156*AT156*VLOOKUP('Données projet'!$B$10,Paramètres!$A$1:$I$89,3,0)*0.475*44/12</f>
        <v>3.8483936244344696E-18</v>
      </c>
      <c r="AX156" s="23">
        <f t="shared" si="166"/>
        <v>8.9151318497834142E-2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-1.9065282685915009E-13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555.15881087162279</v>
      </c>
      <c r="BJ156" s="62">
        <f t="shared" si="146"/>
        <v>668.20427590250733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2.5080449544151584</v>
      </c>
      <c r="BQ156" s="23">
        <f>EXP(-LN(2)/25)*BQ155+(1-EXP(-LN(2)/25))/(LN(2)/25)*Calculateur!BL156*Calculateur!BN156*VLOOKUP('Données projet'!$B$11,Paramètres!$A$1:$I$89,3,0)*0.475*44/12</f>
        <v>0.74750940576743452</v>
      </c>
      <c r="BR156" s="23">
        <f>EXP(-LN(2)/2)*BR155+(1-EXP(-LN(2)/2))/(LN(2)/2)*BL156*BO156*VLOOKUP('Données projet'!$B$11,Paramètres!$A$1:$I$89,3,0)*0.475*44/12</f>
        <v>4.2416094816859206E-18</v>
      </c>
      <c r="BS156" s="24">
        <f t="shared" si="169"/>
        <v>3.2555543601825931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-5.4092197387944907E-14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293.996396026019</v>
      </c>
      <c r="CE156" s="62">
        <f t="shared" si="148"/>
        <v>152.23954167722536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303.33040062722074</v>
      </c>
      <c r="T157" s="62">
        <f t="shared" si="142"/>
        <v>425.30058672361548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1.0871760851754599</v>
      </c>
      <c r="AB157" s="23">
        <f>EXP(-LN(2)/2)*AB156+(1-EXP(-LN(2)/2))/(LN(2)/2)*V157*Y157*VLOOKUP('Données projet'!$B$9,Paramètres!$A$1:$I$89,3,0)*0.475*44/12</f>
        <v>3.5314631612183457E-18</v>
      </c>
      <c r="AC157" s="24">
        <f t="shared" si="163"/>
        <v>1.0871760851754599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1.5429577615577727E-13</v>
      </c>
      <c r="AK157" s="14">
        <f t="shared" si="164"/>
        <v>2.2038482767263348E-12</v>
      </c>
      <c r="AL157" s="22">
        <f t="shared" si="165"/>
        <v>4.107100892103012E-12</v>
      </c>
      <c r="AM157" s="62">
        <f t="shared" si="113"/>
        <v>293.33333333333741</v>
      </c>
      <c r="AN157" s="62">
        <f ca="1">AVERAGE(OFFSET($AM$3,0,0,'Données projet'!$E$10+1,1))-AVERAGE(OFFSET($H$3,0,0,'Données projet'!$E$10+1,1))</f>
        <v>371.75294069149942</v>
      </c>
      <c r="AO157" s="62">
        <f t="shared" si="144"/>
        <v>233.32640143610547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8.6713471005246789E-2</v>
      </c>
      <c r="AW157" s="23">
        <f>EXP(-LN(2)/2)*AW156+(1-EXP(-LN(2)/2))/(LN(2)/2)*AQ157*AT157*VLOOKUP('Données projet'!$B$10,Paramètres!$A$1:$I$89,3,0)*0.475*44/12</f>
        <v>2.7212252285126891E-18</v>
      </c>
      <c r="AX157" s="23">
        <f t="shared" si="166"/>
        <v>8.6713471005246789E-2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-1.9065282685915009E-13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555.15881087162279</v>
      </c>
      <c r="BJ157" s="62">
        <f t="shared" si="146"/>
        <v>668.20427590250733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2.4588637226154484</v>
      </c>
      <c r="BQ157" s="23">
        <f>EXP(-LN(2)/25)*BQ156+(1-EXP(-LN(2)/25))/(LN(2)/25)*Calculateur!BL157*Calculateur!BN157*VLOOKUP('Données projet'!$B$11,Paramètres!$A$1:$I$89,3,0)*0.475*44/12</f>
        <v>0.72706872175691284</v>
      </c>
      <c r="BR157" s="23">
        <f>EXP(-LN(2)/2)*BR156+(1-EXP(-LN(2)/2))/(LN(2)/2)*BL157*BO157*VLOOKUP('Données projet'!$B$11,Paramètres!$A$1:$I$89,3,0)*0.475*44/12</f>
        <v>2.9992708276452716E-18</v>
      </c>
      <c r="BS157" s="24">
        <f t="shared" si="169"/>
        <v>3.1859324443723613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-5.4092197387944907E-14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293.996396026019</v>
      </c>
      <c r="CE157" s="62">
        <f t="shared" si="148"/>
        <v>152.23954167722536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303.33040062722074</v>
      </c>
      <c r="T158" s="62">
        <f t="shared" si="142"/>
        <v>425.30058672361548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1.0574471979542315</v>
      </c>
      <c r="AB158" s="23">
        <f>EXP(-LN(2)/2)*AB157+(1-EXP(-LN(2)/2))/(LN(2)/2)*V158*Y158*VLOOKUP('Données projet'!$B$9,Paramètres!$A$1:$I$89,3,0)*0.475*44/12</f>
        <v>2.4971215488079743E-18</v>
      </c>
      <c r="AC158" s="24">
        <f t="shared" si="163"/>
        <v>1.0574471979542315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1.5429577615577727E-13</v>
      </c>
      <c r="AK158" s="14">
        <f t="shared" si="164"/>
        <v>2.2038482767263348E-12</v>
      </c>
      <c r="AL158" s="22">
        <f t="shared" si="165"/>
        <v>4.107100892103012E-12</v>
      </c>
      <c r="AM158" s="62">
        <f t="shared" si="113"/>
        <v>293.33333333333741</v>
      </c>
      <c r="AN158" s="62">
        <f ca="1">AVERAGE(OFFSET($AM$3,0,0,'Données projet'!$E$10+1,1))-AVERAGE(OFFSET($H$3,0,0,'Données projet'!$E$10+1,1))</f>
        <v>371.75294069149942</v>
      </c>
      <c r="AO158" s="62">
        <f t="shared" si="144"/>
        <v>233.32640143610547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8.4342286580545059E-2</v>
      </c>
      <c r="AW158" s="23">
        <f>EXP(-LN(2)/2)*AW157+(1-EXP(-LN(2)/2))/(LN(2)/2)*AQ158*AT158*VLOOKUP('Données projet'!$B$10,Paramètres!$A$1:$I$89,3,0)*0.475*44/12</f>
        <v>1.9241968122172348E-18</v>
      </c>
      <c r="AX158" s="23">
        <f t="shared" si="166"/>
        <v>8.4342286580545059E-2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-1.9065282685915009E-13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555.15881087162279</v>
      </c>
      <c r="BJ158" s="62">
        <f t="shared" si="146"/>
        <v>668.20427590250733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2.4106469047737416</v>
      </c>
      <c r="BQ158" s="23">
        <f>EXP(-LN(2)/25)*BQ157+(1-EXP(-LN(2)/25))/(LN(2)/25)*Calculateur!BL158*Calculateur!BN158*VLOOKUP('Données projet'!$B$11,Paramètres!$A$1:$I$89,3,0)*0.475*44/12</f>
        <v>0.70718698932558777</v>
      </c>
      <c r="BR158" s="23">
        <f>EXP(-LN(2)/2)*BR157+(1-EXP(-LN(2)/2))/(LN(2)/2)*BL158*BO158*VLOOKUP('Données projet'!$B$11,Paramètres!$A$1:$I$89,3,0)*0.475*44/12</f>
        <v>2.1208047408429603E-18</v>
      </c>
      <c r="BS158" s="24">
        <f t="shared" si="169"/>
        <v>3.1178338940993293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-5.4092197387944907E-14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293.996396026019</v>
      </c>
      <c r="CE158" s="62">
        <f t="shared" si="148"/>
        <v>152.23954167722536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303.33040062722074</v>
      </c>
      <c r="T159" s="62">
        <f t="shared" si="142"/>
        <v>425.30058672361548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1.0285312487174416</v>
      </c>
      <c r="AB159" s="23">
        <f>EXP(-LN(2)/2)*AB158+(1-EXP(-LN(2)/2))/(LN(2)/2)*V159*Y159*VLOOKUP('Données projet'!$B$9,Paramètres!$A$1:$I$89,3,0)*0.475*44/12</f>
        <v>1.7657315806091729E-18</v>
      </c>
      <c r="AC159" s="24">
        <f t="shared" si="163"/>
        <v>1.0285312487174416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1.5429577615577727E-13</v>
      </c>
      <c r="AK159" s="14">
        <f t="shared" si="164"/>
        <v>2.2038482767263348E-12</v>
      </c>
      <c r="AL159" s="22">
        <f t="shared" si="165"/>
        <v>4.107100892103012E-12</v>
      </c>
      <c r="AM159" s="62">
        <f t="shared" si="113"/>
        <v>293.33333333333741</v>
      </c>
      <c r="AN159" s="62">
        <f ca="1">AVERAGE(OFFSET($AM$3,0,0,'Données projet'!$E$10+1,1))-AVERAGE(OFFSET($H$3,0,0,'Données projet'!$E$10+1,1))</f>
        <v>371.75294069149942</v>
      </c>
      <c r="AO159" s="62">
        <f t="shared" si="144"/>
        <v>233.32640143610547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8.2035942318631969E-2</v>
      </c>
      <c r="AW159" s="23">
        <f>EXP(-LN(2)/2)*AW158+(1-EXP(-LN(2)/2))/(LN(2)/2)*AQ159*AT159*VLOOKUP('Données projet'!$B$10,Paramètres!$A$1:$I$89,3,0)*0.475*44/12</f>
        <v>1.3606126142563445E-18</v>
      </c>
      <c r="AX159" s="23">
        <f t="shared" si="166"/>
        <v>8.2035942318631969E-2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-1.9065282685915009E-13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555.15881087162279</v>
      </c>
      <c r="BJ159" s="62">
        <f t="shared" si="146"/>
        <v>668.20427590250733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2.3633755893205555</v>
      </c>
      <c r="BQ159" s="23">
        <f>EXP(-LN(2)/25)*BQ158+(1-EXP(-LN(2)/25))/(LN(2)/25)*Calculateur!BL159*Calculateur!BN159*VLOOKUP('Données projet'!$B$11,Paramètres!$A$1:$I$89,3,0)*0.475*44/12</f>
        <v>0.68784892391313213</v>
      </c>
      <c r="BR159" s="23">
        <f>EXP(-LN(2)/2)*BR158+(1-EXP(-LN(2)/2))/(LN(2)/2)*BL159*BO159*VLOOKUP('Données projet'!$B$11,Paramètres!$A$1:$I$89,3,0)*0.475*44/12</f>
        <v>1.4996354138226358E-18</v>
      </c>
      <c r="BS159" s="24">
        <f t="shared" si="169"/>
        <v>3.0512245132336875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-5.4092197387944907E-14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293.996396026019</v>
      </c>
      <c r="CE159" s="62">
        <f t="shared" si="148"/>
        <v>152.23954167722536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303.33040062722074</v>
      </c>
      <c r="T160" s="62">
        <f t="shared" si="142"/>
        <v>425.30058672361548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1.0004060076331556</v>
      </c>
      <c r="AB160" s="23">
        <f>EXP(-LN(2)/2)*AB159+(1-EXP(-LN(2)/2))/(LN(2)/2)*V160*Y160*VLOOKUP('Données projet'!$B$9,Paramètres!$A$1:$I$89,3,0)*0.475*44/12</f>
        <v>1.2485607744039871E-18</v>
      </c>
      <c r="AC160" s="24">
        <f t="shared" si="163"/>
        <v>1.0004060076331556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1.5429577615577727E-13</v>
      </c>
      <c r="AK160" s="14">
        <f t="shared" si="164"/>
        <v>2.2038482767263348E-12</v>
      </c>
      <c r="AL160" s="22">
        <f t="shared" si="165"/>
        <v>4.107100892103012E-12</v>
      </c>
      <c r="AM160" s="62">
        <f t="shared" si="113"/>
        <v>293.33333333333741</v>
      </c>
      <c r="AN160" s="62">
        <f ca="1">AVERAGE(OFFSET($AM$3,0,0,'Données projet'!$E$10+1,1))-AVERAGE(OFFSET($H$3,0,0,'Données projet'!$E$10+1,1))</f>
        <v>371.75294069149942</v>
      </c>
      <c r="AO160" s="62">
        <f t="shared" si="144"/>
        <v>233.32640143610547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7.9792665161846271E-2</v>
      </c>
      <c r="AW160" s="23">
        <f>EXP(-LN(2)/2)*AW159+(1-EXP(-LN(2)/2))/(LN(2)/2)*AQ160*AT160*VLOOKUP('Données projet'!$B$10,Paramètres!$A$1:$I$89,3,0)*0.475*44/12</f>
        <v>9.6209840610861741E-19</v>
      </c>
      <c r="AX160" s="23">
        <f t="shared" si="166"/>
        <v>7.9792665161846271E-2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-1.9065282685915009E-13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555.15881087162279</v>
      </c>
      <c r="BJ160" s="62">
        <f t="shared" si="146"/>
        <v>668.20427590250733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2.317031235530751</v>
      </c>
      <c r="BQ160" s="23">
        <f>EXP(-LN(2)/25)*BQ159+(1-EXP(-LN(2)/25))/(LN(2)/25)*Calculateur!BL160*Calculateur!BN160*VLOOKUP('Données projet'!$B$11,Paramètres!$A$1:$I$89,3,0)*0.475*44/12</f>
        <v>0.66903965891632478</v>
      </c>
      <c r="BR160" s="23">
        <f>EXP(-LN(2)/2)*BR159+(1-EXP(-LN(2)/2))/(LN(2)/2)*BL160*BO160*VLOOKUP('Données projet'!$B$11,Paramètres!$A$1:$I$89,3,0)*0.475*44/12</f>
        <v>1.0604023704214801E-18</v>
      </c>
      <c r="BS160" s="24">
        <f t="shared" si="169"/>
        <v>2.9860708944470757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-5.4092197387944907E-14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293.996396026019</v>
      </c>
      <c r="CE160" s="62">
        <f t="shared" si="148"/>
        <v>152.23954167722536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303.33040062722074</v>
      </c>
      <c r="T161" s="62">
        <f t="shared" si="142"/>
        <v>425.30058672361548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0.97304985274536149</v>
      </c>
      <c r="AB161" s="23">
        <f>EXP(-LN(2)/2)*AB160+(1-EXP(-LN(2)/2))/(LN(2)/2)*V161*Y161*VLOOKUP('Données projet'!$B$9,Paramètres!$A$1:$I$89,3,0)*0.475*44/12</f>
        <v>8.8286579030458643E-19</v>
      </c>
      <c r="AC161" s="24">
        <f t="shared" si="163"/>
        <v>0.97304985274536149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1.5429577615577727E-13</v>
      </c>
      <c r="AK161" s="14">
        <f t="shared" si="164"/>
        <v>2.2038482767263348E-12</v>
      </c>
      <c r="AL161" s="22">
        <f t="shared" si="165"/>
        <v>4.107100892103012E-12</v>
      </c>
      <c r="AM161" s="62">
        <f t="shared" si="113"/>
        <v>293.33333333333741</v>
      </c>
      <c r="AN161" s="62">
        <f ca="1">AVERAGE(OFFSET($AM$3,0,0,'Données projet'!$E$10+1,1))-AVERAGE(OFFSET($H$3,0,0,'Données projet'!$E$10+1,1))</f>
        <v>371.75294069149942</v>
      </c>
      <c r="AO161" s="62">
        <f t="shared" si="144"/>
        <v>233.32640143610547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7.7610730536881695E-2</v>
      </c>
      <c r="AW161" s="23">
        <f>EXP(-LN(2)/2)*AW160+(1-EXP(-LN(2)/2))/(LN(2)/2)*AQ161*AT161*VLOOKUP('Données projet'!$B$10,Paramètres!$A$1:$I$89,3,0)*0.475*44/12</f>
        <v>6.8030630712817227E-19</v>
      </c>
      <c r="AX161" s="23">
        <f t="shared" si="166"/>
        <v>7.7610730536881695E-2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-1.9065282685915009E-13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555.15881087162279</v>
      </c>
      <c r="BJ161" s="62">
        <f t="shared" si="146"/>
        <v>668.20427590250733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2.2715956662514998</v>
      </c>
      <c r="BQ161" s="23">
        <f>EXP(-LN(2)/25)*BQ160+(1-EXP(-LN(2)/25))/(LN(2)/25)*Calculateur!BL161*Calculateur!BN161*VLOOKUP('Données projet'!$B$11,Paramètres!$A$1:$I$89,3,0)*0.475*44/12</f>
        <v>0.65074473425999135</v>
      </c>
      <c r="BR161" s="23">
        <f>EXP(-LN(2)/2)*BR160+(1-EXP(-LN(2)/2))/(LN(2)/2)*BL161*BO161*VLOOKUP('Données projet'!$B$11,Paramètres!$A$1:$I$89,3,0)*0.475*44/12</f>
        <v>7.4981770691131789E-19</v>
      </c>
      <c r="BS161" s="24">
        <f t="shared" si="169"/>
        <v>2.9223404005114912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-5.4092197387944907E-14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293.996396026019</v>
      </c>
      <c r="CE161" s="62">
        <f t="shared" si="148"/>
        <v>152.23954167722536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303.33040062722074</v>
      </c>
      <c r="T162" s="62">
        <f t="shared" si="142"/>
        <v>425.30058672361548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0.94644175335157177</v>
      </c>
      <c r="AB162" s="23">
        <f>EXP(-LN(2)/2)*AB161+(1-EXP(-LN(2)/2))/(LN(2)/2)*V162*Y162*VLOOKUP('Données projet'!$B$9,Paramètres!$A$1:$I$89,3,0)*0.475*44/12</f>
        <v>6.2428038720199357E-19</v>
      </c>
      <c r="AC162" s="24">
        <f t="shared" si="163"/>
        <v>0.94644175335157177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1.5429577615577727E-13</v>
      </c>
      <c r="AK162" s="14">
        <f t="shared" si="164"/>
        <v>2.2038482767263348E-12</v>
      </c>
      <c r="AL162" s="22">
        <f t="shared" si="165"/>
        <v>4.107100892103012E-12</v>
      </c>
      <c r="AM162" s="62">
        <f t="shared" si="113"/>
        <v>293.33333333333741</v>
      </c>
      <c r="AN162" s="62">
        <f ca="1">AVERAGE(OFFSET($AM$3,0,0,'Données projet'!$E$10+1,1))-AVERAGE(OFFSET($H$3,0,0,'Données projet'!$E$10+1,1))</f>
        <v>371.75294069149942</v>
      </c>
      <c r="AO162" s="62">
        <f t="shared" si="144"/>
        <v>233.32640143610547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7.5488461028979728E-2</v>
      </c>
      <c r="AW162" s="23">
        <f>EXP(-LN(2)/2)*AW161+(1-EXP(-LN(2)/2))/(LN(2)/2)*AQ162*AT162*VLOOKUP('Données projet'!$B$10,Paramètres!$A$1:$I$89,3,0)*0.475*44/12</f>
        <v>4.8104920305430871E-19</v>
      </c>
      <c r="AX162" s="23">
        <f t="shared" si="166"/>
        <v>7.5488461028979728E-2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-1.9065282685915009E-13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555.15881087162279</v>
      </c>
      <c r="BJ162" s="62">
        <f t="shared" si="146"/>
        <v>668.20427590250733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2.2270510607728538</v>
      </c>
      <c r="BQ162" s="23">
        <f>EXP(-LN(2)/25)*BQ161+(1-EXP(-LN(2)/25))/(LN(2)/25)*Calculateur!BL162*Calculateur!BN162*VLOOKUP('Données projet'!$B$11,Paramètres!$A$1:$I$89,3,0)*0.475*44/12</f>
        <v>0.63295008528047358</v>
      </c>
      <c r="BR162" s="23">
        <f>EXP(-LN(2)/2)*BR161+(1-EXP(-LN(2)/2))/(LN(2)/2)*BL162*BO162*VLOOKUP('Données projet'!$B$11,Paramètres!$A$1:$I$89,3,0)*0.475*44/12</f>
        <v>5.3020118521074007E-19</v>
      </c>
      <c r="BS162" s="24">
        <f t="shared" si="169"/>
        <v>2.8600011460533272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-5.4092197387944907E-14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293.996396026019</v>
      </c>
      <c r="CE162" s="62">
        <f t="shared" si="148"/>
        <v>152.23954167722536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303.33040062722074</v>
      </c>
      <c r="T163" s="62">
        <f t="shared" si="142"/>
        <v>425.30058672361548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0.92056125383496434</v>
      </c>
      <c r="AB163" s="23">
        <f>EXP(-LN(2)/2)*AB162+(1-EXP(-LN(2)/2))/(LN(2)/2)*V163*Y163*VLOOKUP('Données projet'!$B$9,Paramètres!$A$1:$I$89,3,0)*0.475*44/12</f>
        <v>4.4143289515229321E-19</v>
      </c>
      <c r="AC163" s="24">
        <f t="shared" si="163"/>
        <v>0.92056125383496434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1.5429577615577727E-13</v>
      </c>
      <c r="AK163" s="14">
        <f t="shared" si="164"/>
        <v>2.2038482767263348E-12</v>
      </c>
      <c r="AL163" s="22">
        <f t="shared" si="165"/>
        <v>4.107100892103012E-12</v>
      </c>
      <c r="AM163" s="62">
        <f t="shared" si="113"/>
        <v>293.33333333333741</v>
      </c>
      <c r="AN163" s="62">
        <f ca="1">AVERAGE(OFFSET($AM$3,0,0,'Données projet'!$E$10+1,1))-AVERAGE(OFFSET($H$3,0,0,'Données projet'!$E$10+1,1))</f>
        <v>371.75294069149942</v>
      </c>
      <c r="AO163" s="62">
        <f t="shared" si="144"/>
        <v>233.32640143610547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7.3424225092376644E-2</v>
      </c>
      <c r="AW163" s="23">
        <f>EXP(-LN(2)/2)*AW162+(1-EXP(-LN(2)/2))/(LN(2)/2)*AQ163*AT163*VLOOKUP('Données projet'!$B$10,Paramètres!$A$1:$I$89,3,0)*0.475*44/12</f>
        <v>3.4015315356408614E-19</v>
      </c>
      <c r="AX163" s="23">
        <f t="shared" si="166"/>
        <v>7.3424225092376644E-2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-1.9065282685915009E-13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555.15881087162279</v>
      </c>
      <c r="BJ163" s="62">
        <f t="shared" si="146"/>
        <v>668.20427590250733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2.1833799478381177</v>
      </c>
      <c r="BQ163" s="23">
        <f>EXP(-LN(2)/25)*BQ162+(1-EXP(-LN(2)/25))/(LN(2)/25)*Calculateur!BL163*Calculateur!BN163*VLOOKUP('Données projet'!$B$11,Paramètres!$A$1:$I$89,3,0)*0.475*44/12</f>
        <v>0.61564203191308065</v>
      </c>
      <c r="BR163" s="23">
        <f>EXP(-LN(2)/2)*BR162+(1-EXP(-LN(2)/2))/(LN(2)/2)*BL163*BO163*VLOOKUP('Données projet'!$B$11,Paramètres!$A$1:$I$89,3,0)*0.475*44/12</f>
        <v>3.7490885345565895E-19</v>
      </c>
      <c r="BS163" s="24">
        <f t="shared" si="169"/>
        <v>2.7990219797511982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-5.4092197387944907E-14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293.996396026019</v>
      </c>
      <c r="CE163" s="62">
        <f t="shared" si="148"/>
        <v>152.23954167722536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303.33040062722074</v>
      </c>
      <c r="T164" s="62">
        <f t="shared" si="142"/>
        <v>425.30058672361548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0.89538845793863486</v>
      </c>
      <c r="AB164" s="23">
        <f>EXP(-LN(2)/2)*AB163+(1-EXP(-LN(2)/2))/(LN(2)/2)*V164*Y164*VLOOKUP('Données projet'!$B$9,Paramètres!$A$1:$I$89,3,0)*0.475*44/12</f>
        <v>3.1214019360099678E-19</v>
      </c>
      <c r="AC164" s="24">
        <f t="shared" si="163"/>
        <v>0.89538845793863486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1.5429577615577727E-13</v>
      </c>
      <c r="AK164" s="14">
        <f t="shared" si="164"/>
        <v>2.2038482767263348E-12</v>
      </c>
      <c r="AL164" s="22">
        <f t="shared" si="165"/>
        <v>4.107100892103012E-12</v>
      </c>
      <c r="AM164" s="62">
        <f t="shared" si="113"/>
        <v>293.33333333333741</v>
      </c>
      <c r="AN164" s="62">
        <f ca="1">AVERAGE(OFFSET($AM$3,0,0,'Données projet'!$E$10+1,1))-AVERAGE(OFFSET($H$3,0,0,'Données projet'!$E$10+1,1))</f>
        <v>371.75294069149942</v>
      </c>
      <c r="AO164" s="62">
        <f t="shared" si="144"/>
        <v>233.32640143610547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7.1416435796013422E-2</v>
      </c>
      <c r="AW164" s="23">
        <f>EXP(-LN(2)/2)*AW163+(1-EXP(-LN(2)/2))/(LN(2)/2)*AQ164*AT164*VLOOKUP('Données projet'!$B$10,Paramètres!$A$1:$I$89,3,0)*0.475*44/12</f>
        <v>2.4052460152715435E-19</v>
      </c>
      <c r="AX164" s="23">
        <f t="shared" si="166"/>
        <v>7.1416435796013422E-2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-1.9065282685915009E-13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555.15881087162279</v>
      </c>
      <c r="BJ164" s="62">
        <f t="shared" si="146"/>
        <v>668.20427590250733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2.140565198791283</v>
      </c>
      <c r="BQ164" s="23">
        <f>EXP(-LN(2)/25)*BQ163+(1-EXP(-LN(2)/25))/(LN(2)/25)*Calculateur!BL164*Calculateur!BN164*VLOOKUP('Données projet'!$B$11,Paramètres!$A$1:$I$89,3,0)*0.475*44/12</f>
        <v>0.59880726817521002</v>
      </c>
      <c r="BR164" s="23">
        <f>EXP(-LN(2)/2)*BR163+(1-EXP(-LN(2)/2))/(LN(2)/2)*BL164*BO164*VLOOKUP('Données projet'!$B$11,Paramètres!$A$1:$I$89,3,0)*0.475*44/12</f>
        <v>2.6510059260537004E-19</v>
      </c>
      <c r="BS164" s="24">
        <f t="shared" si="169"/>
        <v>2.7393724669664929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-5.4092197387944907E-14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293.996396026019</v>
      </c>
      <c r="CE164" s="62">
        <f t="shared" si="148"/>
        <v>152.23954167722536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303.33040062722074</v>
      </c>
      <c r="T165" s="62">
        <f t="shared" si="142"/>
        <v>425.30058672361548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0.87090401346987034</v>
      </c>
      <c r="AB165" s="23">
        <f>EXP(-LN(2)/2)*AB164+(1-EXP(-LN(2)/2))/(LN(2)/2)*V165*Y165*VLOOKUP('Données projet'!$B$9,Paramètres!$A$1:$I$89,3,0)*0.475*44/12</f>
        <v>2.2071644757614661E-19</v>
      </c>
      <c r="AC165" s="24">
        <f t="shared" si="163"/>
        <v>0.87090401346987034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1.5429577615577727E-13</v>
      </c>
      <c r="AK165" s="14">
        <f t="shared" si="164"/>
        <v>2.2038482767263348E-12</v>
      </c>
      <c r="AL165" s="22">
        <f t="shared" si="165"/>
        <v>4.107100892103012E-12</v>
      </c>
      <c r="AM165" s="62">
        <f t="shared" si="113"/>
        <v>293.33333333333741</v>
      </c>
      <c r="AN165" s="62">
        <f ca="1">AVERAGE(OFFSET($AM$3,0,0,'Données projet'!$E$10+1,1))-AVERAGE(OFFSET($H$3,0,0,'Données projet'!$E$10+1,1))</f>
        <v>371.75294069149942</v>
      </c>
      <c r="AO165" s="62">
        <f t="shared" si="144"/>
        <v>233.32640143610547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6.9463549603544297E-2</v>
      </c>
      <c r="AW165" s="23">
        <f>EXP(-LN(2)/2)*AW164+(1-EXP(-LN(2)/2))/(LN(2)/2)*AQ165*AT165*VLOOKUP('Données projet'!$B$10,Paramètres!$A$1:$I$89,3,0)*0.475*44/12</f>
        <v>1.7007657678204307E-19</v>
      </c>
      <c r="AX165" s="23">
        <f t="shared" si="166"/>
        <v>6.9463549603544297E-2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-1.9065282685915009E-13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555.15881087162279</v>
      </c>
      <c r="BJ165" s="62">
        <f t="shared" si="146"/>
        <v>668.20427590250733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2.0985900208588384</v>
      </c>
      <c r="BQ165" s="23">
        <f>EXP(-LN(2)/25)*BQ164+(1-EXP(-LN(2)/25))/(LN(2)/25)*Calculateur!BL165*Calculateur!BN165*VLOOKUP('Données projet'!$B$11,Paramètres!$A$1:$I$89,3,0)*0.475*44/12</f>
        <v>0.5824328519370533</v>
      </c>
      <c r="BR165" s="23">
        <f>EXP(-LN(2)/2)*BR164+(1-EXP(-LN(2)/2))/(LN(2)/2)*BL165*BO165*VLOOKUP('Données projet'!$B$11,Paramètres!$A$1:$I$89,3,0)*0.475*44/12</f>
        <v>1.8745442672782947E-19</v>
      </c>
      <c r="BS165" s="24">
        <f t="shared" si="169"/>
        <v>2.6810228727958916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-5.4092197387944907E-14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293.996396026019</v>
      </c>
      <c r="CE165" s="62">
        <f t="shared" si="148"/>
        <v>152.23954167722536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303.33040062722074</v>
      </c>
      <c r="T166" s="62">
        <f t="shared" si="142"/>
        <v>425.30058672361548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0.84708909742268512</v>
      </c>
      <c r="AB166" s="23">
        <f>EXP(-LN(2)/2)*AB165+(1-EXP(-LN(2)/2))/(LN(2)/2)*V166*Y166*VLOOKUP('Données projet'!$B$9,Paramètres!$A$1:$I$89,3,0)*0.475*44/12</f>
        <v>1.5607009680049839E-19</v>
      </c>
      <c r="AC166" s="24">
        <f t="shared" si="163"/>
        <v>0.84708909742268512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1.5429577615577727E-13</v>
      </c>
      <c r="AK166" s="14">
        <f t="shared" si="164"/>
        <v>2.2038482767263348E-12</v>
      </c>
      <c r="AL166" s="22">
        <f t="shared" si="165"/>
        <v>4.107100892103012E-12</v>
      </c>
      <c r="AM166" s="62">
        <f t="shared" si="113"/>
        <v>293.33333333333741</v>
      </c>
      <c r="AN166" s="62">
        <f ca="1">AVERAGE(OFFSET($AM$3,0,0,'Données projet'!$E$10+1,1))-AVERAGE(OFFSET($H$3,0,0,'Données projet'!$E$10+1,1))</f>
        <v>371.75294069149942</v>
      </c>
      <c r="AO166" s="62">
        <f t="shared" si="144"/>
        <v>233.32640143610547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6.756406518670606E-2</v>
      </c>
      <c r="AW166" s="23">
        <f>EXP(-LN(2)/2)*AW165+(1-EXP(-LN(2)/2))/(LN(2)/2)*AQ166*AT166*VLOOKUP('Données projet'!$B$10,Paramètres!$A$1:$I$89,3,0)*0.475*44/12</f>
        <v>1.2026230076357718E-19</v>
      </c>
      <c r="AX166" s="23">
        <f t="shared" si="166"/>
        <v>6.756406518670606E-2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-1.9065282685915009E-13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555.15881087162279</v>
      </c>
      <c r="BJ166" s="62">
        <f t="shared" si="146"/>
        <v>668.20427590250733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2.0574379505633185</v>
      </c>
      <c r="BQ166" s="23">
        <f>EXP(-LN(2)/25)*BQ165+(1-EXP(-LN(2)/25))/(LN(2)/25)*Calculateur!BL166*Calculateur!BN166*VLOOKUP('Données projet'!$B$11,Paramètres!$A$1:$I$89,3,0)*0.475*44/12</f>
        <v>0.56650619497202204</v>
      </c>
      <c r="BR166" s="23">
        <f>EXP(-LN(2)/2)*BR165+(1-EXP(-LN(2)/2))/(LN(2)/2)*BL166*BO166*VLOOKUP('Données projet'!$B$11,Paramètres!$A$1:$I$89,3,0)*0.475*44/12</f>
        <v>1.3255029630268502E-19</v>
      </c>
      <c r="BS166" s="24">
        <f t="shared" si="169"/>
        <v>2.6239441455353405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-5.4092197387944907E-14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293.996396026019</v>
      </c>
      <c r="CE166" s="62">
        <f t="shared" si="148"/>
        <v>152.23954167722536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303.33040062722074</v>
      </c>
      <c r="T167" s="62">
        <f t="shared" si="142"/>
        <v>425.30058672361548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0.82392540150718219</v>
      </c>
      <c r="AB167" s="23">
        <f>EXP(-LN(2)/2)*AB166+(1-EXP(-LN(2)/2))/(LN(2)/2)*V167*Y167*VLOOKUP('Données projet'!$B$9,Paramètres!$A$1:$I$89,3,0)*0.475*44/12</f>
        <v>1.103582237880733E-19</v>
      </c>
      <c r="AC167" s="24">
        <f t="shared" si="163"/>
        <v>0.82392540150718219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1.5429577615577727E-13</v>
      </c>
      <c r="AK167" s="14">
        <f t="shared" si="164"/>
        <v>2.2038482767263348E-12</v>
      </c>
      <c r="AL167" s="22">
        <f t="shared" si="165"/>
        <v>4.107100892103012E-12</v>
      </c>
      <c r="AM167" s="62">
        <f t="shared" si="113"/>
        <v>293.33333333333741</v>
      </c>
      <c r="AN167" s="62">
        <f ca="1">AVERAGE(OFFSET($AM$3,0,0,'Données projet'!$E$10+1,1))-AVERAGE(OFFSET($H$3,0,0,'Données projet'!$E$10+1,1))</f>
        <v>371.75294069149942</v>
      </c>
      <c r="AO167" s="62">
        <f t="shared" si="144"/>
        <v>233.32640143610547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6.5716522271135808E-2</v>
      </c>
      <c r="AW167" s="23">
        <f>EXP(-LN(2)/2)*AW166+(1-EXP(-LN(2)/2))/(LN(2)/2)*AQ167*AT167*VLOOKUP('Données projet'!$B$10,Paramètres!$A$1:$I$89,3,0)*0.475*44/12</f>
        <v>8.5038288391021534E-20</v>
      </c>
      <c r="AX167" s="23">
        <f t="shared" si="166"/>
        <v>6.5716522271135808E-2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-1.9065282685915009E-13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555.15881087162279</v>
      </c>
      <c r="BJ167" s="62">
        <f t="shared" si="146"/>
        <v>668.20427590250733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2.0170928472660092</v>
      </c>
      <c r="BQ167" s="23">
        <f>EXP(-LN(2)/25)*BQ166+(1-EXP(-LN(2)/25))/(LN(2)/25)*Calculateur!BL167*Calculateur!BN167*VLOOKUP('Données projet'!$B$11,Paramètres!$A$1:$I$89,3,0)*0.475*44/12</f>
        <v>0.55101505327924605</v>
      </c>
      <c r="BR167" s="23">
        <f>EXP(-LN(2)/2)*BR166+(1-EXP(-LN(2)/2))/(LN(2)/2)*BL167*BO167*VLOOKUP('Données projet'!$B$11,Paramètres!$A$1:$I$89,3,0)*0.475*44/12</f>
        <v>9.3727213363914736E-20</v>
      </c>
      <c r="BS167" s="24">
        <f t="shared" si="169"/>
        <v>2.5681079005452552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-5.4092197387944907E-14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293.996396026019</v>
      </c>
      <c r="CE167" s="62">
        <f t="shared" si="148"/>
        <v>152.23954167722536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303.33040062722074</v>
      </c>
      <c r="T168" s="62">
        <f t="shared" si="142"/>
        <v>425.30058672361548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0.8013951180746145</v>
      </c>
      <c r="AB168" s="23">
        <f>EXP(-LN(2)/2)*AB167+(1-EXP(-LN(2)/2))/(LN(2)/2)*V168*Y168*VLOOKUP('Données projet'!$B$9,Paramètres!$A$1:$I$89,3,0)*0.475*44/12</f>
        <v>7.8035048400249196E-20</v>
      </c>
      <c r="AC168" s="24">
        <f t="shared" si="163"/>
        <v>0.8013951180746145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1.5429577615577727E-13</v>
      </c>
      <c r="AK168" s="14">
        <f t="shared" si="164"/>
        <v>2.2038482767263348E-12</v>
      </c>
      <c r="AL168" s="22">
        <f t="shared" si="165"/>
        <v>4.107100892103012E-12</v>
      </c>
      <c r="AM168" s="62">
        <f t="shared" si="113"/>
        <v>293.33333333333741</v>
      </c>
      <c r="AN168" s="62">
        <f ca="1">AVERAGE(OFFSET($AM$3,0,0,'Données projet'!$E$10+1,1))-AVERAGE(OFFSET($H$3,0,0,'Données projet'!$E$10+1,1))</f>
        <v>371.75294069149942</v>
      </c>
      <c r="AO168" s="62">
        <f t="shared" si="144"/>
        <v>233.32640143610547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6.3919500513749894E-2</v>
      </c>
      <c r="AW168" s="23">
        <f>EXP(-LN(2)/2)*AW167+(1-EXP(-LN(2)/2))/(LN(2)/2)*AQ168*AT168*VLOOKUP('Données projet'!$B$10,Paramètres!$A$1:$I$89,3,0)*0.475*44/12</f>
        <v>6.0131150381788588E-20</v>
      </c>
      <c r="AX168" s="23">
        <f t="shared" si="166"/>
        <v>6.3919500513749894E-2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-1.9065282685915009E-13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555.15881087162279</v>
      </c>
      <c r="BJ168" s="62">
        <f t="shared" si="146"/>
        <v>668.20427590250733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1.9775388868362771</v>
      </c>
      <c r="BQ168" s="23">
        <f>EXP(-LN(2)/25)*BQ167+(1-EXP(-LN(2)/25))/(LN(2)/25)*Calculateur!BL168*Calculateur!BN168*VLOOKUP('Données projet'!$B$11,Paramètres!$A$1:$I$89,3,0)*0.475*44/12</f>
        <v>0.53594751767070281</v>
      </c>
      <c r="BR168" s="23">
        <f>EXP(-LN(2)/2)*BR167+(1-EXP(-LN(2)/2))/(LN(2)/2)*BL168*BO168*VLOOKUP('Données projet'!$B$11,Paramètres!$A$1:$I$89,3,0)*0.475*44/12</f>
        <v>6.6275148151342509E-20</v>
      </c>
      <c r="BS168" s="24">
        <f t="shared" si="169"/>
        <v>2.5134864045069798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-5.4092197387944907E-14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293.996396026019</v>
      </c>
      <c r="CE168" s="62">
        <f t="shared" si="148"/>
        <v>152.23954167722536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303.33040062722074</v>
      </c>
      <c r="T169" s="62">
        <f t="shared" si="142"/>
        <v>425.30058672361548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0.77948092642732647</v>
      </c>
      <c r="AB169" s="23">
        <f>EXP(-LN(2)/2)*AB168+(1-EXP(-LN(2)/2))/(LN(2)/2)*V169*Y169*VLOOKUP('Données projet'!$B$9,Paramètres!$A$1:$I$89,3,0)*0.475*44/12</f>
        <v>5.5179111894036652E-20</v>
      </c>
      <c r="AC169" s="24">
        <f t="shared" si="163"/>
        <v>0.77948092642732647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1.5429577615577727E-13</v>
      </c>
      <c r="AK169" s="14">
        <f t="shared" si="164"/>
        <v>2.2038482767263348E-12</v>
      </c>
      <c r="AL169" s="22">
        <f t="shared" si="165"/>
        <v>4.107100892103012E-12</v>
      </c>
      <c r="AM169" s="62">
        <f t="shared" si="113"/>
        <v>293.33333333333741</v>
      </c>
      <c r="AN169" s="62">
        <f ca="1">AVERAGE(OFFSET($AM$3,0,0,'Données projet'!$E$10+1,1))-AVERAGE(OFFSET($H$3,0,0,'Données projet'!$E$10+1,1))</f>
        <v>371.75294069149942</v>
      </c>
      <c r="AO169" s="62">
        <f t="shared" si="144"/>
        <v>233.32640143610547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6.2171618410820959E-2</v>
      </c>
      <c r="AW169" s="23">
        <f>EXP(-LN(2)/2)*AW168+(1-EXP(-LN(2)/2))/(LN(2)/2)*AQ169*AT169*VLOOKUP('Données projet'!$B$10,Paramètres!$A$1:$I$89,3,0)*0.475*44/12</f>
        <v>4.2519144195510767E-20</v>
      </c>
      <c r="AX169" s="23">
        <f t="shared" si="166"/>
        <v>6.2171618410820959E-2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-1.9065282685915009E-13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555.15881087162279</v>
      </c>
      <c r="BJ169" s="62">
        <f t="shared" si="146"/>
        <v>668.20427590250733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1.9387605554450382</v>
      </c>
      <c r="BQ169" s="23">
        <f>EXP(-LN(2)/25)*BQ168+(1-EXP(-LN(2)/25))/(LN(2)/25)*Calculateur!BL169*Calculateur!BN169*VLOOKUP('Données projet'!$B$11,Paramètres!$A$1:$I$89,3,0)*0.475*44/12</f>
        <v>0.52129200461574243</v>
      </c>
      <c r="BR169" s="23">
        <f>EXP(-LN(2)/2)*BR168+(1-EXP(-LN(2)/2))/(LN(2)/2)*BL169*BO169*VLOOKUP('Données projet'!$B$11,Paramètres!$A$1:$I$89,3,0)*0.475*44/12</f>
        <v>4.6863606681957368E-20</v>
      </c>
      <c r="BS169" s="24">
        <f t="shared" si="169"/>
        <v>2.4600525600607805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-5.4092197387944907E-14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293.996396026019</v>
      </c>
      <c r="CE169" s="62">
        <f t="shared" si="148"/>
        <v>152.23954167722536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303.33040062722074</v>
      </c>
      <c r="T170" s="62">
        <f t="shared" si="142"/>
        <v>425.30058672361548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0.75816597950305087</v>
      </c>
      <c r="AB170" s="23">
        <f>EXP(-LN(2)/2)*AB169+(1-EXP(-LN(2)/2))/(LN(2)/2)*V170*Y170*VLOOKUP('Données projet'!$B$9,Paramètres!$A$1:$I$89,3,0)*0.475*44/12</f>
        <v>3.9017524200124598E-20</v>
      </c>
      <c r="AC170" s="24">
        <f t="shared" si="163"/>
        <v>0.75816597950305087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1.5429577615577727E-13</v>
      </c>
      <c r="AK170" s="14">
        <f t="shared" si="164"/>
        <v>2.2038482767263348E-12</v>
      </c>
      <c r="AL170" s="22">
        <f t="shared" si="165"/>
        <v>4.107100892103012E-12</v>
      </c>
      <c r="AM170" s="62">
        <f t="shared" si="113"/>
        <v>293.33333333333741</v>
      </c>
      <c r="AN170" s="62">
        <f ca="1">AVERAGE(OFFSET($AM$3,0,0,'Données projet'!$E$10+1,1))-AVERAGE(OFFSET($H$3,0,0,'Données projet'!$E$10+1,1))</f>
        <v>371.75294069149942</v>
      </c>
      <c r="AO170" s="62">
        <f t="shared" si="144"/>
        <v>233.32640143610547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6.0471532235913741E-2</v>
      </c>
      <c r="AW170" s="23">
        <f>EXP(-LN(2)/2)*AW169+(1-EXP(-LN(2)/2))/(LN(2)/2)*AQ170*AT170*VLOOKUP('Données projet'!$B$10,Paramètres!$A$1:$I$89,3,0)*0.475*44/12</f>
        <v>3.0065575190894294E-20</v>
      </c>
      <c r="AX170" s="23">
        <f t="shared" si="166"/>
        <v>6.0471532235913741E-2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-1.9065282685915009E-13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555.15881087162279</v>
      </c>
      <c r="BJ170" s="62">
        <f t="shared" si="146"/>
        <v>668.20427590250733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1.900742643479935</v>
      </c>
      <c r="BQ170" s="23">
        <f>EXP(-LN(2)/25)*BQ169+(1-EXP(-LN(2)/25))/(LN(2)/25)*Calculateur!BL170*Calculateur!BN170*VLOOKUP('Données projet'!$B$11,Paramètres!$A$1:$I$89,3,0)*0.475*44/12</f>
        <v>0.50703724733596989</v>
      </c>
      <c r="BR170" s="23">
        <f>EXP(-LN(2)/2)*BR169+(1-EXP(-LN(2)/2))/(LN(2)/2)*BL170*BO170*VLOOKUP('Données projet'!$B$11,Paramètres!$A$1:$I$89,3,0)*0.475*44/12</f>
        <v>3.3137574075671255E-20</v>
      </c>
      <c r="BS170" s="24">
        <f t="shared" si="169"/>
        <v>2.4077798908159052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-5.4092197387944907E-14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293.996396026019</v>
      </c>
      <c r="CE170" s="62">
        <f t="shared" si="148"/>
        <v>152.23954167722536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303.33040062722074</v>
      </c>
      <c r="T171" s="62">
        <f t="shared" si="142"/>
        <v>425.30058672361548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0.7374338909233239</v>
      </c>
      <c r="AB171" s="23">
        <f>EXP(-LN(2)/2)*AB170+(1-EXP(-LN(2)/2))/(LN(2)/2)*V171*Y171*VLOOKUP('Données projet'!$B$9,Paramètres!$A$1:$I$89,3,0)*0.475*44/12</f>
        <v>2.7589555947018326E-20</v>
      </c>
      <c r="AC171" s="24">
        <f t="shared" si="163"/>
        <v>0.7374338909233239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1.5429577615577727E-13</v>
      </c>
      <c r="AK171" s="14">
        <f t="shared" si="164"/>
        <v>2.2038482767263348E-12</v>
      </c>
      <c r="AL171" s="22">
        <f t="shared" si="165"/>
        <v>4.107100892103012E-12</v>
      </c>
      <c r="AM171" s="62">
        <f t="shared" si="113"/>
        <v>293.33333333333741</v>
      </c>
      <c r="AN171" s="62">
        <f ca="1">AVERAGE(OFFSET($AM$3,0,0,'Données projet'!$E$10+1,1))-AVERAGE(OFFSET($H$3,0,0,'Données projet'!$E$10+1,1))</f>
        <v>371.75294069149942</v>
      </c>
      <c r="AO171" s="62">
        <f t="shared" si="144"/>
        <v>233.32640143610547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5.8817935006863012E-2</v>
      </c>
      <c r="AW171" s="23">
        <f>EXP(-LN(2)/2)*AW170+(1-EXP(-LN(2)/2))/(LN(2)/2)*AQ171*AT171*VLOOKUP('Données projet'!$B$10,Paramètres!$A$1:$I$89,3,0)*0.475*44/12</f>
        <v>2.1259572097755383E-20</v>
      </c>
      <c r="AX171" s="23">
        <f t="shared" si="166"/>
        <v>5.8817935006863012E-2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-1.9065282685915009E-13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555.15881087162279</v>
      </c>
      <c r="BJ171" s="62">
        <f t="shared" si="146"/>
        <v>668.20427590250733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1.8634702395798308</v>
      </c>
      <c r="BQ171" s="23">
        <f>EXP(-LN(2)/25)*BQ170+(1-EXP(-LN(2)/25))/(LN(2)/25)*Calculateur!BL171*Calculateur!BN171*VLOOKUP('Données projet'!$B$11,Paramètres!$A$1:$I$89,3,0)*0.475*44/12</f>
        <v>0.49317228714363781</v>
      </c>
      <c r="BR171" s="23">
        <f>EXP(-LN(2)/2)*BR170+(1-EXP(-LN(2)/2))/(LN(2)/2)*BL171*BO171*VLOOKUP('Données projet'!$B$11,Paramètres!$A$1:$I$89,3,0)*0.475*44/12</f>
        <v>2.3431803340978684E-20</v>
      </c>
      <c r="BS171" s="24">
        <f t="shared" si="169"/>
        <v>2.3566425267234687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-5.4092197387944907E-14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293.996396026019</v>
      </c>
      <c r="CE171" s="62">
        <f t="shared" si="148"/>
        <v>152.23954167722536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303.33040062722074</v>
      </c>
      <c r="T172" s="62">
        <f t="shared" si="142"/>
        <v>425.30058672361548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0.71726872239606276</v>
      </c>
      <c r="AB172" s="23">
        <f>EXP(-LN(2)/2)*AB171+(1-EXP(-LN(2)/2))/(LN(2)/2)*V172*Y172*VLOOKUP('Données projet'!$B$9,Paramètres!$A$1:$I$89,3,0)*0.475*44/12</f>
        <v>1.9508762100062299E-20</v>
      </c>
      <c r="AC172" s="24">
        <f t="shared" si="163"/>
        <v>0.71726872239606276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1.5429577615577727E-13</v>
      </c>
      <c r="AK172" s="14">
        <f t="shared" si="164"/>
        <v>2.2038482767263348E-12</v>
      </c>
      <c r="AL172" s="22">
        <f t="shared" si="165"/>
        <v>4.107100892103012E-12</v>
      </c>
      <c r="AM172" s="62">
        <f t="shared" si="113"/>
        <v>293.33333333333741</v>
      </c>
      <c r="AN172" s="62">
        <f ca="1">AVERAGE(OFFSET($AM$3,0,0,'Données projet'!$E$10+1,1))-AVERAGE(OFFSET($H$3,0,0,'Données projet'!$E$10+1,1))</f>
        <v>371.75294069149942</v>
      </c>
      <c r="AO172" s="62">
        <f t="shared" si="144"/>
        <v>233.32640143610547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5.7209555480999569E-2</v>
      </c>
      <c r="AW172" s="23">
        <f>EXP(-LN(2)/2)*AW171+(1-EXP(-LN(2)/2))/(LN(2)/2)*AQ172*AT172*VLOOKUP('Données projet'!$B$10,Paramètres!$A$1:$I$89,3,0)*0.475*44/12</f>
        <v>1.5032787595447147E-20</v>
      </c>
      <c r="AX172" s="23">
        <f t="shared" si="166"/>
        <v>5.7209555480999569E-2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-1.9065282685915009E-13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555.15881087162279</v>
      </c>
      <c r="BJ172" s="62">
        <f t="shared" si="146"/>
        <v>668.20427590250733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1.8269287247862862</v>
      </c>
      <c r="BQ172" s="23">
        <f>EXP(-LN(2)/25)*BQ171+(1-EXP(-LN(2)/25))/(LN(2)/25)*Calculateur!BL172*Calculateur!BN172*VLOOKUP('Données projet'!$B$11,Paramètres!$A$1:$I$89,3,0)*0.475*44/12</f>
        <v>0.47968646501689161</v>
      </c>
      <c r="BR172" s="23">
        <f>EXP(-LN(2)/2)*BR171+(1-EXP(-LN(2)/2))/(LN(2)/2)*BL172*BO172*VLOOKUP('Données projet'!$B$11,Paramètres!$A$1:$I$89,3,0)*0.475*44/12</f>
        <v>1.6568787037835627E-20</v>
      </c>
      <c r="BS172" s="24">
        <f t="shared" si="169"/>
        <v>2.3066151898031779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-5.4092197387944907E-14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293.996396026019</v>
      </c>
      <c r="CE172" s="62">
        <f t="shared" si="148"/>
        <v>152.23954167722536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303.33040062722074</v>
      </c>
      <c r="T173" s="62">
        <f t="shared" si="142"/>
        <v>425.30058672361548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0.69765497146261968</v>
      </c>
      <c r="AB173" s="23">
        <f>EXP(-LN(2)/2)*AB172+(1-EXP(-LN(2)/2))/(LN(2)/2)*V173*Y173*VLOOKUP('Données projet'!$B$9,Paramètres!$A$1:$I$89,3,0)*0.475*44/12</f>
        <v>1.3794777973509163E-20</v>
      </c>
      <c r="AC173" s="24">
        <f t="shared" si="163"/>
        <v>0.69765497146261968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1.5429577615577727E-13</v>
      </c>
      <c r="AK173" s="14">
        <f t="shared" si="164"/>
        <v>2.2038482767263348E-12</v>
      </c>
      <c r="AL173" s="22">
        <f t="shared" si="165"/>
        <v>4.107100892103012E-12</v>
      </c>
      <c r="AM173" s="62">
        <f t="shared" si="113"/>
        <v>293.33333333333741</v>
      </c>
      <c r="AN173" s="62">
        <f ca="1">AVERAGE(OFFSET($AM$3,0,0,'Données projet'!$E$10+1,1))-AVERAGE(OFFSET($H$3,0,0,'Données projet'!$E$10+1,1))</f>
        <v>371.75294069149942</v>
      </c>
      <c r="AO173" s="62">
        <f t="shared" si="144"/>
        <v>233.32640143610547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5.5645157177851866E-2</v>
      </c>
      <c r="AW173" s="23">
        <f>EXP(-LN(2)/2)*AW172+(1-EXP(-LN(2)/2))/(LN(2)/2)*AQ173*AT173*VLOOKUP('Données projet'!$B$10,Paramètres!$A$1:$I$89,3,0)*0.475*44/12</f>
        <v>1.0629786048877692E-20</v>
      </c>
      <c r="AX173" s="23">
        <f t="shared" si="166"/>
        <v>5.5645157177851866E-2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-1.9065282685915009E-13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555.15881087162279</v>
      </c>
      <c r="BJ173" s="62">
        <f t="shared" si="146"/>
        <v>668.20427590250733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1.7911037668097196</v>
      </c>
      <c r="BQ173" s="23">
        <f>EXP(-LN(2)/25)*BQ172+(1-EXP(-LN(2)/25))/(LN(2)/25)*Calculateur!BL173*Calculateur!BN173*VLOOKUP('Données projet'!$B$11,Paramètres!$A$1:$I$89,3,0)*0.475*44/12</f>
        <v>0.46656941340538982</v>
      </c>
      <c r="BR173" s="23">
        <f>EXP(-LN(2)/2)*BR172+(1-EXP(-LN(2)/2))/(LN(2)/2)*BL173*BO173*VLOOKUP('Données projet'!$B$11,Paramètres!$A$1:$I$89,3,0)*0.475*44/12</f>
        <v>1.1715901670489342E-20</v>
      </c>
      <c r="BS173" s="24">
        <f t="shared" si="169"/>
        <v>2.2576731802151095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-5.4092197387944907E-14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293.996396026019</v>
      </c>
      <c r="CE173" s="62">
        <f t="shared" si="148"/>
        <v>152.23954167722536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303.33040062722074</v>
      </c>
      <c r="T174" s="62">
        <f t="shared" si="142"/>
        <v>425.30058672361548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0.67857755957989385</v>
      </c>
      <c r="AB174" s="23">
        <f>EXP(-LN(2)/2)*AB173+(1-EXP(-LN(2)/2))/(LN(2)/2)*V174*Y174*VLOOKUP('Données projet'!$B$9,Paramètres!$A$1:$I$89,3,0)*0.475*44/12</f>
        <v>9.7543810500311495E-21</v>
      </c>
      <c r="AC174" s="24">
        <f t="shared" si="163"/>
        <v>0.67857755957989385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1.5429577615577727E-13</v>
      </c>
      <c r="AK174" s="14">
        <f t="shared" si="164"/>
        <v>2.2038482767263348E-12</v>
      </c>
      <c r="AL174" s="22">
        <f t="shared" si="165"/>
        <v>4.107100892103012E-12</v>
      </c>
      <c r="AM174" s="62">
        <f t="shared" si="113"/>
        <v>293.33333333333741</v>
      </c>
      <c r="AN174" s="62">
        <f ca="1">AVERAGE(OFFSET($AM$3,0,0,'Données projet'!$E$10+1,1))-AVERAGE(OFFSET($H$3,0,0,'Données projet'!$E$10+1,1))</f>
        <v>371.75294069149942</v>
      </c>
      <c r="AO174" s="62">
        <f t="shared" si="144"/>
        <v>233.32640143610547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5.4123537428571872E-2</v>
      </c>
      <c r="AW174" s="23">
        <f>EXP(-LN(2)/2)*AW173+(1-EXP(-LN(2)/2))/(LN(2)/2)*AQ174*AT174*VLOOKUP('Données projet'!$B$10,Paramètres!$A$1:$I$89,3,0)*0.475*44/12</f>
        <v>7.5163937977235735E-21</v>
      </c>
      <c r="AX174" s="23">
        <f t="shared" si="166"/>
        <v>5.4123537428571872E-2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-1.9065282685915009E-13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555.15881087162279</v>
      </c>
      <c r="BJ174" s="62">
        <f t="shared" si="146"/>
        <v>668.20427590250733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1.7559813144080068</v>
      </c>
      <c r="BQ174" s="23">
        <f>EXP(-LN(2)/25)*BQ173+(1-EXP(-LN(2)/25))/(LN(2)/25)*Calculateur!BL174*Calculateur!BN174*VLOOKUP('Données projet'!$B$11,Paramètres!$A$1:$I$89,3,0)*0.475*44/12</f>
        <v>0.45381104826000035</v>
      </c>
      <c r="BR174" s="23">
        <f>EXP(-LN(2)/2)*BR173+(1-EXP(-LN(2)/2))/(LN(2)/2)*BL174*BO174*VLOOKUP('Données projet'!$B$11,Paramètres!$A$1:$I$89,3,0)*0.475*44/12</f>
        <v>8.2843935189178137E-21</v>
      </c>
      <c r="BS174" s="24">
        <f t="shared" si="169"/>
        <v>2.2097923626680069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-5.4092197387944907E-14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293.996396026019</v>
      </c>
      <c r="CE174" s="62">
        <f t="shared" si="148"/>
        <v>152.23954167722536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303.33040062722074</v>
      </c>
      <c r="T175" s="62">
        <f t="shared" si="142"/>
        <v>425.30058672361548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0.66002182052833869</v>
      </c>
      <c r="AB175" s="23">
        <f>EXP(-LN(2)/2)*AB174+(1-EXP(-LN(2)/2))/(LN(2)/2)*V175*Y175*VLOOKUP('Données projet'!$B$9,Paramètres!$A$1:$I$89,3,0)*0.475*44/12</f>
        <v>6.8973889867545815E-21</v>
      </c>
      <c r="AC175" s="24">
        <f t="shared" si="163"/>
        <v>0.66002182052833869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1.5429577615577727E-13</v>
      </c>
      <c r="AK175" s="14">
        <f t="shared" si="164"/>
        <v>2.2038482767263348E-12</v>
      </c>
      <c r="AL175" s="22">
        <f t="shared" si="165"/>
        <v>4.107100892103012E-12</v>
      </c>
      <c r="AM175" s="62">
        <f t="shared" si="113"/>
        <v>293.33333333333741</v>
      </c>
      <c r="AN175" s="62">
        <f ca="1">AVERAGE(OFFSET($AM$3,0,0,'Données projet'!$E$10+1,1))-AVERAGE(OFFSET($H$3,0,0,'Données projet'!$E$10+1,1))</f>
        <v>371.75294069149942</v>
      </c>
      <c r="AO175" s="62">
        <f t="shared" si="144"/>
        <v>233.32640143610547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5.2643526451354443E-2</v>
      </c>
      <c r="AW175" s="23">
        <f>EXP(-LN(2)/2)*AW174+(1-EXP(-LN(2)/2))/(LN(2)/2)*AQ175*AT175*VLOOKUP('Données projet'!$B$10,Paramètres!$A$1:$I$89,3,0)*0.475*44/12</f>
        <v>5.3148930244388459E-21</v>
      </c>
      <c r="AX175" s="23">
        <f t="shared" si="166"/>
        <v>5.2643526451354443E-2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-1.9065282685915009E-13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555.15881087162279</v>
      </c>
      <c r="BJ175" s="62">
        <f t="shared" si="146"/>
        <v>668.20427590250733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1.7215475918753109</v>
      </c>
      <c r="BQ175" s="23">
        <f>EXP(-LN(2)/25)*BQ174+(1-EXP(-LN(2)/25))/(LN(2)/25)*Calculateur!BL175*Calculateur!BN175*VLOOKUP('Données projet'!$B$11,Paramètres!$A$1:$I$89,3,0)*0.475*44/12</f>
        <v>0.44140156128044483</v>
      </c>
      <c r="BR175" s="23">
        <f>EXP(-LN(2)/2)*BR174+(1-EXP(-LN(2)/2))/(LN(2)/2)*BL175*BO175*VLOOKUP('Données projet'!$B$11,Paramètres!$A$1:$I$89,3,0)*0.475*44/12</f>
        <v>5.857950835244671E-21</v>
      </c>
      <c r="BS175" s="24">
        <f t="shared" si="169"/>
        <v>2.1629491531557559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-5.4092197387944907E-14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293.996396026019</v>
      </c>
      <c r="CE175" s="62">
        <f t="shared" si="148"/>
        <v>152.23954167722536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303.33040062722074</v>
      </c>
      <c r="T176" s="62">
        <f t="shared" si="142"/>
        <v>425.30058672361548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0.64197348913695218</v>
      </c>
      <c r="AB176" s="23">
        <f>EXP(-LN(2)/2)*AB175+(1-EXP(-LN(2)/2))/(LN(2)/2)*V176*Y176*VLOOKUP('Données projet'!$B$9,Paramètres!$A$1:$I$89,3,0)*0.475*44/12</f>
        <v>4.8771905250155747E-21</v>
      </c>
      <c r="AC176" s="24">
        <f t="shared" si="163"/>
        <v>0.64197348913695218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1.5429577615577727E-13</v>
      </c>
      <c r="AK176" s="14">
        <f t="shared" si="164"/>
        <v>2.2038482767263348E-12</v>
      </c>
      <c r="AL176" s="22">
        <f t="shared" si="165"/>
        <v>4.107100892103012E-12</v>
      </c>
      <c r="AM176" s="62">
        <f t="shared" si="113"/>
        <v>293.33333333333741</v>
      </c>
      <c r="AN176" s="62">
        <f ca="1">AVERAGE(OFFSET($AM$3,0,0,'Données projet'!$E$10+1,1))-AVERAGE(OFFSET($H$3,0,0,'Données projet'!$E$10+1,1))</f>
        <v>371.75294069149942</v>
      </c>
      <c r="AO176" s="62">
        <f t="shared" si="144"/>
        <v>233.32640143610547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5.1203986452139416E-2</v>
      </c>
      <c r="AW176" s="23">
        <f>EXP(-LN(2)/2)*AW175+(1-EXP(-LN(2)/2))/(LN(2)/2)*AQ176*AT176*VLOOKUP('Données projet'!$B$10,Paramètres!$A$1:$I$89,3,0)*0.475*44/12</f>
        <v>3.7581968988617868E-21</v>
      </c>
      <c r="AX176" s="23">
        <f t="shared" si="166"/>
        <v>5.1203986452139416E-2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-1.9065282685915009E-13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555.15881087162279</v>
      </c>
      <c r="BJ176" s="62">
        <f t="shared" si="146"/>
        <v>668.20427590250733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1.6877890936389843</v>
      </c>
      <c r="BQ176" s="23">
        <f>EXP(-LN(2)/25)*BQ175+(1-EXP(-LN(2)/25))/(LN(2)/25)*Calculateur!BL176*Calculateur!BN176*VLOOKUP('Données projet'!$B$11,Paramètres!$A$1:$I$89,3,0)*0.475*44/12</f>
        <v>0.42933141237493178</v>
      </c>
      <c r="BR176" s="23">
        <f>EXP(-LN(2)/2)*BR175+(1-EXP(-LN(2)/2))/(LN(2)/2)*BL176*BO176*VLOOKUP('Données projet'!$B$11,Paramètres!$A$1:$I$89,3,0)*0.475*44/12</f>
        <v>4.1421967594589068E-21</v>
      </c>
      <c r="BS176" s="24">
        <f t="shared" si="169"/>
        <v>2.117120506013916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-5.4092197387944907E-14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293.996396026019</v>
      </c>
      <c r="CE176" s="62">
        <f t="shared" si="148"/>
        <v>152.23954167722536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303.33040062722074</v>
      </c>
      <c r="T177" s="62">
        <f t="shared" si="142"/>
        <v>425.30058672361548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0.6244186903165837</v>
      </c>
      <c r="AB177" s="23">
        <f>EXP(-LN(2)/2)*AB176+(1-EXP(-LN(2)/2))/(LN(2)/2)*V177*Y177*VLOOKUP('Données projet'!$B$9,Paramètres!$A$1:$I$89,3,0)*0.475*44/12</f>
        <v>3.4486944933772907E-21</v>
      </c>
      <c r="AC177" s="24">
        <f t="shared" si="163"/>
        <v>0.6244186903165837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1.5429577615577727E-13</v>
      </c>
      <c r="AK177" s="14">
        <f t="shared" si="164"/>
        <v>2.2038482767263348E-12</v>
      </c>
      <c r="AL177" s="22">
        <f t="shared" si="165"/>
        <v>4.107100892103012E-12</v>
      </c>
      <c r="AM177" s="62">
        <f t="shared" si="113"/>
        <v>293.33333333333741</v>
      </c>
      <c r="AN177" s="62">
        <f ca="1">AVERAGE(OFFSET($AM$3,0,0,'Données projet'!$E$10+1,1))-AVERAGE(OFFSET($H$3,0,0,'Données projet'!$E$10+1,1))</f>
        <v>371.75294069149942</v>
      </c>
      <c r="AO177" s="62">
        <f t="shared" si="144"/>
        <v>233.32640143610547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4.9803810749905045E-2</v>
      </c>
      <c r="AW177" s="23">
        <f>EXP(-LN(2)/2)*AW176+(1-EXP(-LN(2)/2))/(LN(2)/2)*AQ177*AT177*VLOOKUP('Données projet'!$B$10,Paramètres!$A$1:$I$89,3,0)*0.475*44/12</f>
        <v>2.6574465122194229E-21</v>
      </c>
      <c r="AX177" s="23">
        <f t="shared" si="166"/>
        <v>4.9803810749905045E-2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-1.9065282685915009E-13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555.15881087162279</v>
      </c>
      <c r="BJ177" s="62">
        <f t="shared" si="146"/>
        <v>668.20427590250733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1.6546925789624212</v>
      </c>
      <c r="BQ177" s="23">
        <f>EXP(-LN(2)/25)*BQ176+(1-EXP(-LN(2)/25))/(LN(2)/25)*Calculateur!BL177*Calculateur!BN177*VLOOKUP('Données projet'!$B$11,Paramètres!$A$1:$I$89,3,0)*0.475*44/12</f>
        <v>0.41759132232598156</v>
      </c>
      <c r="BR177" s="23">
        <f>EXP(-LN(2)/2)*BR176+(1-EXP(-LN(2)/2))/(LN(2)/2)*BL177*BO177*VLOOKUP('Données projet'!$B$11,Paramètres!$A$1:$I$89,3,0)*0.475*44/12</f>
        <v>2.9289754176223355E-21</v>
      </c>
      <c r="BS177" s="24">
        <f t="shared" si="169"/>
        <v>2.0722839012884027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-5.4092197387944907E-14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293.996396026019</v>
      </c>
      <c r="CE177" s="62">
        <f t="shared" si="148"/>
        <v>152.23954167722536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303.33040062722074</v>
      </c>
      <c r="T178" s="62">
        <f t="shared" si="142"/>
        <v>425.30058672361548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0.6073439283931249</v>
      </c>
      <c r="AB178" s="23">
        <f>EXP(-LN(2)/2)*AB177+(1-EXP(-LN(2)/2))/(LN(2)/2)*V178*Y178*VLOOKUP('Données projet'!$B$9,Paramètres!$A$1:$I$89,3,0)*0.475*44/12</f>
        <v>2.4385952625077874E-21</v>
      </c>
      <c r="AC178" s="24">
        <f t="shared" si="163"/>
        <v>0.6073439283931249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1.5429577615577727E-13</v>
      </c>
      <c r="AK178" s="14">
        <f t="shared" si="164"/>
        <v>2.2038482767263348E-12</v>
      </c>
      <c r="AL178" s="22">
        <f t="shared" si="165"/>
        <v>4.107100892103012E-12</v>
      </c>
      <c r="AM178" s="62">
        <f t="shared" si="113"/>
        <v>293.33333333333741</v>
      </c>
      <c r="AN178" s="62">
        <f ca="1">AVERAGE(OFFSET($AM$3,0,0,'Données projet'!$E$10+1,1))-AVERAGE(OFFSET($H$3,0,0,'Données projet'!$E$10+1,1))</f>
        <v>371.75294069149942</v>
      </c>
      <c r="AO178" s="62">
        <f t="shared" si="144"/>
        <v>233.32640143610547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4.8441922925880315E-2</v>
      </c>
      <c r="AW178" s="23">
        <f>EXP(-LN(2)/2)*AW177+(1-EXP(-LN(2)/2))/(LN(2)/2)*AQ178*AT178*VLOOKUP('Données projet'!$B$10,Paramètres!$A$1:$I$89,3,0)*0.475*44/12</f>
        <v>1.8790984494308934E-21</v>
      </c>
      <c r="AX178" s="23">
        <f t="shared" si="166"/>
        <v>4.8441922925880315E-2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-1.9065282685915009E-13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555.15881087162279</v>
      </c>
      <c r="BJ178" s="62">
        <f t="shared" si="146"/>
        <v>668.20427590250733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1.6222450667517849</v>
      </c>
      <c r="BQ178" s="23">
        <f>EXP(-LN(2)/25)*BQ177+(1-EXP(-LN(2)/25))/(LN(2)/25)*Calculateur!BL178*Calculateur!BN178*VLOOKUP('Données projet'!$B$11,Paramètres!$A$1:$I$89,3,0)*0.475*44/12</f>
        <v>0.40617226565680437</v>
      </c>
      <c r="BR178" s="23">
        <f>EXP(-LN(2)/2)*BR177+(1-EXP(-LN(2)/2))/(LN(2)/2)*BL178*BO178*VLOOKUP('Données projet'!$B$11,Paramètres!$A$1:$I$89,3,0)*0.475*44/12</f>
        <v>2.0710983797294534E-21</v>
      </c>
      <c r="BS178" s="24">
        <f t="shared" si="169"/>
        <v>2.0284173324085892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-5.4092197387944907E-14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293.996396026019</v>
      </c>
      <c r="CE178" s="62">
        <f t="shared" si="148"/>
        <v>152.23954167722536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303.33040062722074</v>
      </c>
      <c r="T179" s="62">
        <f t="shared" si="142"/>
        <v>425.30058672361548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0.59073607673238582</v>
      </c>
      <c r="AB179" s="23">
        <f>EXP(-LN(2)/2)*AB178+(1-EXP(-LN(2)/2))/(LN(2)/2)*V179*Y179*VLOOKUP('Données projet'!$B$9,Paramètres!$A$1:$I$89,3,0)*0.475*44/12</f>
        <v>1.7243472466886454E-21</v>
      </c>
      <c r="AC179" s="24">
        <f t="shared" si="163"/>
        <v>0.59073607673238582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1.5429577615577727E-13</v>
      </c>
      <c r="AK179" s="14">
        <f t="shared" si="164"/>
        <v>2.2038482767263348E-12</v>
      </c>
      <c r="AL179" s="22">
        <f t="shared" si="165"/>
        <v>4.107100892103012E-12</v>
      </c>
      <c r="AM179" s="62">
        <f t="shared" si="113"/>
        <v>293.33333333333741</v>
      </c>
      <c r="AN179" s="62">
        <f ca="1">AVERAGE(OFFSET($AM$3,0,0,'Données projet'!$E$10+1,1))-AVERAGE(OFFSET($H$3,0,0,'Données projet'!$E$10+1,1))</f>
        <v>371.75294069149942</v>
      </c>
      <c r="AO179" s="62">
        <f t="shared" si="144"/>
        <v>233.32640143610547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4.7117275996022105E-2</v>
      </c>
      <c r="AW179" s="23">
        <f>EXP(-LN(2)/2)*AW178+(1-EXP(-LN(2)/2))/(LN(2)/2)*AQ179*AT179*VLOOKUP('Données projet'!$B$10,Paramètres!$A$1:$I$89,3,0)*0.475*44/12</f>
        <v>1.3287232561097115E-21</v>
      </c>
      <c r="AX179" s="23">
        <f t="shared" si="166"/>
        <v>4.7117275996022105E-2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-1.9065282685915009E-13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555.15881087162279</v>
      </c>
      <c r="BJ179" s="62">
        <f t="shared" si="146"/>
        <v>668.20427590250733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1.5904338304645709</v>
      </c>
      <c r="BQ179" s="23">
        <f>EXP(-LN(2)/25)*BQ178+(1-EXP(-LN(2)/25))/(LN(2)/25)*Calculateur!BL179*Calculateur!BN179*VLOOKUP('Données projet'!$B$11,Paramètres!$A$1:$I$89,3,0)*0.475*44/12</f>
        <v>0.39506546369274792</v>
      </c>
      <c r="BR179" s="23">
        <f>EXP(-LN(2)/2)*BR178+(1-EXP(-LN(2)/2))/(LN(2)/2)*BL179*BO179*VLOOKUP('Données projet'!$B$11,Paramètres!$A$1:$I$89,3,0)*0.475*44/12</f>
        <v>1.4644877088111678E-21</v>
      </c>
      <c r="BS179" s="24">
        <f t="shared" si="169"/>
        <v>1.9854992941573189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-5.4092197387944907E-14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293.996396026019</v>
      </c>
      <c r="CE179" s="62">
        <f t="shared" si="148"/>
        <v>152.23954167722536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303.33040062722074</v>
      </c>
      <c r="T180" s="62">
        <f t="shared" si="142"/>
        <v>425.30058672361548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0.57458236764867865</v>
      </c>
      <c r="AB180" s="23">
        <f>EXP(-LN(2)/2)*AB179+(1-EXP(-LN(2)/2))/(LN(2)/2)*V180*Y180*VLOOKUP('Données projet'!$B$9,Paramètres!$A$1:$I$89,3,0)*0.475*44/12</f>
        <v>1.2192976312538937E-21</v>
      </c>
      <c r="AC180" s="24">
        <f t="shared" si="163"/>
        <v>0.57458236764867865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1.5429577615577727E-13</v>
      </c>
      <c r="AK180" s="14">
        <f t="shared" si="164"/>
        <v>2.2038482767263348E-12</v>
      </c>
      <c r="AL180" s="22">
        <f t="shared" si="165"/>
        <v>4.107100892103012E-12</v>
      </c>
      <c r="AM180" s="62">
        <f t="shared" si="113"/>
        <v>293.33333333333741</v>
      </c>
      <c r="AN180" s="62">
        <f ca="1">AVERAGE(OFFSET($AM$3,0,0,'Données projet'!$E$10+1,1))-AVERAGE(OFFSET($H$3,0,0,'Données projet'!$E$10+1,1))</f>
        <v>371.75294069149942</v>
      </c>
      <c r="AO180" s="62">
        <f t="shared" si="144"/>
        <v>233.32640143610547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4.5828851606121025E-2</v>
      </c>
      <c r="AW180" s="23">
        <f>EXP(-LN(2)/2)*AW179+(1-EXP(-LN(2)/2))/(LN(2)/2)*AQ180*AT180*VLOOKUP('Données projet'!$B$10,Paramètres!$A$1:$I$89,3,0)*0.475*44/12</f>
        <v>9.3954922471544669E-22</v>
      </c>
      <c r="AX180" s="23">
        <f t="shared" si="166"/>
        <v>4.5828851606121025E-2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-1.9065282685915009E-13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555.15881087162279</v>
      </c>
      <c r="BJ180" s="62">
        <f t="shared" si="146"/>
        <v>668.20427590250733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1.5592463931180109</v>
      </c>
      <c r="BQ180" s="23">
        <f>EXP(-LN(2)/25)*BQ179+(1-EXP(-LN(2)/25))/(LN(2)/25)*Calculateur!BL180*Calculateur!BN180*VLOOKUP('Données projet'!$B$11,Paramètres!$A$1:$I$89,3,0)*0.475*44/12</f>
        <v>0.3842623778124799</v>
      </c>
      <c r="BR180" s="23">
        <f>EXP(-LN(2)/2)*BR179+(1-EXP(-LN(2)/2))/(LN(2)/2)*BL180*BO180*VLOOKUP('Données projet'!$B$11,Paramètres!$A$1:$I$89,3,0)*0.475*44/12</f>
        <v>1.0355491898647267E-21</v>
      </c>
      <c r="BS180" s="24">
        <f t="shared" si="169"/>
        <v>1.9435087709304908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-5.4092197387944907E-14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293.996396026019</v>
      </c>
      <c r="CE180" s="62">
        <f t="shared" si="148"/>
        <v>152.23954167722536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303.33040062722074</v>
      </c>
      <c r="T181" s="62">
        <f t="shared" si="142"/>
        <v>425.30058672361548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0.55887038258935207</v>
      </c>
      <c r="AB181" s="23">
        <f>EXP(-LN(2)/2)*AB180+(1-EXP(-LN(2)/2))/(LN(2)/2)*V181*Y181*VLOOKUP('Données projet'!$B$9,Paramètres!$A$1:$I$89,3,0)*0.475*44/12</f>
        <v>8.6217362334432269E-22</v>
      </c>
      <c r="AC181" s="24">
        <f t="shared" si="163"/>
        <v>0.55887038258935207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1.5429577615577727E-13</v>
      </c>
      <c r="AK181" s="14">
        <f t="shared" si="164"/>
        <v>2.2038482767263348E-12</v>
      </c>
      <c r="AL181" s="22">
        <f t="shared" si="165"/>
        <v>4.107100892103012E-12</v>
      </c>
      <c r="AM181" s="62">
        <f t="shared" si="113"/>
        <v>293.33333333333741</v>
      </c>
      <c r="AN181" s="62">
        <f ca="1">AVERAGE(OFFSET($AM$3,0,0,'Données projet'!$E$10+1,1))-AVERAGE(OFFSET($H$3,0,0,'Données projet'!$E$10+1,1))</f>
        <v>371.75294069149942</v>
      </c>
      <c r="AO181" s="62">
        <f t="shared" si="144"/>
        <v>233.32640143610547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4.4575659248917085E-2</v>
      </c>
      <c r="AW181" s="23">
        <f>EXP(-LN(2)/2)*AW180+(1-EXP(-LN(2)/2))/(LN(2)/2)*AQ181*AT181*VLOOKUP('Données projet'!$B$10,Paramètres!$A$1:$I$89,3,0)*0.475*44/12</f>
        <v>6.6436162805485573E-22</v>
      </c>
      <c r="AX181" s="23">
        <f t="shared" si="166"/>
        <v>4.4575659248917085E-2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-1.9065282685915009E-13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555.15881087162279</v>
      </c>
      <c r="BJ181" s="62">
        <f t="shared" si="146"/>
        <v>668.20427590250733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1.5286705223953585</v>
      </c>
      <c r="BQ181" s="23">
        <f>EXP(-LN(2)/25)*BQ180+(1-EXP(-LN(2)/25))/(LN(2)/25)*Calculateur!BL181*Calculateur!BN181*VLOOKUP('Données projet'!$B$11,Paramètres!$A$1:$I$89,3,0)*0.475*44/12</f>
        <v>0.37375470288371743</v>
      </c>
      <c r="BR181" s="23">
        <f>EXP(-LN(2)/2)*BR180+(1-EXP(-LN(2)/2))/(LN(2)/2)*BL181*BO181*VLOOKUP('Données projet'!$B$11,Paramètres!$A$1:$I$89,3,0)*0.475*44/12</f>
        <v>7.3224385440558388E-22</v>
      </c>
      <c r="BS181" s="24">
        <f t="shared" si="169"/>
        <v>1.9024252252790759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-5.4092197387944907E-14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293.996396026019</v>
      </c>
      <c r="CE181" s="62">
        <f t="shared" si="148"/>
        <v>152.23954167722536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303.33040062722074</v>
      </c>
      <c r="T182" s="62">
        <f t="shared" si="142"/>
        <v>425.30058672361548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0.54358804258773008</v>
      </c>
      <c r="AB182" s="23">
        <f>EXP(-LN(2)/2)*AB181+(1-EXP(-LN(2)/2))/(LN(2)/2)*V182*Y182*VLOOKUP('Données projet'!$B$9,Paramètres!$A$1:$I$89,3,0)*0.475*44/12</f>
        <v>6.0964881562694684E-22</v>
      </c>
      <c r="AC182" s="24">
        <f t="shared" si="163"/>
        <v>0.54358804258773008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1.5429577615577727E-13</v>
      </c>
      <c r="AK182" s="14">
        <f t="shared" si="164"/>
        <v>2.2038482767263348E-12</v>
      </c>
      <c r="AL182" s="22">
        <f t="shared" si="165"/>
        <v>4.107100892103012E-12</v>
      </c>
      <c r="AM182" s="62">
        <f t="shared" si="113"/>
        <v>293.33333333333741</v>
      </c>
      <c r="AN182" s="62">
        <f ca="1">AVERAGE(OFFSET($AM$3,0,0,'Données projet'!$E$10+1,1))-AVERAGE(OFFSET($H$3,0,0,'Données projet'!$E$10+1,1))</f>
        <v>371.75294069149942</v>
      </c>
      <c r="AO182" s="62">
        <f t="shared" si="144"/>
        <v>233.32640143610547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4.3356735502623409E-2</v>
      </c>
      <c r="AW182" s="23">
        <f>EXP(-LN(2)/2)*AW181+(1-EXP(-LN(2)/2))/(LN(2)/2)*AQ182*AT182*VLOOKUP('Données projet'!$B$10,Paramètres!$A$1:$I$89,3,0)*0.475*44/12</f>
        <v>4.6977461235772335E-22</v>
      </c>
      <c r="AX182" s="23">
        <f t="shared" si="166"/>
        <v>4.3356735502623409E-2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-1.9065282685915009E-13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555.15881087162279</v>
      </c>
      <c r="BJ182" s="62">
        <f t="shared" si="146"/>
        <v>668.20427590250733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1.4986942258481377</v>
      </c>
      <c r="BQ182" s="23">
        <f>EXP(-LN(2)/25)*BQ181+(1-EXP(-LN(2)/25))/(LN(2)/25)*Calculateur!BL182*Calculateur!BN182*VLOOKUP('Données projet'!$B$11,Paramètres!$A$1:$I$89,3,0)*0.475*44/12</f>
        <v>0.36353436087845659</v>
      </c>
      <c r="BR182" s="23">
        <f>EXP(-LN(2)/2)*BR181+(1-EXP(-LN(2)/2))/(LN(2)/2)*BL182*BO182*VLOOKUP('Données projet'!$B$11,Paramètres!$A$1:$I$89,3,0)*0.475*44/12</f>
        <v>5.1777459493236335E-22</v>
      </c>
      <c r="BS182" s="24">
        <f t="shared" si="169"/>
        <v>1.8622285867265944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-5.4092197387944907E-14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293.996396026019</v>
      </c>
      <c r="CE182" s="62">
        <f t="shared" si="148"/>
        <v>152.23954167722536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303.33040062722074</v>
      </c>
      <c r="T183" s="62">
        <f t="shared" si="142"/>
        <v>425.30058672361548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0.52872359897711585</v>
      </c>
      <c r="AB183" s="23">
        <f>EXP(-LN(2)/2)*AB182+(1-EXP(-LN(2)/2))/(LN(2)/2)*V183*Y183*VLOOKUP('Données projet'!$B$9,Paramètres!$A$1:$I$89,3,0)*0.475*44/12</f>
        <v>4.3108681167216134E-22</v>
      </c>
      <c r="AC183" s="24">
        <f t="shared" si="163"/>
        <v>0.52872359897711585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1.5429577615577727E-13</v>
      </c>
      <c r="AK183" s="14">
        <f t="shared" si="164"/>
        <v>2.2038482767263348E-12</v>
      </c>
      <c r="AL183" s="22">
        <f t="shared" si="165"/>
        <v>4.107100892103012E-12</v>
      </c>
      <c r="AM183" s="62">
        <f t="shared" si="113"/>
        <v>293.33333333333741</v>
      </c>
      <c r="AN183" s="62">
        <f ca="1">AVERAGE(OFFSET($AM$3,0,0,'Données projet'!$E$10+1,1))-AVERAGE(OFFSET($H$3,0,0,'Données projet'!$E$10+1,1))</f>
        <v>371.75294069149942</v>
      </c>
      <c r="AO183" s="62">
        <f t="shared" si="144"/>
        <v>233.32640143610547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4.2171143290272543E-2</v>
      </c>
      <c r="AW183" s="23">
        <f>EXP(-LN(2)/2)*AW182+(1-EXP(-LN(2)/2))/(LN(2)/2)*AQ183*AT183*VLOOKUP('Données projet'!$B$10,Paramètres!$A$1:$I$89,3,0)*0.475*44/12</f>
        <v>3.3218081402742787E-22</v>
      </c>
      <c r="AX183" s="23">
        <f t="shared" si="166"/>
        <v>4.2171143290272543E-2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-1.9065282685915009E-13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555.15881087162279</v>
      </c>
      <c r="BJ183" s="62">
        <f t="shared" si="146"/>
        <v>668.20427590250733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1.4693057461924723</v>
      </c>
      <c r="BQ183" s="23">
        <f>EXP(-LN(2)/25)*BQ182+(1-EXP(-LN(2)/25))/(LN(2)/25)*Calculateur!BL183*Calculateur!BN183*VLOOKUP('Données projet'!$B$11,Paramètres!$A$1:$I$89,3,0)*0.475*44/12</f>
        <v>0.35359349466279399</v>
      </c>
      <c r="BR183" s="23">
        <f>EXP(-LN(2)/2)*BR182+(1-EXP(-LN(2)/2))/(LN(2)/2)*BL183*BO183*VLOOKUP('Données projet'!$B$11,Paramètres!$A$1:$I$89,3,0)*0.475*44/12</f>
        <v>3.6612192720279194E-22</v>
      </c>
      <c r="BS183" s="24">
        <f t="shared" si="169"/>
        <v>1.8228992408552664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-5.4092197387944907E-14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293.996396026019</v>
      </c>
      <c r="CE183" s="62">
        <f t="shared" si="148"/>
        <v>152.23954167722536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303.33040062722074</v>
      </c>
      <c r="T184" s="62">
        <f t="shared" si="142"/>
        <v>425.30058672361548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0.51426562435872092</v>
      </c>
      <c r="AB184" s="23">
        <f>EXP(-LN(2)/2)*AB183+(1-EXP(-LN(2)/2))/(LN(2)/2)*V184*Y184*VLOOKUP('Données projet'!$B$9,Paramètres!$A$1:$I$89,3,0)*0.475*44/12</f>
        <v>3.0482440781347342E-22</v>
      </c>
      <c r="AC184" s="24">
        <f t="shared" si="163"/>
        <v>0.51426562435872092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1.5429577615577727E-13</v>
      </c>
      <c r="AK184" s="14">
        <f t="shared" si="164"/>
        <v>2.2038482767263348E-12</v>
      </c>
      <c r="AL184" s="22">
        <f t="shared" si="165"/>
        <v>4.107100892103012E-12</v>
      </c>
      <c r="AM184" s="62">
        <f t="shared" si="113"/>
        <v>293.33333333333741</v>
      </c>
      <c r="AN184" s="62">
        <f ca="1">AVERAGE(OFFSET($AM$3,0,0,'Données projet'!$E$10+1,1))-AVERAGE(OFFSET($H$3,0,0,'Données projet'!$E$10+1,1))</f>
        <v>371.75294069149942</v>
      </c>
      <c r="AO184" s="62">
        <f t="shared" si="144"/>
        <v>233.32640143610547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4.1017971159315998E-2</v>
      </c>
      <c r="AW184" s="23">
        <f>EXP(-LN(2)/2)*AW183+(1-EXP(-LN(2)/2))/(LN(2)/2)*AQ184*AT184*VLOOKUP('Données projet'!$B$10,Paramètres!$A$1:$I$89,3,0)*0.475*44/12</f>
        <v>2.3488730617886167E-22</v>
      </c>
      <c r="AX184" s="23">
        <f t="shared" si="166"/>
        <v>4.1017971159315998E-2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-1.9065282685915009E-13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555.15881087162279</v>
      </c>
      <c r="BJ184" s="62">
        <f t="shared" si="146"/>
        <v>668.20427590250733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1.440493556697652</v>
      </c>
      <c r="BQ184" s="23">
        <f>EXP(-LN(2)/25)*BQ183+(1-EXP(-LN(2)/25))/(LN(2)/25)*Calculateur!BL184*Calculateur!BN184*VLOOKUP('Données projet'!$B$11,Paramètres!$A$1:$I$89,3,0)*0.475*44/12</f>
        <v>0.34392446195656617</v>
      </c>
      <c r="BR184" s="23">
        <f>EXP(-LN(2)/2)*BR183+(1-EXP(-LN(2)/2))/(LN(2)/2)*BL184*BO184*VLOOKUP('Données projet'!$B$11,Paramètres!$A$1:$I$89,3,0)*0.475*44/12</f>
        <v>2.5888729746618168E-22</v>
      </c>
      <c r="BS184" s="24">
        <f t="shared" si="169"/>
        <v>1.7844180186542182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-5.4092197387944907E-14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293.996396026019</v>
      </c>
      <c r="CE184" s="62">
        <f t="shared" si="148"/>
        <v>152.23954167722536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303.33040062722074</v>
      </c>
      <c r="T185" s="62">
        <f t="shared" si="142"/>
        <v>425.30058672361548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0.5002030038165779</v>
      </c>
      <c r="AB185" s="23">
        <f>EXP(-LN(2)/2)*AB184+(1-EXP(-LN(2)/2))/(LN(2)/2)*V185*Y185*VLOOKUP('Données projet'!$B$9,Paramètres!$A$1:$I$89,3,0)*0.475*44/12</f>
        <v>2.1554340583608067E-22</v>
      </c>
      <c r="AC185" s="24">
        <f t="shared" si="163"/>
        <v>0.5002030038165779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1.5429577615577727E-13</v>
      </c>
      <c r="AK185" s="14">
        <f t="shared" si="164"/>
        <v>2.2038482767263348E-12</v>
      </c>
      <c r="AL185" s="22">
        <f t="shared" si="165"/>
        <v>4.107100892103012E-12</v>
      </c>
      <c r="AM185" s="62">
        <f t="shared" si="113"/>
        <v>293.33333333333741</v>
      </c>
      <c r="AN185" s="62">
        <f ca="1">AVERAGE(OFFSET($AM$3,0,0,'Données projet'!$E$10+1,1))-AVERAGE(OFFSET($H$3,0,0,'Données projet'!$E$10+1,1))</f>
        <v>371.75294069149942</v>
      </c>
      <c r="AO185" s="62">
        <f t="shared" si="144"/>
        <v>233.32640143610547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3.9896332580923149E-2</v>
      </c>
      <c r="AW185" s="23">
        <f>EXP(-LN(2)/2)*AW184+(1-EXP(-LN(2)/2))/(LN(2)/2)*AQ185*AT185*VLOOKUP('Données projet'!$B$10,Paramètres!$A$1:$I$89,3,0)*0.475*44/12</f>
        <v>1.6609040701371393E-22</v>
      </c>
      <c r="AX185" s="23">
        <f t="shared" si="166"/>
        <v>3.9896332580923149E-2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-1.9065282685915009E-13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555.15881087162279</v>
      </c>
      <c r="BJ185" s="62">
        <f t="shared" si="146"/>
        <v>668.20427590250733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1.4122463566651247</v>
      </c>
      <c r="BQ185" s="23">
        <f>EXP(-LN(2)/25)*BQ184+(1-EXP(-LN(2)/25))/(LN(2)/25)*Calculateur!BL185*Calculateur!BN185*VLOOKUP('Données projet'!$B$11,Paramètres!$A$1:$I$89,3,0)*0.475*44/12</f>
        <v>0.33451982945816244</v>
      </c>
      <c r="BR185" s="23">
        <f>EXP(-LN(2)/2)*BR184+(1-EXP(-LN(2)/2))/(LN(2)/2)*BL185*BO185*VLOOKUP('Données projet'!$B$11,Paramètres!$A$1:$I$89,3,0)*0.475*44/12</f>
        <v>1.8306096360139597E-22</v>
      </c>
      <c r="BS185" s="24">
        <f t="shared" si="169"/>
        <v>1.746766186123287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-5.4092197387944907E-14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293.996396026019</v>
      </c>
      <c r="CE185" s="62">
        <f t="shared" si="148"/>
        <v>152.23954167722536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303.33040062722074</v>
      </c>
      <c r="T186" s="62">
        <f t="shared" si="142"/>
        <v>425.30058672361548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0.48652492637268085</v>
      </c>
      <c r="AB186" s="23">
        <f>EXP(-LN(2)/2)*AB185+(1-EXP(-LN(2)/2))/(LN(2)/2)*V186*Y186*VLOOKUP('Données projet'!$B$9,Paramètres!$A$1:$I$89,3,0)*0.475*44/12</f>
        <v>1.5241220390673671E-22</v>
      </c>
      <c r="AC186" s="24">
        <f t="shared" si="163"/>
        <v>0.48652492637268085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1.5429577615577727E-13</v>
      </c>
      <c r="AK186" s="14">
        <f t="shared" si="164"/>
        <v>2.2038482767263348E-12</v>
      </c>
      <c r="AL186" s="22">
        <f t="shared" si="165"/>
        <v>4.107100892103012E-12</v>
      </c>
      <c r="AM186" s="62">
        <f t="shared" si="113"/>
        <v>293.33333333333741</v>
      </c>
      <c r="AN186" s="62">
        <f ca="1">AVERAGE(OFFSET($AM$3,0,0,'Données projet'!$E$10+1,1))-AVERAGE(OFFSET($H$3,0,0,'Données projet'!$E$10+1,1))</f>
        <v>371.75294069149942</v>
      </c>
      <c r="AO186" s="62">
        <f t="shared" si="144"/>
        <v>233.32640143610547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3.8805365268440861E-2</v>
      </c>
      <c r="AW186" s="23">
        <f>EXP(-LN(2)/2)*AW185+(1-EXP(-LN(2)/2))/(LN(2)/2)*AQ186*AT186*VLOOKUP('Données projet'!$B$10,Paramètres!$A$1:$I$89,3,0)*0.475*44/12</f>
        <v>1.1744365308943084E-22</v>
      </c>
      <c r="AX186" s="23">
        <f t="shared" si="166"/>
        <v>3.8805365268440861E-2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-1.9065282685915009E-13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555.15881087162279</v>
      </c>
      <c r="BJ186" s="62">
        <f t="shared" si="146"/>
        <v>668.20427590250733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1.3845530669961443</v>
      </c>
      <c r="BQ186" s="23">
        <f>EXP(-LN(2)/25)*BQ185+(1-EXP(-LN(2)/25))/(LN(2)/25)*Calculateur!BL186*Calculateur!BN186*VLOOKUP('Données projet'!$B$11,Paramètres!$A$1:$I$89,3,0)*0.475*44/12</f>
        <v>0.32537236712999573</v>
      </c>
      <c r="BR186" s="23">
        <f>EXP(-LN(2)/2)*BR185+(1-EXP(-LN(2)/2))/(LN(2)/2)*BL186*BO186*VLOOKUP('Données projet'!$B$11,Paramètres!$A$1:$I$89,3,0)*0.475*44/12</f>
        <v>1.2944364873309084E-22</v>
      </c>
      <c r="BS186" s="24">
        <f t="shared" si="169"/>
        <v>1.7099254341261401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-5.4092197387944907E-14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293.996396026019</v>
      </c>
      <c r="CE186" s="62">
        <f t="shared" si="148"/>
        <v>152.23954167722536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303.33040062722074</v>
      </c>
      <c r="T187" s="62">
        <f t="shared" si="142"/>
        <v>425.30058672361548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0.473220876675786</v>
      </c>
      <c r="AB187" s="23">
        <f>EXP(-LN(2)/2)*AB186+(1-EXP(-LN(2)/2))/(LN(2)/2)*V187*Y187*VLOOKUP('Données projet'!$B$9,Paramètres!$A$1:$I$89,3,0)*0.475*44/12</f>
        <v>1.0777170291804034E-22</v>
      </c>
      <c r="AC187" s="24">
        <f t="shared" si="163"/>
        <v>0.473220876675786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1.5429577615577727E-13</v>
      </c>
      <c r="AK187" s="14">
        <f t="shared" si="164"/>
        <v>2.2038482767263348E-12</v>
      </c>
      <c r="AL187" s="22">
        <f t="shared" si="165"/>
        <v>4.107100892103012E-12</v>
      </c>
      <c r="AM187" s="62">
        <f t="shared" si="113"/>
        <v>293.33333333333741</v>
      </c>
      <c r="AN187" s="62">
        <f ca="1">AVERAGE(OFFSET($AM$3,0,0,'Données projet'!$E$10+1,1))-AVERAGE(OFFSET($H$3,0,0,'Données projet'!$E$10+1,1))</f>
        <v>371.75294069149942</v>
      </c>
      <c r="AO187" s="62">
        <f t="shared" si="144"/>
        <v>233.32640143610547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3.7744230514489878E-2</v>
      </c>
      <c r="AW187" s="23">
        <f>EXP(-LN(2)/2)*AW186+(1-EXP(-LN(2)/2))/(LN(2)/2)*AQ187*AT187*VLOOKUP('Données projet'!$B$10,Paramètres!$A$1:$I$89,3,0)*0.475*44/12</f>
        <v>8.3045203506856967E-23</v>
      </c>
      <c r="AX187" s="23">
        <f t="shared" si="166"/>
        <v>3.7744230514489878E-2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-1.9065282685915009E-13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555.15881087162279</v>
      </c>
      <c r="BJ187" s="62">
        <f t="shared" si="146"/>
        <v>668.20427590250733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1.357402825846334</v>
      </c>
      <c r="BQ187" s="23">
        <f>EXP(-LN(2)/25)*BQ186+(1-EXP(-LN(2)/25))/(LN(2)/25)*Calculateur!BL187*Calculateur!BN187*VLOOKUP('Données projet'!$B$11,Paramètres!$A$1:$I$89,3,0)*0.475*44/12</f>
        <v>0.31647504264023685</v>
      </c>
      <c r="BR187" s="23">
        <f>EXP(-LN(2)/2)*BR186+(1-EXP(-LN(2)/2))/(LN(2)/2)*BL187*BO187*VLOOKUP('Données projet'!$B$11,Paramètres!$A$1:$I$89,3,0)*0.475*44/12</f>
        <v>9.1530481800697985E-23</v>
      </c>
      <c r="BS187" s="24">
        <f t="shared" si="169"/>
        <v>1.6738778684865707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-5.4092197387944907E-14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293.996396026019</v>
      </c>
      <c r="CE187" s="62">
        <f t="shared" si="148"/>
        <v>152.23954167722536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303.33040062722074</v>
      </c>
      <c r="T188" s="62">
        <f t="shared" si="142"/>
        <v>425.30058672361548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0.46028062691748228</v>
      </c>
      <c r="AB188" s="23">
        <f>EXP(-LN(2)/2)*AB187+(1-EXP(-LN(2)/2))/(LN(2)/2)*V188*Y188*VLOOKUP('Données projet'!$B$9,Paramètres!$A$1:$I$89,3,0)*0.475*44/12</f>
        <v>7.6206101953368355E-23</v>
      </c>
      <c r="AC188" s="24">
        <f t="shared" si="163"/>
        <v>0.46028062691748228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1.5429577615577727E-13</v>
      </c>
      <c r="AK188" s="14">
        <f t="shared" si="164"/>
        <v>2.2038482767263348E-12</v>
      </c>
      <c r="AL188" s="22">
        <f t="shared" si="165"/>
        <v>4.107100892103012E-12</v>
      </c>
      <c r="AM188" s="62">
        <f t="shared" si="113"/>
        <v>293.33333333333741</v>
      </c>
      <c r="AN188" s="62">
        <f ca="1">AVERAGE(OFFSET($AM$3,0,0,'Données projet'!$E$10+1,1))-AVERAGE(OFFSET($H$3,0,0,'Données projet'!$E$10+1,1))</f>
        <v>371.75294069149942</v>
      </c>
      <c r="AO188" s="62">
        <f t="shared" si="144"/>
        <v>233.32640143610547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3.6712112546188336E-2</v>
      </c>
      <c r="AW188" s="23">
        <f>EXP(-LN(2)/2)*AW187+(1-EXP(-LN(2)/2))/(LN(2)/2)*AQ188*AT188*VLOOKUP('Données projet'!$B$10,Paramètres!$A$1:$I$89,3,0)*0.475*44/12</f>
        <v>5.8721826544715418E-23</v>
      </c>
      <c r="AX188" s="23">
        <f t="shared" si="166"/>
        <v>3.6712112546188336E-2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-1.9065282685915009E-13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555.15881087162279</v>
      </c>
      <c r="BJ188" s="62">
        <f t="shared" si="146"/>
        <v>668.20427590250733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1.3307849843654596</v>
      </c>
      <c r="BQ188" s="23">
        <f>EXP(-LN(2)/25)*BQ187+(1-EXP(-LN(2)/25))/(LN(2)/25)*Calculateur!BL188*Calculateur!BN188*VLOOKUP('Données projet'!$B$11,Paramètres!$A$1:$I$89,3,0)*0.475*44/12</f>
        <v>0.30782101595654038</v>
      </c>
      <c r="BR188" s="23">
        <f>EXP(-LN(2)/2)*BR187+(1-EXP(-LN(2)/2))/(LN(2)/2)*BL188*BO188*VLOOKUP('Données projet'!$B$11,Paramètres!$A$1:$I$89,3,0)*0.475*44/12</f>
        <v>6.4721824366545419E-23</v>
      </c>
      <c r="BS188" s="24">
        <f t="shared" si="169"/>
        <v>1.638606000322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-5.4092197387944907E-14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293.996396026019</v>
      </c>
      <c r="CE188" s="62">
        <f t="shared" si="148"/>
        <v>152.23954167722536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303.33040062722074</v>
      </c>
      <c r="T189" s="62">
        <f t="shared" si="142"/>
        <v>425.30058672361548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0.44769422896931754</v>
      </c>
      <c r="AB189" s="23">
        <f>EXP(-LN(2)/2)*AB188+(1-EXP(-LN(2)/2))/(LN(2)/2)*V189*Y189*VLOOKUP('Données projet'!$B$9,Paramètres!$A$1:$I$89,3,0)*0.475*44/12</f>
        <v>5.3885851459020168E-23</v>
      </c>
      <c r="AC189" s="24">
        <f t="shared" si="163"/>
        <v>0.44769422896931754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1.5429577615577727E-13</v>
      </c>
      <c r="AK189" s="14">
        <f t="shared" si="164"/>
        <v>2.2038482767263348E-12</v>
      </c>
      <c r="AL189" s="22">
        <f t="shared" si="165"/>
        <v>4.107100892103012E-12</v>
      </c>
      <c r="AM189" s="62">
        <f t="shared" si="113"/>
        <v>293.33333333333741</v>
      </c>
      <c r="AN189" s="62">
        <f ca="1">AVERAGE(OFFSET($AM$3,0,0,'Données projet'!$E$10+1,1))-AVERAGE(OFFSET($H$3,0,0,'Données projet'!$E$10+1,1))</f>
        <v>371.75294069149942</v>
      </c>
      <c r="AO189" s="62">
        <f t="shared" si="144"/>
        <v>233.32640143610547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3.5708217898006725E-2</v>
      </c>
      <c r="AW189" s="23">
        <f>EXP(-LN(2)/2)*AW188+(1-EXP(-LN(2)/2))/(LN(2)/2)*AQ189*AT189*VLOOKUP('Données projet'!$B$10,Paramètres!$A$1:$I$89,3,0)*0.475*44/12</f>
        <v>4.1522601753428483E-23</v>
      </c>
      <c r="AX189" s="23">
        <f t="shared" si="166"/>
        <v>3.5708217898006725E-2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-1.9065282685915009E-13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555.15881087162279</v>
      </c>
      <c r="BJ189" s="62">
        <f t="shared" si="146"/>
        <v>668.20427590250733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1.3046891025207448</v>
      </c>
      <c r="BQ189" s="23">
        <f>EXP(-LN(2)/25)*BQ188+(1-EXP(-LN(2)/25))/(LN(2)/25)*Calculateur!BL189*Calculateur!BN189*VLOOKUP('Données projet'!$B$11,Paramètres!$A$1:$I$89,3,0)*0.475*44/12</f>
        <v>0.29940363408760506</v>
      </c>
      <c r="BR189" s="23">
        <f>EXP(-LN(2)/2)*BR188+(1-EXP(-LN(2)/2))/(LN(2)/2)*BL189*BO189*VLOOKUP('Données projet'!$B$11,Paramètres!$A$1:$I$89,3,0)*0.475*44/12</f>
        <v>4.5765240900348992E-23</v>
      </c>
      <c r="BS189" s="24">
        <f t="shared" si="169"/>
        <v>1.6040927366083499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-5.4092197387944907E-14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293.996396026019</v>
      </c>
      <c r="CE189" s="62">
        <f t="shared" si="148"/>
        <v>152.23954167722536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303.33040062722074</v>
      </c>
      <c r="T190" s="62">
        <f t="shared" si="142"/>
        <v>425.30058672361548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0.43545200673493528</v>
      </c>
      <c r="AB190" s="23">
        <f>EXP(-LN(2)/2)*AB189+(1-EXP(-LN(2)/2))/(LN(2)/2)*V190*Y190*VLOOKUP('Données projet'!$B$9,Paramètres!$A$1:$I$89,3,0)*0.475*44/12</f>
        <v>3.8103050976684178E-23</v>
      </c>
      <c r="AC190" s="24">
        <f t="shared" si="163"/>
        <v>0.43545200673493528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1.5429577615577727E-13</v>
      </c>
      <c r="AK190" s="14">
        <f t="shared" si="164"/>
        <v>2.2038482767263348E-12</v>
      </c>
      <c r="AL190" s="22">
        <f t="shared" si="165"/>
        <v>4.107100892103012E-12</v>
      </c>
      <c r="AM190" s="62">
        <f t="shared" si="113"/>
        <v>293.33333333333741</v>
      </c>
      <c r="AN190" s="62">
        <f ca="1">AVERAGE(OFFSET($AM$3,0,0,'Données projet'!$E$10+1,1))-AVERAGE(OFFSET($H$3,0,0,'Données projet'!$E$10+1,1))</f>
        <v>371.75294069149942</v>
      </c>
      <c r="AO190" s="62">
        <f t="shared" si="144"/>
        <v>233.32640143610547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3.4731774801772163E-2</v>
      </c>
      <c r="AW190" s="23">
        <f>EXP(-LN(2)/2)*AW189+(1-EXP(-LN(2)/2))/(LN(2)/2)*AQ190*AT190*VLOOKUP('Données projet'!$B$10,Paramètres!$A$1:$I$89,3,0)*0.475*44/12</f>
        <v>2.9360913272357709E-23</v>
      </c>
      <c r="AX190" s="23">
        <f t="shared" si="166"/>
        <v>3.4731774801772163E-2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-1.9065282685915009E-13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555.15881087162279</v>
      </c>
      <c r="BJ190" s="62">
        <f t="shared" si="146"/>
        <v>668.20427590250733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1.2791049450020886</v>
      </c>
      <c r="BQ190" s="23">
        <f>EXP(-LN(2)/25)*BQ189+(1-EXP(-LN(2)/25))/(LN(2)/25)*Calculateur!BL190*Calculateur!BN190*VLOOKUP('Données projet'!$B$11,Paramètres!$A$1:$I$89,3,0)*0.475*44/12</f>
        <v>0.2912164259685267</v>
      </c>
      <c r="BR190" s="23">
        <f>EXP(-LN(2)/2)*BR189+(1-EXP(-LN(2)/2))/(LN(2)/2)*BL190*BO190*VLOOKUP('Données projet'!$B$11,Paramètres!$A$1:$I$89,3,0)*0.475*44/12</f>
        <v>3.236091218327271E-23</v>
      </c>
      <c r="BS190" s="24">
        <f t="shared" si="169"/>
        <v>1.5703213709706154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-5.4092197387944907E-14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293.996396026019</v>
      </c>
      <c r="CE190" s="62">
        <f t="shared" si="148"/>
        <v>152.23954167722536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303.33040062722074</v>
      </c>
      <c r="T191" s="62">
        <f t="shared" si="142"/>
        <v>425.30058672361548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0.42354454871134267</v>
      </c>
      <c r="AB191" s="23">
        <f>EXP(-LN(2)/2)*AB190+(1-EXP(-LN(2)/2))/(LN(2)/2)*V191*Y191*VLOOKUP('Données projet'!$B$9,Paramètres!$A$1:$I$89,3,0)*0.475*44/12</f>
        <v>2.6942925729510084E-23</v>
      </c>
      <c r="AC191" s="24">
        <f t="shared" si="163"/>
        <v>0.42354454871134267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1.5429577615577727E-13</v>
      </c>
      <c r="AK191" s="14">
        <f t="shared" si="164"/>
        <v>2.2038482767263348E-12</v>
      </c>
      <c r="AL191" s="22">
        <f t="shared" si="165"/>
        <v>4.107100892103012E-12</v>
      </c>
      <c r="AM191" s="62">
        <f t="shared" si="113"/>
        <v>293.33333333333741</v>
      </c>
      <c r="AN191" s="62">
        <f ca="1">AVERAGE(OFFSET($AM$3,0,0,'Données projet'!$E$10+1,1))-AVERAGE(OFFSET($H$3,0,0,'Données projet'!$E$10+1,1))</f>
        <v>371.75294069149942</v>
      </c>
      <c r="AO191" s="62">
        <f t="shared" si="144"/>
        <v>233.32640143610547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3.3782032593353044E-2</v>
      </c>
      <c r="AW191" s="23">
        <f>EXP(-LN(2)/2)*AW190+(1-EXP(-LN(2)/2))/(LN(2)/2)*AQ191*AT191*VLOOKUP('Données projet'!$B$10,Paramètres!$A$1:$I$89,3,0)*0.475*44/12</f>
        <v>2.0761300876714242E-23</v>
      </c>
      <c r="AX191" s="23">
        <f t="shared" si="166"/>
        <v>3.3782032593353044E-2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-1.9065282685915009E-13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555.15881087162279</v>
      </c>
      <c r="BJ191" s="62">
        <f t="shared" si="146"/>
        <v>668.20427590250733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1.2540224772075781</v>
      </c>
      <c r="BQ191" s="23">
        <f>EXP(-LN(2)/25)*BQ190+(1-EXP(-LN(2)/25))/(LN(2)/25)*Calculateur!BL191*Calculateur!BN191*VLOOKUP('Données projet'!$B$11,Paramètres!$A$1:$I$89,3,0)*0.475*44/12</f>
        <v>0.28325309748601107</v>
      </c>
      <c r="BR191" s="23">
        <f>EXP(-LN(2)/2)*BR190+(1-EXP(-LN(2)/2))/(LN(2)/2)*BL191*BO191*VLOOKUP('Données projet'!$B$11,Paramètres!$A$1:$I$89,3,0)*0.475*44/12</f>
        <v>2.2882620450174496E-23</v>
      </c>
      <c r="BS191" s="24">
        <f t="shared" si="169"/>
        <v>1.5372755746935891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-5.4092197387944907E-14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293.996396026019</v>
      </c>
      <c r="CE191" s="62">
        <f t="shared" si="148"/>
        <v>152.23954167722536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303.33040062722074</v>
      </c>
      <c r="T192" s="62">
        <f t="shared" si="142"/>
        <v>425.30058672361548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0.4119627007535912</v>
      </c>
      <c r="AB192" s="23">
        <f>EXP(-LN(2)/2)*AB191+(1-EXP(-LN(2)/2))/(LN(2)/2)*V192*Y192*VLOOKUP('Données projet'!$B$9,Paramètres!$A$1:$I$89,3,0)*0.475*44/12</f>
        <v>1.9051525488342089E-23</v>
      </c>
      <c r="AC192" s="24">
        <f t="shared" si="163"/>
        <v>0.4119627007535912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1.5429577615577727E-13</v>
      </c>
      <c r="AK192" s="14">
        <f t="shared" si="164"/>
        <v>2.2038482767263348E-12</v>
      </c>
      <c r="AL192" s="22">
        <f t="shared" si="165"/>
        <v>4.107100892103012E-12</v>
      </c>
      <c r="AM192" s="62">
        <f t="shared" si="113"/>
        <v>293.33333333333741</v>
      </c>
      <c r="AN192" s="62">
        <f ca="1">AVERAGE(OFFSET($AM$3,0,0,'Données projet'!$E$10+1,1))-AVERAGE(OFFSET($H$3,0,0,'Données projet'!$E$10+1,1))</f>
        <v>371.75294069149942</v>
      </c>
      <c r="AO192" s="62">
        <f t="shared" si="144"/>
        <v>233.32640143610547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3.2858261135567918E-2</v>
      </c>
      <c r="AW192" s="23">
        <f>EXP(-LN(2)/2)*AW191+(1-EXP(-LN(2)/2))/(LN(2)/2)*AQ192*AT192*VLOOKUP('Données projet'!$B$10,Paramètres!$A$1:$I$89,3,0)*0.475*44/12</f>
        <v>1.4680456636178855E-23</v>
      </c>
      <c r="AX192" s="23">
        <f t="shared" si="166"/>
        <v>3.2858261135567918E-2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-1.9065282685915009E-13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555.15881087162279</v>
      </c>
      <c r="BJ192" s="62">
        <f t="shared" si="146"/>
        <v>668.20427590250733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1.2294318613077231</v>
      </c>
      <c r="BQ192" s="23">
        <f>EXP(-LN(2)/25)*BQ191+(1-EXP(-LN(2)/25))/(LN(2)/25)*Calculateur!BL192*Calculateur!BN192*VLOOKUP('Données projet'!$B$11,Paramètres!$A$1:$I$89,3,0)*0.475*44/12</f>
        <v>0.27550752663962308</v>
      </c>
      <c r="BR192" s="23">
        <f>EXP(-LN(2)/2)*BR191+(1-EXP(-LN(2)/2))/(LN(2)/2)*BL192*BO192*VLOOKUP('Données projet'!$B$11,Paramètres!$A$1:$I$89,3,0)*0.475*44/12</f>
        <v>1.6180456091636355E-23</v>
      </c>
      <c r="BS192" s="24">
        <f t="shared" si="169"/>
        <v>1.5049393879473461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-5.4092197387944907E-14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293.996396026019</v>
      </c>
      <c r="CE192" s="62">
        <f t="shared" si="148"/>
        <v>152.23954167722536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303.33040062722074</v>
      </c>
      <c r="T193" s="62">
        <f t="shared" si="142"/>
        <v>425.30058672361548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0.40069755903730736</v>
      </c>
      <c r="AB193" s="23">
        <f>EXP(-LN(2)/2)*AB192+(1-EXP(-LN(2)/2))/(LN(2)/2)*V193*Y193*VLOOKUP('Données projet'!$B$9,Paramètres!$A$1:$I$89,3,0)*0.475*44/12</f>
        <v>1.3471462864755042E-23</v>
      </c>
      <c r="AC193" s="24">
        <f t="shared" si="163"/>
        <v>0.40069755903730736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1.5429577615577727E-13</v>
      </c>
      <c r="AK193" s="14">
        <f t="shared" si="164"/>
        <v>2.2038482767263348E-12</v>
      </c>
      <c r="AL193" s="22">
        <f t="shared" si="165"/>
        <v>4.107100892103012E-12</v>
      </c>
      <c r="AM193" s="62">
        <f t="shared" si="113"/>
        <v>293.33333333333741</v>
      </c>
      <c r="AN193" s="62">
        <f ca="1">AVERAGE(OFFSET($AM$3,0,0,'Données projet'!$E$10+1,1))-AVERAGE(OFFSET($H$3,0,0,'Données projet'!$E$10+1,1))</f>
        <v>371.75294069149942</v>
      </c>
      <c r="AO193" s="62">
        <f t="shared" si="144"/>
        <v>233.32640143610547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3.1959750256874961E-2</v>
      </c>
      <c r="AW193" s="23">
        <f>EXP(-LN(2)/2)*AW192+(1-EXP(-LN(2)/2))/(LN(2)/2)*AQ193*AT193*VLOOKUP('Données projet'!$B$10,Paramètres!$A$1:$I$89,3,0)*0.475*44/12</f>
        <v>1.0380650438357121E-23</v>
      </c>
      <c r="AX193" s="23">
        <f t="shared" si="166"/>
        <v>3.1959750256874961E-2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-1.9065282685915009E-13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555.15881087162279</v>
      </c>
      <c r="BJ193" s="62">
        <f t="shared" si="146"/>
        <v>668.20427590250733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1.2053234523868697</v>
      </c>
      <c r="BQ193" s="23">
        <f>EXP(-LN(2)/25)*BQ192+(1-EXP(-LN(2)/25))/(LN(2)/25)*Calculateur!BL193*Calculateur!BN193*VLOOKUP('Données projet'!$B$11,Paramètres!$A$1:$I$89,3,0)*0.475*44/12</f>
        <v>0.26797375883535146</v>
      </c>
      <c r="BR193" s="23">
        <f>EXP(-LN(2)/2)*BR192+(1-EXP(-LN(2)/2))/(LN(2)/2)*BL193*BO193*VLOOKUP('Données projet'!$B$11,Paramètres!$A$1:$I$89,3,0)*0.475*44/12</f>
        <v>1.1441310225087248E-23</v>
      </c>
      <c r="BS193" s="24">
        <f t="shared" si="169"/>
        <v>1.4732972112222211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-5.4092197387944907E-14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293.996396026019</v>
      </c>
      <c r="CE193" s="62">
        <f t="shared" si="148"/>
        <v>152.23954167722536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303.33040062722074</v>
      </c>
      <c r="T194" s="62">
        <f t="shared" si="142"/>
        <v>425.30058672361548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0.38974046321366335</v>
      </c>
      <c r="AB194" s="23">
        <f>EXP(-LN(2)/2)*AB193+(1-EXP(-LN(2)/2))/(LN(2)/2)*V194*Y194*VLOOKUP('Données projet'!$B$9,Paramètres!$A$1:$I$89,3,0)*0.475*44/12</f>
        <v>9.5257627441710444E-24</v>
      </c>
      <c r="AC194" s="24">
        <f t="shared" si="163"/>
        <v>0.38974046321366335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1.5429577615577727E-13</v>
      </c>
      <c r="AK194" s="14">
        <f t="shared" si="164"/>
        <v>2.2038482767263348E-12</v>
      </c>
      <c r="AL194" s="22">
        <f t="shared" si="165"/>
        <v>4.107100892103012E-12</v>
      </c>
      <c r="AM194" s="62">
        <f t="shared" si="113"/>
        <v>293.33333333333741</v>
      </c>
      <c r="AN194" s="62">
        <f ca="1">AVERAGE(OFFSET($AM$3,0,0,'Données projet'!$E$10+1,1))-AVERAGE(OFFSET($H$3,0,0,'Données projet'!$E$10+1,1))</f>
        <v>371.75294069149942</v>
      </c>
      <c r="AO194" s="62">
        <f t="shared" si="144"/>
        <v>233.32640143610547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3.1085809205410493E-2</v>
      </c>
      <c r="AW194" s="23">
        <f>EXP(-LN(2)/2)*AW193+(1-EXP(-LN(2)/2))/(LN(2)/2)*AQ194*AT194*VLOOKUP('Données projet'!$B$10,Paramètres!$A$1:$I$89,3,0)*0.475*44/12</f>
        <v>7.3402283180894273E-24</v>
      </c>
      <c r="AX194" s="23">
        <f t="shared" si="166"/>
        <v>3.1085809205410493E-2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-1.9065282685915009E-13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555.15881087162279</v>
      </c>
      <c r="BJ194" s="62">
        <f t="shared" si="146"/>
        <v>668.20427590250733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1.1816877946602766</v>
      </c>
      <c r="BQ194" s="23">
        <f>EXP(-LN(2)/25)*BQ193+(1-EXP(-LN(2)/25))/(LN(2)/25)*Calculateur!BL194*Calculateur!BN194*VLOOKUP('Données projet'!$B$11,Paramètres!$A$1:$I$89,3,0)*0.475*44/12</f>
        <v>0.26064600230787127</v>
      </c>
      <c r="BR194" s="23">
        <f>EXP(-LN(2)/2)*BR193+(1-EXP(-LN(2)/2))/(LN(2)/2)*BL194*BO194*VLOOKUP('Données projet'!$B$11,Paramètres!$A$1:$I$89,3,0)*0.475*44/12</f>
        <v>8.0902280458181774E-24</v>
      </c>
      <c r="BS194" s="24">
        <f t="shared" si="169"/>
        <v>1.442333796968148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-5.4092197387944907E-14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293.996396026019</v>
      </c>
      <c r="CE194" s="62">
        <f t="shared" si="148"/>
        <v>152.23954167722536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303.33040062722074</v>
      </c>
      <c r="T195" s="62">
        <f t="shared" si="142"/>
        <v>425.30058672361548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0.37908298975152555</v>
      </c>
      <c r="AB195" s="23">
        <f>EXP(-LN(2)/2)*AB194+(1-EXP(-LN(2)/2))/(LN(2)/2)*V195*Y195*VLOOKUP('Données projet'!$B$9,Paramètres!$A$1:$I$89,3,0)*0.475*44/12</f>
        <v>6.735731432377521E-24</v>
      </c>
      <c r="AC195" s="24">
        <f t="shared" si="163"/>
        <v>0.37908298975152555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1.5429577615577727E-13</v>
      </c>
      <c r="AK195" s="14">
        <f t="shared" si="164"/>
        <v>2.2038482767263348E-12</v>
      </c>
      <c r="AL195" s="22">
        <f t="shared" si="165"/>
        <v>4.107100892103012E-12</v>
      </c>
      <c r="AM195" s="62">
        <f t="shared" si="113"/>
        <v>293.33333333333741</v>
      </c>
      <c r="AN195" s="62">
        <f ca="1">AVERAGE(OFFSET($AM$3,0,0,'Données projet'!$E$10+1,1))-AVERAGE(OFFSET($H$3,0,0,'Données projet'!$E$10+1,1))</f>
        <v>371.75294069149942</v>
      </c>
      <c r="AO195" s="62">
        <f t="shared" si="144"/>
        <v>233.32640143610547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3.0235766117956885E-2</v>
      </c>
      <c r="AW195" s="23">
        <f>EXP(-LN(2)/2)*AW194+(1-EXP(-LN(2)/2))/(LN(2)/2)*AQ195*AT195*VLOOKUP('Données projet'!$B$10,Paramètres!$A$1:$I$89,3,0)*0.475*44/12</f>
        <v>5.1903252191785604E-24</v>
      </c>
      <c r="AX195" s="23">
        <f t="shared" si="166"/>
        <v>3.0235766117956885E-2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-1.9065282685915009E-13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555.15881087162279</v>
      </c>
      <c r="BJ195" s="62">
        <f t="shared" si="146"/>
        <v>668.20427590250733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1.1585156177653744</v>
      </c>
      <c r="BQ195" s="23">
        <f>EXP(-LN(2)/25)*BQ194+(1-EXP(-LN(2)/25))/(LN(2)/25)*Calculateur!BL195*Calculateur!BN195*VLOOKUP('Données projet'!$B$11,Paramètres!$A$1:$I$89,3,0)*0.475*44/12</f>
        <v>0.253518623667985</v>
      </c>
      <c r="BR195" s="23">
        <f>EXP(-LN(2)/2)*BR194+(1-EXP(-LN(2)/2))/(LN(2)/2)*BL195*BO195*VLOOKUP('Données projet'!$B$11,Paramètres!$A$1:$I$89,3,0)*0.475*44/12</f>
        <v>5.7206551125436241E-24</v>
      </c>
      <c r="BS195" s="24">
        <f t="shared" si="169"/>
        <v>1.4120342414333593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-5.4092197387944907E-14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293.996396026019</v>
      </c>
      <c r="CE195" s="62">
        <f t="shared" si="148"/>
        <v>152.23954167722536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303.33040062722074</v>
      </c>
      <c r="T196" s="62">
        <f t="shared" si="142"/>
        <v>425.30058672361548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0.36871694546166206</v>
      </c>
      <c r="AB196" s="23">
        <f>EXP(-LN(2)/2)*AB195+(1-EXP(-LN(2)/2))/(LN(2)/2)*V196*Y196*VLOOKUP('Données projet'!$B$9,Paramètres!$A$1:$I$89,3,0)*0.475*44/12</f>
        <v>4.7628813720855222E-24</v>
      </c>
      <c r="AC196" s="24">
        <f t="shared" si="163"/>
        <v>0.36871694546166206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1.5429577615577727E-13</v>
      </c>
      <c r="AK196" s="14">
        <f t="shared" si="164"/>
        <v>2.2038482767263348E-12</v>
      </c>
      <c r="AL196" s="22">
        <f t="shared" si="165"/>
        <v>4.107100892103012E-12</v>
      </c>
      <c r="AM196" s="62">
        <f t="shared" ref="AM196:AM203" si="193">AL196+(AD196+AE196)*44/12</f>
        <v>293.33333333333741</v>
      </c>
      <c r="AN196" s="62">
        <f ca="1">AVERAGE(OFFSET($AM$3,0,0,'Données projet'!$E$10+1,1))-AVERAGE(OFFSET($H$3,0,0,'Données projet'!$E$10+1,1))</f>
        <v>371.75294069149942</v>
      </c>
      <c r="AO196" s="62">
        <f t="shared" si="144"/>
        <v>233.32640143610547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2.940896750343152E-2</v>
      </c>
      <c r="AW196" s="23">
        <f>EXP(-LN(2)/2)*AW195+(1-EXP(-LN(2)/2))/(LN(2)/2)*AQ196*AT196*VLOOKUP('Données projet'!$B$10,Paramètres!$A$1:$I$89,3,0)*0.475*44/12</f>
        <v>3.6701141590447136E-24</v>
      </c>
      <c r="AX196" s="23">
        <f t="shared" si="166"/>
        <v>2.940896750343152E-2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-1.9065282685915009E-13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555.15881087162279</v>
      </c>
      <c r="BJ196" s="62">
        <f t="shared" si="146"/>
        <v>668.20427590250733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1.1357978331257488</v>
      </c>
      <c r="BQ196" s="23">
        <f>EXP(-LN(2)/25)*BQ195+(1-EXP(-LN(2)/25))/(LN(2)/25)*Calculateur!BL196*Calculateur!BN196*VLOOKUP('Données projet'!$B$11,Paramètres!$A$1:$I$89,3,0)*0.475*44/12</f>
        <v>0.24658614357181896</v>
      </c>
      <c r="BR196" s="23">
        <f>EXP(-LN(2)/2)*BR195+(1-EXP(-LN(2)/2))/(LN(2)/2)*BL196*BO196*VLOOKUP('Données projet'!$B$11,Paramètres!$A$1:$I$89,3,0)*0.475*44/12</f>
        <v>4.0451140229090887E-24</v>
      </c>
      <c r="BS196" s="24">
        <f t="shared" si="169"/>
        <v>1.3823839766975676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-5.4092197387944907E-14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293.996396026019</v>
      </c>
      <c r="CE196" s="62">
        <f t="shared" si="148"/>
        <v>152.23954167722536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303.33040062722074</v>
      </c>
      <c r="T197" s="62">
        <f t="shared" ref="T197:T203" si="204">$T$3</f>
        <v>425.30058672361548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0.35863436119803144</v>
      </c>
      <c r="AB197" s="23">
        <f>EXP(-LN(2)/2)*AB196+(1-EXP(-LN(2)/2))/(LN(2)/2)*V197*Y197*VLOOKUP('Données projet'!$B$9,Paramètres!$A$1:$I$89,3,0)*0.475*44/12</f>
        <v>3.3678657161887605E-24</v>
      </c>
      <c r="AC197" s="24">
        <f t="shared" si="163"/>
        <v>0.35863436119803144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1.5429577615577727E-13</v>
      </c>
      <c r="AK197" s="14">
        <f t="shared" si="164"/>
        <v>2.2038482767263348E-12</v>
      </c>
      <c r="AL197" s="22">
        <f t="shared" si="165"/>
        <v>4.107100892103012E-12</v>
      </c>
      <c r="AM197" s="62">
        <f t="shared" si="193"/>
        <v>293.33333333333741</v>
      </c>
      <c r="AN197" s="62">
        <f ca="1">AVERAGE(OFFSET($AM$3,0,0,'Données projet'!$E$10+1,1))-AVERAGE(OFFSET($H$3,0,0,'Données projet'!$E$10+1,1))</f>
        <v>371.75294069149942</v>
      </c>
      <c r="AO197" s="62">
        <f t="shared" ref="AO197:AO203" si="205">$AO$3</f>
        <v>233.32640143610547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2.8604777740499798E-2</v>
      </c>
      <c r="AW197" s="23">
        <f>EXP(-LN(2)/2)*AW196+(1-EXP(-LN(2)/2))/(LN(2)/2)*AQ197*AT197*VLOOKUP('Données projet'!$B$10,Paramètres!$A$1:$I$89,3,0)*0.475*44/12</f>
        <v>2.5951626095892802E-24</v>
      </c>
      <c r="AX197" s="23">
        <f t="shared" si="166"/>
        <v>2.8604777740499798E-2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-1.9065282685915009E-13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555.15881087162279</v>
      </c>
      <c r="BJ197" s="62">
        <f t="shared" ref="BJ197:BJ203" si="206">$BJ$3</f>
        <v>668.20427590250733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1.1135255303864258</v>
      </c>
      <c r="BQ197" s="23">
        <f>EXP(-LN(2)/25)*BQ196+(1-EXP(-LN(2)/25))/(LN(2)/25)*Calculateur!BL197*Calculateur!BN197*VLOOKUP('Données projet'!$B$11,Paramètres!$A$1:$I$89,3,0)*0.475*44/12</f>
        <v>0.23984323250844586</v>
      </c>
      <c r="BR197" s="23">
        <f>EXP(-LN(2)/2)*BR196+(1-EXP(-LN(2)/2))/(LN(2)/2)*BL197*BO197*VLOOKUP('Données projet'!$B$11,Paramètres!$A$1:$I$89,3,0)*0.475*44/12</f>
        <v>2.860327556271812E-24</v>
      </c>
      <c r="BS197" s="24">
        <f t="shared" si="169"/>
        <v>1.3533687628948716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-5.4092197387944907E-14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293.996396026019</v>
      </c>
      <c r="CE197" s="62">
        <f t="shared" ref="CE197:CE203" si="207">$CE$3</f>
        <v>152.23954167722536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303.33040062722074</v>
      </c>
      <c r="T198" s="62">
        <f t="shared" si="204"/>
        <v>425.30058672361548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0.34882748573130989</v>
      </c>
      <c r="AB198" s="23">
        <f>EXP(-LN(2)/2)*AB197+(1-EXP(-LN(2)/2))/(LN(2)/2)*V198*Y198*VLOOKUP('Données projet'!$B$9,Paramètres!$A$1:$I$89,3,0)*0.475*44/12</f>
        <v>2.3814406860427611E-24</v>
      </c>
      <c r="AC198" s="24">
        <f t="shared" si="163"/>
        <v>0.34882748573130989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1.5429577615577727E-13</v>
      </c>
      <c r="AK198" s="14">
        <f t="shared" si="164"/>
        <v>2.2038482767263348E-12</v>
      </c>
      <c r="AL198" s="22">
        <f t="shared" si="165"/>
        <v>4.107100892103012E-12</v>
      </c>
      <c r="AM198" s="62">
        <f t="shared" si="193"/>
        <v>293.33333333333741</v>
      </c>
      <c r="AN198" s="62">
        <f ca="1">AVERAGE(OFFSET($AM$3,0,0,'Données projet'!$E$10+1,1))-AVERAGE(OFFSET($H$3,0,0,'Données projet'!$E$10+1,1))</f>
        <v>371.75294069149942</v>
      </c>
      <c r="AO198" s="62">
        <f t="shared" si="205"/>
        <v>233.32640143610547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2.7822578588925947E-2</v>
      </c>
      <c r="AW198" s="23">
        <f>EXP(-LN(2)/2)*AW197+(1-EXP(-LN(2)/2))/(LN(2)/2)*AQ198*AT198*VLOOKUP('Données projet'!$B$10,Paramètres!$A$1:$I$89,3,0)*0.475*44/12</f>
        <v>1.8350570795223568E-24</v>
      </c>
      <c r="AX198" s="23">
        <f t="shared" si="166"/>
        <v>2.7822578588925947E-2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-1.9065282685915009E-13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555.15881087162279</v>
      </c>
      <c r="BJ198" s="62">
        <f t="shared" si="206"/>
        <v>668.20427590250733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1.0916899739190578</v>
      </c>
      <c r="BQ198" s="23">
        <f>EXP(-LN(2)/25)*BQ197+(1-EXP(-LN(2)/25))/(LN(2)/25)*Calculateur!BL198*Calculateur!BN198*VLOOKUP('Données projet'!$B$11,Paramètres!$A$1:$I$89,3,0)*0.475*44/12</f>
        <v>0.23328470670269497</v>
      </c>
      <c r="BR198" s="23">
        <f>EXP(-LN(2)/2)*BR197+(1-EXP(-LN(2)/2))/(LN(2)/2)*BL198*BO198*VLOOKUP('Données projet'!$B$11,Paramètres!$A$1:$I$89,3,0)*0.475*44/12</f>
        <v>2.0225570114545444E-24</v>
      </c>
      <c r="BS198" s="24">
        <f t="shared" si="169"/>
        <v>1.3249746806217528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-5.4092197387944907E-14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293.996396026019</v>
      </c>
      <c r="CE198" s="62">
        <f t="shared" si="207"/>
        <v>152.23954167722536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303.33040062722074</v>
      </c>
      <c r="T199" s="62">
        <f t="shared" si="204"/>
        <v>425.30058672361548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0.33928877978994698</v>
      </c>
      <c r="AB199" s="23">
        <f>EXP(-LN(2)/2)*AB198+(1-EXP(-LN(2)/2))/(LN(2)/2)*V199*Y199*VLOOKUP('Données projet'!$B$9,Paramètres!$A$1:$I$89,3,0)*0.475*44/12</f>
        <v>1.6839328580943802E-24</v>
      </c>
      <c r="AC199" s="24">
        <f t="shared" si="163"/>
        <v>0.33928877978994698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1.5429577615577727E-13</v>
      </c>
      <c r="AK199" s="14">
        <f t="shared" si="164"/>
        <v>2.2038482767263348E-12</v>
      </c>
      <c r="AL199" s="22">
        <f t="shared" si="165"/>
        <v>4.107100892103012E-12</v>
      </c>
      <c r="AM199" s="62">
        <f t="shared" si="193"/>
        <v>293.33333333333741</v>
      </c>
      <c r="AN199" s="62">
        <f ca="1">AVERAGE(OFFSET($AM$3,0,0,'Données projet'!$E$10+1,1))-AVERAGE(OFFSET($H$3,0,0,'Données projet'!$E$10+1,1))</f>
        <v>371.75294069149942</v>
      </c>
      <c r="AO199" s="62">
        <f t="shared" si="205"/>
        <v>233.32640143610547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2.706176871428595E-2</v>
      </c>
      <c r="AW199" s="23">
        <f>EXP(-LN(2)/2)*AW198+(1-EXP(-LN(2)/2))/(LN(2)/2)*AQ199*AT199*VLOOKUP('Données projet'!$B$10,Paramètres!$A$1:$I$89,3,0)*0.475*44/12</f>
        <v>1.2975813047946401E-24</v>
      </c>
      <c r="AX199" s="23">
        <f t="shared" si="166"/>
        <v>2.706176871428595E-2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-1.9065282685915009E-13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555.15881087162279</v>
      </c>
      <c r="BJ199" s="62">
        <f t="shared" si="206"/>
        <v>668.20427590250733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1.0702825993956404</v>
      </c>
      <c r="BQ199" s="23">
        <f>EXP(-LN(2)/25)*BQ198+(1-EXP(-LN(2)/25))/(LN(2)/25)*Calculateur!BL199*Calculateur!BN199*VLOOKUP('Données projet'!$B$11,Paramètres!$A$1:$I$89,3,0)*0.475*44/12</f>
        <v>0.22690552413000023</v>
      </c>
      <c r="BR199" s="23">
        <f>EXP(-LN(2)/2)*BR198+(1-EXP(-LN(2)/2))/(LN(2)/2)*BL199*BO199*VLOOKUP('Données projet'!$B$11,Paramètres!$A$1:$I$89,3,0)*0.475*44/12</f>
        <v>1.430163778135906E-24</v>
      </c>
      <c r="BS199" s="24">
        <f t="shared" si="169"/>
        <v>1.2971881235256406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-5.4092197387944907E-14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293.996396026019</v>
      </c>
      <c r="CE199" s="62">
        <f t="shared" si="207"/>
        <v>152.23954167722536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303.33040062722074</v>
      </c>
      <c r="T200" s="62">
        <f t="shared" si="204"/>
        <v>425.30058672361548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0.3300109102641694</v>
      </c>
      <c r="AB200" s="23">
        <f>EXP(-LN(2)/2)*AB199+(1-EXP(-LN(2)/2))/(LN(2)/2)*V200*Y200*VLOOKUP('Données projet'!$B$9,Paramètres!$A$1:$I$89,3,0)*0.475*44/12</f>
        <v>1.1907203430213805E-24</v>
      </c>
      <c r="AC200" s="24">
        <f t="shared" si="163"/>
        <v>0.3300109102641694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1.5429577615577727E-13</v>
      </c>
      <c r="AK200" s="14">
        <f t="shared" si="164"/>
        <v>2.2038482767263348E-12</v>
      </c>
      <c r="AL200" s="22">
        <f t="shared" si="165"/>
        <v>4.107100892103012E-12</v>
      </c>
      <c r="AM200" s="62">
        <f t="shared" si="193"/>
        <v>293.33333333333741</v>
      </c>
      <c r="AN200" s="62">
        <f ca="1">AVERAGE(OFFSET($AM$3,0,0,'Données projet'!$E$10+1,1))-AVERAGE(OFFSET($H$3,0,0,'Données projet'!$E$10+1,1))</f>
        <v>371.75294069149942</v>
      </c>
      <c r="AO200" s="62">
        <f t="shared" si="205"/>
        <v>233.32640143610547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2.6321763225677235E-2</v>
      </c>
      <c r="AW200" s="23">
        <f>EXP(-LN(2)/2)*AW199+(1-EXP(-LN(2)/2))/(LN(2)/2)*AQ200*AT200*VLOOKUP('Données projet'!$B$10,Paramètres!$A$1:$I$89,3,0)*0.475*44/12</f>
        <v>9.1752853976117841E-25</v>
      </c>
      <c r="AX200" s="23">
        <f t="shared" si="166"/>
        <v>2.6321763225677235E-2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-1.9065282685915009E-13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555.15881087162279</v>
      </c>
      <c r="BJ200" s="62">
        <f t="shared" si="206"/>
        <v>668.20427590250733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1.0492950104294181</v>
      </c>
      <c r="BQ200" s="23">
        <f>EXP(-LN(2)/25)*BQ199+(1-EXP(-LN(2)/25))/(LN(2)/25)*Calculateur!BL200*Calculateur!BN200*VLOOKUP('Données projet'!$B$11,Paramètres!$A$1:$I$89,3,0)*0.475*44/12</f>
        <v>0.22070078064022247</v>
      </c>
      <c r="BR200" s="23">
        <f>EXP(-LN(2)/2)*BR199+(1-EXP(-LN(2)/2))/(LN(2)/2)*BL200*BO200*VLOOKUP('Données projet'!$B$11,Paramètres!$A$1:$I$89,3,0)*0.475*44/12</f>
        <v>1.0112785057272722E-24</v>
      </c>
      <c r="BS200" s="24">
        <f t="shared" si="169"/>
        <v>1.2699957910696407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-5.4092197387944907E-14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293.996396026019</v>
      </c>
      <c r="CE200" s="62">
        <f t="shared" si="207"/>
        <v>152.23954167722536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303.33040062722074</v>
      </c>
      <c r="T201" s="62">
        <f t="shared" si="204"/>
        <v>425.30058672361548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0.32098674456847615</v>
      </c>
      <c r="AB201" s="23">
        <f>EXP(-LN(2)/2)*AB200+(1-EXP(-LN(2)/2))/(LN(2)/2)*V201*Y201*VLOOKUP('Données projet'!$B$9,Paramètres!$A$1:$I$89,3,0)*0.475*44/12</f>
        <v>8.4196642904719012E-25</v>
      </c>
      <c r="AC201" s="24">
        <f t="shared" si="163"/>
        <v>0.32098674456847615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1.5429577615577727E-13</v>
      </c>
      <c r="AK201" s="14">
        <f t="shared" si="164"/>
        <v>2.2038482767263348E-12</v>
      </c>
      <c r="AL201" s="22">
        <f t="shared" si="165"/>
        <v>4.107100892103012E-12</v>
      </c>
      <c r="AM201" s="62">
        <f t="shared" si="193"/>
        <v>293.33333333333741</v>
      </c>
      <c r="AN201" s="62">
        <f ca="1">AVERAGE(OFFSET($AM$3,0,0,'Données projet'!$E$10+1,1))-AVERAGE(OFFSET($H$3,0,0,'Données projet'!$E$10+1,1))</f>
        <v>371.75294069149942</v>
      </c>
      <c r="AO201" s="62">
        <f t="shared" si="205"/>
        <v>233.32640143610547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2.5601993226069722E-2</v>
      </c>
      <c r="AW201" s="23">
        <f>EXP(-LN(2)/2)*AW200+(1-EXP(-LN(2)/2))/(LN(2)/2)*AQ201*AT201*VLOOKUP('Données projet'!$B$10,Paramètres!$A$1:$I$89,3,0)*0.475*44/12</f>
        <v>6.4879065239732005E-25</v>
      </c>
      <c r="AX201" s="23">
        <f t="shared" si="166"/>
        <v>2.5601993226069722E-2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-1.9065282685915009E-13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555.15881087162279</v>
      </c>
      <c r="BJ201" s="62">
        <f t="shared" si="206"/>
        <v>668.20427590250733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1.0287189752816581</v>
      </c>
      <c r="BQ201" s="23">
        <f>EXP(-LN(2)/25)*BQ200+(1-EXP(-LN(2)/25))/(LN(2)/25)*Calculateur!BL201*Calculateur!BN201*VLOOKUP('Données projet'!$B$11,Paramètres!$A$1:$I$89,3,0)*0.475*44/12</f>
        <v>0.21466570618746594</v>
      </c>
      <c r="BR201" s="23">
        <f>EXP(-LN(2)/2)*BR200+(1-EXP(-LN(2)/2))/(LN(2)/2)*BL201*BO201*VLOOKUP('Données projet'!$B$11,Paramètres!$A$1:$I$89,3,0)*0.475*44/12</f>
        <v>7.1508188906795301E-25</v>
      </c>
      <c r="BS201" s="24">
        <f t="shared" si="169"/>
        <v>1.2433846814691241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-5.4092197387944907E-14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293.996396026019</v>
      </c>
      <c r="CE201" s="62">
        <f t="shared" si="207"/>
        <v>152.23954167722536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303.33040062722074</v>
      </c>
      <c r="T202" s="62">
        <f t="shared" si="204"/>
        <v>425.30058672361548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0.31220934515829191</v>
      </c>
      <c r="AB202" s="23">
        <f>EXP(-LN(2)/2)*AB201+(1-EXP(-LN(2)/2))/(LN(2)/2)*V202*Y202*VLOOKUP('Données projet'!$B$9,Paramètres!$A$1:$I$89,3,0)*0.475*44/12</f>
        <v>5.9536017151069027E-25</v>
      </c>
      <c r="AC202" s="24">
        <f t="shared" si="163"/>
        <v>0.31220934515829191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1.5429577615577727E-13</v>
      </c>
      <c r="AK202" s="14">
        <f t="shared" si="164"/>
        <v>2.2038482767263348E-12</v>
      </c>
      <c r="AL202" s="22">
        <f t="shared" si="165"/>
        <v>4.107100892103012E-12</v>
      </c>
      <c r="AM202" s="62">
        <f t="shared" si="193"/>
        <v>293.33333333333741</v>
      </c>
      <c r="AN202" s="62">
        <f ca="1">AVERAGE(OFFSET($AM$3,0,0,'Données projet'!$E$10+1,1))-AVERAGE(OFFSET($H$3,0,0,'Données projet'!$E$10+1,1))</f>
        <v>371.75294069149942</v>
      </c>
      <c r="AO202" s="62">
        <f t="shared" si="205"/>
        <v>233.32640143610547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2.4901905374952536E-2</v>
      </c>
      <c r="AW202" s="23">
        <f>EXP(-LN(2)/2)*AW201+(1-EXP(-LN(2)/2))/(LN(2)/2)*AQ202*AT202*VLOOKUP('Données projet'!$B$10,Paramètres!$A$1:$I$89,3,0)*0.475*44/12</f>
        <v>4.587642698805892E-25</v>
      </c>
      <c r="AX202" s="23">
        <f t="shared" si="166"/>
        <v>2.4901905374952536E-2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-1.9065282685915009E-13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555.15881087162279</v>
      </c>
      <c r="BJ202" s="62">
        <f t="shared" si="206"/>
        <v>668.20427590250733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1.0085464236330035</v>
      </c>
      <c r="BQ202" s="23">
        <f>EXP(-LN(2)/25)*BQ201+(1-EXP(-LN(2)/25))/(LN(2)/25)*Calculateur!BL202*Calculateur!BN202*VLOOKUP('Données projet'!$B$11,Paramètres!$A$1:$I$89,3,0)*0.475*44/12</f>
        <v>0.20879566116299084</v>
      </c>
      <c r="BR202" s="23">
        <f>EXP(-LN(2)/2)*BR201+(1-EXP(-LN(2)/2))/(LN(2)/2)*BL202*BO202*VLOOKUP('Données projet'!$B$11,Paramètres!$A$1:$I$89,3,0)*0.475*44/12</f>
        <v>5.0563925286363609E-25</v>
      </c>
      <c r="BS202" s="24">
        <f t="shared" si="169"/>
        <v>1.2173420847959944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-5.4092197387944907E-14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293.996396026019</v>
      </c>
      <c r="CE202" s="62">
        <f t="shared" si="207"/>
        <v>152.23954167722536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303.33040062722074</v>
      </c>
      <c r="T203" s="62">
        <f t="shared" si="204"/>
        <v>425.30058672361548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0.3036719641965625</v>
      </c>
      <c r="AB203" s="23">
        <f>EXP(-LN(2)/2)*AB202+(1-EXP(-LN(2)/2))/(LN(2)/2)*V203*Y203*VLOOKUP('Données projet'!$B$9,Paramètres!$A$1:$I$89,3,0)*0.475*44/12</f>
        <v>4.2098321452359506E-25</v>
      </c>
      <c r="AC203" s="24">
        <f t="shared" si="163"/>
        <v>0.3036719641965625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1.5429577615577727E-13</v>
      </c>
      <c r="AK203" s="14">
        <f t="shared" si="164"/>
        <v>2.2038482767263348E-12</v>
      </c>
      <c r="AL203" s="22">
        <f t="shared" si="165"/>
        <v>4.107100892103012E-12</v>
      </c>
      <c r="AM203" s="62">
        <f t="shared" si="193"/>
        <v>293.33333333333741</v>
      </c>
      <c r="AN203" s="62">
        <f ca="1">AVERAGE(OFFSET($AM$3,0,0,'Données projet'!$E$10+1,1))-AVERAGE(OFFSET($H$3,0,0,'Données projet'!$E$10+1,1))</f>
        <v>371.75294069149942</v>
      </c>
      <c r="AO203" s="62">
        <f t="shared" si="205"/>
        <v>233.32640143610547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2.4220961462940168E-2</v>
      </c>
      <c r="AW203" s="23">
        <f>EXP(-LN(2)/2)*AW202+(1-EXP(-LN(2)/2))/(LN(2)/2)*AQ203*AT203*VLOOKUP('Données projet'!$B$10,Paramètres!$A$1:$I$89,3,0)*0.475*44/12</f>
        <v>3.2439532619866003E-25</v>
      </c>
      <c r="AX203" s="23">
        <f t="shared" si="166"/>
        <v>2.4220961462940168E-2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-1.9065282685915009E-13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555.15881087162279</v>
      </c>
      <c r="BJ203" s="62">
        <f t="shared" si="206"/>
        <v>668.20427590250733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0.98876944341813744</v>
      </c>
      <c r="BQ203" s="23">
        <f>EXP(-LN(2)/25)*BQ202+(1-EXP(-LN(2)/25))/(LN(2)/25)*Calculateur!BL203*Calculateur!BN203*VLOOKUP('Données projet'!$B$11,Paramètres!$A$1:$I$89,3,0)*0.475*44/12</f>
        <v>0.20308613282840224</v>
      </c>
      <c r="BR203" s="23">
        <f>EXP(-LN(2)/2)*BR202+(1-EXP(-LN(2)/2))/(LN(2)/2)*BL203*BO203*VLOOKUP('Données projet'!$B$11,Paramètres!$A$1:$I$89,3,0)*0.475*44/12</f>
        <v>3.575409445339765E-25</v>
      </c>
      <c r="BS203" s="24">
        <f t="shared" si="169"/>
        <v>1.1918555762465397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-5.4092197387944907E-14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293.996396026019</v>
      </c>
      <c r="CE203" s="62">
        <f t="shared" si="207"/>
        <v>152.23954167722536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1.3655017210306359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1.4037863041747067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0.61989300000000003</v>
      </c>
      <c r="C6" s="156">
        <f ca="1">IF(OR('Données projet'!B9="",'Données projet'!C9="",'Données projet'!C9=0%),0,Calculateur!S3)</f>
        <v>303.33040062722074</v>
      </c>
      <c r="D6" s="156">
        <f>IF(OR('Données projet'!B9="",'Données projet'!C9="",'Données projet'!C9=0%),0,Calculateur!T3)</f>
        <v>425.30058672361548</v>
      </c>
      <c r="E6" s="156">
        <f ca="1">MIN(C6,D6)</f>
        <v>303.33040062722074</v>
      </c>
      <c r="F6" s="156">
        <f ca="1">E6*B6</f>
        <v>188.03239203600975</v>
      </c>
      <c r="G6" s="156">
        <f ca="1">F6*(100%-'Données projet'!$C$24)*(100%-'Données projet'!$C$25)*(100%-'Données projet'!$C$26)*(100%-'Données projet'!$C$27)</f>
        <v>143.84477990754746</v>
      </c>
      <c r="H6" s="157">
        <f>IF(OR('Données projet'!B9="",'Données projet'!C9="",'Données projet'!C9=0%),0,AVERAGE(Calculateur!$AC$3:$AC$33)*B6)</f>
        <v>6.3815069586129658</v>
      </c>
      <c r="I6" s="158">
        <f>H6*(100%-'Données projet'!$C$24)*(100%-'Données projet'!$C$25)*(100%-'Données projet'!$C$26)*(100%-'Données projet'!$C$27)</f>
        <v>4.8818528233389191</v>
      </c>
      <c r="J6" s="159">
        <f>IF(OR('Données projet'!B9="",'Données projet'!C9="",'Données projet'!C9=0%),0,SUM(Calculateur!$V$3:$V$33)*VLOOKUP('Données projet'!$B$9,Paramètres!$A$1:$I$89,9,0)*B6)</f>
        <v>28.979997750000003</v>
      </c>
      <c r="K6" s="160">
        <f>J6*(100%-'Données projet'!$C$24)*(100%-'Données projet'!$C$25)*(100%-'Données projet'!$C$26)*(100%-'Données projet'!$C$27)</f>
        <v>22.169698278750001</v>
      </c>
      <c r="L6" s="161">
        <f ca="1">G6+I6+K6</f>
        <v>170.89633100963638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0.68040000000000012</v>
      </c>
      <c r="C7" s="156">
        <f ca="1">IF(OR('Données projet'!B10="",'Données projet'!C10="",'Données projet'!C10=0%),0,Calculateur!AN3)</f>
        <v>371.75294069149942</v>
      </c>
      <c r="D7" s="156">
        <f>IF(OR('Données projet'!B10="",'Données projet'!C10="",'Données projet'!C10=0%),0,Calculateur!AO3)</f>
        <v>233.32640143610547</v>
      </c>
      <c r="E7" s="156">
        <f t="shared" ref="E7:E15" ca="1" si="0">MIN(C7,D7)</f>
        <v>233.32640143610547</v>
      </c>
      <c r="F7" s="156">
        <f t="shared" ref="F7:F15" ca="1" si="1">E7*B7</f>
        <v>158.75528353712619</v>
      </c>
      <c r="G7" s="156">
        <f ca="1">F7*(100%-'Données projet'!$C$24)*(100%-'Données projet'!$C$25)*(100%-'Données projet'!$C$26)*(100%-'Données projet'!$C$27)</f>
        <v>121.44779190590154</v>
      </c>
      <c r="H7" s="164">
        <f>IF(OR('Données projet'!B10="",'Données projet'!C10="",'Données projet'!C10=0%),0,AVERAGE(Calculateur!$AX$3:$AX$33)*B7)</f>
        <v>0.33467755556570422</v>
      </c>
      <c r="I7" s="158">
        <f>H7*(100%-'Données projet'!$C$24)*(100%-'Données projet'!$C$25)*(100%-'Données projet'!$C$26)*(100%-'Données projet'!$C$27)</f>
        <v>0.25602833000776376</v>
      </c>
      <c r="J7" s="159">
        <f>IF(OR('Données projet'!B10="",'Données projet'!C10="",'Données projet'!C10=0%),0,SUM(Calculateur!$AQ$3:$AQ$33)*VLOOKUP('Données projet'!$B$10,Paramètres!$A$1:$I$89,9,0)*B7)</f>
        <v>4.932900000000001</v>
      </c>
      <c r="K7" s="160">
        <f>J7*(100%-'Données projet'!$C$24)*(100%-'Données projet'!$C$25)*(100%-'Données projet'!$C$26)*(100%-'Données projet'!$C$27)</f>
        <v>3.7736685000000008</v>
      </c>
      <c r="L7" s="161">
        <f t="shared" ref="L7:L15" ca="1" si="2">G7+I7+K7</f>
        <v>125.4774887359093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0.85681800000000008</v>
      </c>
      <c r="C8" s="156">
        <f ca="1">IF(OR('Données projet'!B11="",'Données projet'!C11="",'Données projet'!C11=0%),0,Calculateur!BI3)</f>
        <v>555.15881087162279</v>
      </c>
      <c r="D8" s="156">
        <f>IF(OR('Données projet'!B11="",'Données projet'!C11="",'Données projet'!C11=0%),0,Calculateur!BJ3)</f>
        <v>668.20427590250733</v>
      </c>
      <c r="E8" s="156">
        <f t="shared" ca="1" si="0"/>
        <v>555.15881087162279</v>
      </c>
      <c r="F8" s="156">
        <f t="shared" ca="1" si="1"/>
        <v>475.67006201340212</v>
      </c>
      <c r="G8" s="156">
        <f ca="1">F8*(100%-'Données projet'!$C$24)*(100%-'Données projet'!$C$25)*(100%-'Données projet'!$C$26)*(100%-'Données projet'!$C$27)</f>
        <v>363.88759744025265</v>
      </c>
      <c r="H8" s="164">
        <f>IF(OR('Données projet'!B11="",'Données projet'!C11="",'Données projet'!C11=0%),0,AVERAGE(Calculateur!$BS$3:$BS$33)*B8)</f>
        <v>8.3406167742321742</v>
      </c>
      <c r="I8" s="158">
        <f>H8*(100%-'Données projet'!$C$24)*(100%-'Données projet'!$C$25)*(100%-'Données projet'!$C$26)*(100%-'Données projet'!$C$27)</f>
        <v>6.3805718322876128</v>
      </c>
      <c r="J8" s="159">
        <f>IF(OR('Données projet'!B11="",'Données projet'!C11="",'Données projet'!C11=0%),0,SUM(Calculateur!$BL$3:$BL$33)*VLOOKUP('Données projet'!$B$11,Paramètres!$A$1:$I$89,9,0)*B8)</f>
        <v>71.10732582</v>
      </c>
      <c r="K8" s="160">
        <f>J8*(100%-'Données projet'!$C$24)*(100%-'Données projet'!$C$25)*(100%-'Données projet'!$C$26)*(100%-'Données projet'!$C$27)</f>
        <v>54.397104252300004</v>
      </c>
      <c r="L8" s="161">
        <f t="shared" ca="1" si="2"/>
        <v>424.66527352484025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charme</v>
      </c>
      <c r="B9" s="163">
        <f>'Données projet'!D12</f>
        <v>0.17010000000000003</v>
      </c>
      <c r="C9" s="156">
        <f ca="1">IF(OR('Données projet'!B12="",'Données projet'!C12="",'Données projet'!C12=0%),0,Calculateur!CD3)</f>
        <v>293.996396026019</v>
      </c>
      <c r="D9" s="156">
        <f>IF(OR('Données projet'!B12="",'Données projet'!C12="",'Données projet'!C12=0%),0,Calculateur!CE3)</f>
        <v>152.23954167722536</v>
      </c>
      <c r="E9" s="156">
        <f t="shared" ca="1" si="0"/>
        <v>152.23954167722536</v>
      </c>
      <c r="F9" s="156">
        <f t="shared" ca="1" si="1"/>
        <v>25.895946039296039</v>
      </c>
      <c r="G9" s="156">
        <f ca="1">F9*(100%-'Données projet'!$C$24)*(100%-'Données projet'!$C$25)*(100%-'Données projet'!$C$26)*(100%-'Données projet'!$C$27)</f>
        <v>19.810398720061468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19.810398720061468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848.35368362583415</v>
      </c>
      <c r="G16" s="175">
        <f t="shared" ca="1" si="3"/>
        <v>648.99056797376318</v>
      </c>
      <c r="H16" s="176">
        <f t="shared" si="3"/>
        <v>15.056801288410844</v>
      </c>
      <c r="I16" s="176">
        <f t="shared" si="3"/>
        <v>11.518452985634296</v>
      </c>
      <c r="J16" s="177">
        <f t="shared" si="3"/>
        <v>105.02022357000001</v>
      </c>
      <c r="K16" s="177">
        <f t="shared" si="3"/>
        <v>80.340471031050001</v>
      </c>
      <c r="L16" s="178">
        <f t="shared" ca="1" si="3"/>
        <v>740.8494919904474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charme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90" zoomScaleNormal="90" workbookViewId="0">
      <selection activeCell="C135" sqref="C1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2978.977468336192</v>
      </c>
      <c r="U10" s="190">
        <f>'Données projet'!D9</f>
        <v>0.61989300000000003</v>
      </c>
      <c r="V10" s="189">
        <f>U10*T10</f>
        <v>1846.6472797793272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529.15705950963059</v>
      </c>
      <c r="U11" s="190">
        <f>'Données projet'!D10</f>
        <v>0.68040000000000012</v>
      </c>
      <c r="V11" s="189">
        <f t="shared" ref="V11" si="0">U11*T11</f>
        <v>360.03846329035269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6498.9858016226553</v>
      </c>
      <c r="U12" s="190">
        <f>'Données projet'!D11</f>
        <v>0.85681800000000008</v>
      </c>
      <c r="V12" s="189">
        <f t="shared" ref="V12:V19" si="1">U12*T12</f>
        <v>5568.4480165747209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charme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188.41667764783867</v>
      </c>
      <c r="U13" s="190">
        <f>'Données projet'!D12</f>
        <v>0.17010000000000003</v>
      </c>
      <c r="V13" s="189">
        <f t="shared" si="1"/>
        <v>32.049676867897361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5226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1553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583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34</v>
      </c>
      <c r="C23" s="206">
        <v>5</v>
      </c>
      <c r="D23" s="194">
        <f>B23*C23</f>
        <v>170</v>
      </c>
      <c r="E23" s="206"/>
      <c r="F23" s="261"/>
      <c r="H23" s="203">
        <v>3</v>
      </c>
      <c r="I23" s="204">
        <v>819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-11544.563537248861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50</v>
      </c>
      <c r="C24" s="206">
        <v>7</v>
      </c>
      <c r="D24" s="194">
        <f t="shared" ref="D24:D42" si="2">B24*C24</f>
        <v>350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52</v>
      </c>
      <c r="C25" s="206">
        <v>9</v>
      </c>
      <c r="D25" s="194">
        <f t="shared" si="2"/>
        <v>468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-11544.563537248861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51</v>
      </c>
      <c r="C26" s="206">
        <v>14</v>
      </c>
      <c r="D26" s="194">
        <f t="shared" si="2"/>
        <v>714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49</v>
      </c>
      <c r="C27" s="206">
        <v>14</v>
      </c>
      <c r="D27" s="194">
        <f t="shared" si="2"/>
        <v>686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45</v>
      </c>
      <c r="C28" s="206">
        <v>20</v>
      </c>
      <c r="D28" s="194">
        <f t="shared" si="2"/>
        <v>900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41</v>
      </c>
      <c r="C29" s="206">
        <v>25</v>
      </c>
      <c r="D29" s="194">
        <f t="shared" si="2"/>
        <v>1025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37</v>
      </c>
      <c r="C30" s="206">
        <v>30</v>
      </c>
      <c r="D30" s="194">
        <f t="shared" si="2"/>
        <v>1110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258</v>
      </c>
      <c r="C31" s="206">
        <v>80</v>
      </c>
      <c r="D31" s="194">
        <f t="shared" si="2"/>
        <v>20640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283</v>
      </c>
      <c r="C73" s="292">
        <v>150</v>
      </c>
      <c r="D73" s="191">
        <f t="shared" si="4"/>
        <v>42450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43</v>
      </c>
      <c r="C86" s="292">
        <v>15</v>
      </c>
      <c r="D86" s="191">
        <f t="shared" ref="D86:D104" si="6">B86*C86</f>
        <v>645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60</v>
      </c>
      <c r="C87" s="292">
        <v>20</v>
      </c>
      <c r="D87" s="191">
        <f t="shared" si="6"/>
        <v>1200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90</v>
      </c>
      <c r="C88" s="292">
        <v>28</v>
      </c>
      <c r="D88" s="191">
        <f t="shared" si="6"/>
        <v>2520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72</v>
      </c>
      <c r="C89" s="292">
        <v>28</v>
      </c>
      <c r="D89" s="191">
        <f t="shared" si="6"/>
        <v>2016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77</v>
      </c>
      <c r="C90" s="292">
        <v>28</v>
      </c>
      <c r="D90" s="191">
        <f t="shared" si="6"/>
        <v>2156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64</v>
      </c>
      <c r="C91" s="292">
        <v>35</v>
      </c>
      <c r="D91" s="191">
        <f t="shared" si="6"/>
        <v>2240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62</v>
      </c>
      <c r="C92" s="292">
        <v>35</v>
      </c>
      <c r="D92" s="191">
        <f t="shared" si="6"/>
        <v>2170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46</v>
      </c>
      <c r="C93" s="292">
        <v>40</v>
      </c>
      <c r="D93" s="191">
        <f t="shared" si="6"/>
        <v>1840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35</v>
      </c>
      <c r="C94" s="292">
        <v>50</v>
      </c>
      <c r="D94" s="191">
        <f t="shared" si="6"/>
        <v>1750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769</v>
      </c>
      <c r="C95" s="292">
        <v>80</v>
      </c>
      <c r="D95" s="191">
        <f t="shared" si="6"/>
        <v>61520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charme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>
        <v>12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>
        <v>12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13</v>
      </c>
      <c r="C118" s="204">
        <v>12</v>
      </c>
      <c r="D118" s="191">
        <f t="shared" si="8"/>
        <v>156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14</v>
      </c>
      <c r="C119" s="204">
        <v>12</v>
      </c>
      <c r="D119" s="191">
        <f t="shared" si="8"/>
        <v>168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14</v>
      </c>
      <c r="C120" s="204">
        <v>12</v>
      </c>
      <c r="D120" s="191">
        <f t="shared" si="8"/>
        <v>168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14</v>
      </c>
      <c r="C121" s="204">
        <v>12</v>
      </c>
      <c r="D121" s="191">
        <f t="shared" si="8"/>
        <v>168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14</v>
      </c>
      <c r="C122" s="204">
        <v>12</v>
      </c>
      <c r="D122" s="191">
        <f t="shared" si="8"/>
        <v>168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14</v>
      </c>
      <c r="C123" s="204">
        <v>12</v>
      </c>
      <c r="D123" s="191">
        <f t="shared" si="8"/>
        <v>168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14</v>
      </c>
      <c r="C124" s="204">
        <v>12</v>
      </c>
      <c r="D124" s="191">
        <f t="shared" si="8"/>
        <v>168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14</v>
      </c>
      <c r="C125" s="204">
        <v>12</v>
      </c>
      <c r="D125" s="191">
        <f t="shared" si="8"/>
        <v>168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14</v>
      </c>
      <c r="C126" s="204">
        <v>12</v>
      </c>
      <c r="D126" s="191">
        <f t="shared" si="8"/>
        <v>168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14</v>
      </c>
      <c r="C127" s="204">
        <v>12</v>
      </c>
      <c r="D127" s="191">
        <f t="shared" si="8"/>
        <v>168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14</v>
      </c>
      <c r="C128" s="204">
        <v>12</v>
      </c>
      <c r="D128" s="191">
        <f t="shared" si="8"/>
        <v>168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14</v>
      </c>
      <c r="C129" s="204">
        <v>12</v>
      </c>
      <c r="D129" s="191">
        <f t="shared" si="8"/>
        <v>168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14</v>
      </c>
      <c r="C130" s="204">
        <v>12</v>
      </c>
      <c r="D130" s="191">
        <f t="shared" si="8"/>
        <v>168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13</v>
      </c>
      <c r="C131" s="204">
        <v>12</v>
      </c>
      <c r="D131" s="191">
        <f t="shared" si="8"/>
        <v>156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13</v>
      </c>
      <c r="C132" s="204">
        <v>12</v>
      </c>
      <c r="D132" s="191">
        <f t="shared" si="8"/>
        <v>156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13</v>
      </c>
      <c r="C133" s="204">
        <v>12</v>
      </c>
      <c r="D133" s="191">
        <f t="shared" si="8"/>
        <v>156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13</v>
      </c>
      <c r="C134" s="204">
        <v>12</v>
      </c>
      <c r="D134" s="191">
        <f t="shared" si="8"/>
        <v>156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222</v>
      </c>
      <c r="C135" s="204">
        <v>12</v>
      </c>
      <c r="D135" s="191">
        <f t="shared" si="8"/>
        <v>2664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2024-08-28T07:14:24Z</dcterms:modified>
</cp:coreProperties>
</file>