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MONTLIEU (17) - TEURLAIS\Dossier à déposer\"/>
    </mc:Choice>
  </mc:AlternateContent>
  <xr:revisionPtr revIDLastSave="0" documentId="13_ncr:1_{A217E797-9F11-4A39-B3E0-049E6FDC84E3}" xr6:coauthVersionLast="36" xr6:coauthVersionMax="36" xr10:uidLastSave="{00000000-0000-0000-0000-000000000000}"/>
  <bookViews>
    <workbookView xWindow="0" yWindow="0" windowWidth="28800" windowHeight="12615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<sst xmlns="http://schemas.openxmlformats.org/spreadsheetml/2006/main" count="1166" uniqueCount="324">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</sst>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90" zoomScaleNormal="90" workbookViewId="0">
      <selection activeCell="E32" sqref="E3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1</v>
      </c>
      <c r="D9" s="36">
        <f t="shared" ref="D9:D18" si="0">C9*$C$5</f>
        <v>1.6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34</v>
      </c>
      <c r="C36" s="63">
        <v>1</v>
      </c>
      <c r="D36" s="63">
        <v>6</v>
      </c>
      <c r="E36" s="54"/>
      <c r="F36" s="54"/>
      <c r="G36" s="54">
        <v>1</v>
      </c>
      <c r="H36" s="54"/>
      <c r="I36" s="52">
        <f>IFERROR(B36/A36,"")</f>
        <v>6.8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99</v>
      </c>
      <c r="C37" s="63">
        <v>2</v>
      </c>
      <c r="D37" s="63">
        <v>28</v>
      </c>
      <c r="E37" s="54"/>
      <c r="F37" s="54"/>
      <c r="G37" s="54">
        <v>1</v>
      </c>
      <c r="H37" s="54"/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140</v>
      </c>
      <c r="C38" s="63">
        <v>3</v>
      </c>
      <c r="D38" s="63">
        <v>23</v>
      </c>
      <c r="E38" s="54">
        <v>0.3</v>
      </c>
      <c r="F38" s="54"/>
      <c r="G38" s="54">
        <v>0.7</v>
      </c>
      <c r="H38" s="54"/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180</v>
      </c>
      <c r="C39" s="63">
        <v>4</v>
      </c>
      <c r="D39" s="63">
        <v>18</v>
      </c>
      <c r="E39" s="54">
        <v>0.5</v>
      </c>
      <c r="F39" s="54"/>
      <c r="G39" s="54">
        <v>0.5</v>
      </c>
      <c r="H39" s="54"/>
      <c r="I39" s="52">
        <f t="shared" si="1"/>
        <v>12.6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214</v>
      </c>
      <c r="C40" s="63">
        <v>5</v>
      </c>
      <c r="D40" s="63">
        <v>14</v>
      </c>
      <c r="E40" s="54">
        <v>0.6</v>
      </c>
      <c r="F40" s="54"/>
      <c r="G40" s="54">
        <v>0.4</v>
      </c>
      <c r="H40" s="54"/>
      <c r="I40" s="52">
        <f t="shared" si="1"/>
        <v>10.4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243</v>
      </c>
      <c r="C41" s="63">
        <v>6</v>
      </c>
      <c r="D41" s="63">
        <v>11</v>
      </c>
      <c r="E41" s="54">
        <v>0.8</v>
      </c>
      <c r="F41" s="54"/>
      <c r="G41" s="54">
        <v>0.2</v>
      </c>
      <c r="H41" s="54"/>
      <c r="I41" s="56">
        <f t="shared" si="1"/>
        <v>8.6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267</v>
      </c>
      <c r="C42" s="63">
        <v>7</v>
      </c>
      <c r="D42" s="63">
        <v>9</v>
      </c>
      <c r="E42" s="54">
        <v>0.9</v>
      </c>
      <c r="F42" s="54"/>
      <c r="G42" s="54">
        <v>0.1</v>
      </c>
      <c r="H42" s="54"/>
      <c r="I42" s="56">
        <f t="shared" si="1"/>
        <v>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289</v>
      </c>
      <c r="C43" s="63">
        <v>8</v>
      </c>
      <c r="D43" s="63">
        <v>7</v>
      </c>
      <c r="E43" s="54">
        <v>0.9</v>
      </c>
      <c r="F43" s="54"/>
      <c r="G43" s="54">
        <v>0.1</v>
      </c>
      <c r="H43" s="54"/>
      <c r="I43" s="52">
        <f t="shared" si="1"/>
        <v>6.2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312</v>
      </c>
      <c r="C44" s="63">
        <v>9</v>
      </c>
      <c r="D44" s="63">
        <v>312</v>
      </c>
      <c r="E44" s="54">
        <v>0.9</v>
      </c>
      <c r="F44" s="54"/>
      <c r="G44" s="54">
        <v>0.1</v>
      </c>
      <c r="H44" s="54"/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Robinier faux-acacia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304.47024000758387</v>
      </c>
      <c r="T3" s="62">
        <f>IF('Données projet'!E9&gt;30,$R$33-$H$33,LOOKUP('Données projet'!$E$9,$A$3:$A$203,R3:R203)-LOOKUP('Données projet'!$E$9,$A$3:$A$203,$H$3:$H$203))</f>
        <v>426.50376066227295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6.8</v>
      </c>
      <c r="N4" s="14">
        <f>IF('Données projet'!$A$36&gt;35,N3+M4-V3,IF(A4&lt;'Données projet'!$A$36,$K$205^A4,IF(A4='Données projet'!$A$36,'Données projet'!$B$36,N3+M4-V3)))</f>
        <v>2.0243974584998852</v>
      </c>
      <c r="O4" s="14">
        <f>N4*VLOOKUP('Données projet'!$B$9,Paramètres!$A$1:$I$89,3,0)*VLOOKUP('Données projet'!$B$9,Paramètres!$A$1:$I$89,5,0)</f>
        <v>1.8316748204506961</v>
      </c>
      <c r="P4" s="14">
        <f>EXP(-1.0587+0.8836*LN(O4)+0.284)</f>
        <v>0.78669228172688432</v>
      </c>
      <c r="Q4" s="22">
        <f t="shared" ref="Q4:Q34" si="2">(O4+P4)*0.475*44/12</f>
        <v>4.5603227029592857</v>
      </c>
      <c r="R4" s="62">
        <f t="shared" si="0"/>
        <v>297.89365603629261</v>
      </c>
      <c r="S4" s="62">
        <f ca="1">AVERAGE(OFFSET($R$3,0,0,'Données projet'!$E$9+1,1))-AVERAGE(OFFSET($H$3,0,0,'Données projet'!$E$9+1,1))</f>
        <v>304.47024000758387</v>
      </c>
      <c r="T4" s="62">
        <f>$T$3</f>
        <v>426.50376066227295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6.8</v>
      </c>
      <c r="N5" s="14">
        <f>IF('Données projet'!$A$36&gt;35,N4+M5-V4,IF(A5&lt;'Données projet'!$A$36,$K$205^A5,IF(A5='Données projet'!$A$36,'Données projet'!$B$36,N4+M5-V4)))</f>
        <v>4.0981850699807945</v>
      </c>
      <c r="O5" s="14">
        <f>N5*VLOOKUP('Données projet'!$B$9,Paramètres!$A$1:$I$89,3,0)*VLOOKUP('Données projet'!$B$9,Paramètres!$A$1:$I$89,5,0)</f>
        <v>3.7080378513186227</v>
      </c>
      <c r="P5" s="14">
        <f t="shared" ref="P5:P68" si="33">EXP(-1.0587+0.8836*LN(O5)+0.284)</f>
        <v>1.4670598901857457</v>
      </c>
      <c r="Q5" s="22">
        <f t="shared" si="2"/>
        <v>9.0132952331201093</v>
      </c>
      <c r="R5" s="62">
        <f t="shared" si="0"/>
        <v>302.34662856645343</v>
      </c>
      <c r="S5" s="62">
        <f ca="1">AVERAGE(OFFSET($R$3,0,0,'Données projet'!$E$9+1,1))-AVERAGE(OFFSET($H$3,0,0,'Données projet'!$E$9+1,1))</f>
        <v>304.47024000758387</v>
      </c>
      <c r="T5" s="62">
        <f t="shared" ref="T5:T68" si="34">$T$3</f>
        <v>426.50376066227295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6.8</v>
      </c>
      <c r="N6" s="14">
        <f>IF('Données projet'!$A$36&gt;35,N5+M6-V5,IF(A6&lt;'Données projet'!$A$36,$K$205^A6,IF(A6='Données projet'!$A$36,'Données projet'!$B$36,N5+M6-V5)))</f>
        <v>8.2963554401312951</v>
      </c>
      <c r="O6" s="14">
        <f>N6*VLOOKUP('Données projet'!$B$9,Paramètres!$A$1:$I$89,3,0)*VLOOKUP('Données projet'!$B$9,Paramètres!$A$1:$I$89,5,0)</f>
        <v>7.5065424022307949</v>
      </c>
      <c r="P6" s="14">
        <f t="shared" si="33"/>
        <v>2.7358406474604431</v>
      </c>
      <c r="Q6" s="22">
        <f t="shared" si="2"/>
        <v>17.838817144878906</v>
      </c>
      <c r="R6" s="62">
        <f t="shared" si="0"/>
        <v>311.17215047821225</v>
      </c>
      <c r="S6" s="62">
        <f ca="1">AVERAGE(OFFSET($R$3,0,0,'Données projet'!$E$9+1,1))-AVERAGE(OFFSET($H$3,0,0,'Données projet'!$E$9+1,1))</f>
        <v>304.47024000758387</v>
      </c>
      <c r="T6" s="62">
        <f t="shared" si="34"/>
        <v>426.50376066227295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6.8</v>
      </c>
      <c r="N7" s="14">
        <f>IF('Données projet'!$A$36&gt;35,N6+M7-V6,IF(A7&lt;'Données projet'!$A$36,$K$205^A7,IF(A7='Données projet'!$A$36,'Données projet'!$B$36,N6+M7-V6)))</f>
        <v>16.795120867813488</v>
      </c>
      <c r="O7" s="14">
        <f>N7*VLOOKUP('Données projet'!$B$9,Paramètres!$A$1:$I$89,3,0)*VLOOKUP('Données projet'!$B$9,Paramètres!$A$1:$I$89,5,0)</f>
        <v>15.196225361197643</v>
      </c>
      <c r="P7" s="14">
        <f t="shared" si="33"/>
        <v>5.1019212633160578</v>
      </c>
      <c r="Q7" s="22">
        <f t="shared" si="2"/>
        <v>35.352605371028027</v>
      </c>
      <c r="R7" s="62">
        <f t="shared" si="0"/>
        <v>328.68593870436132</v>
      </c>
      <c r="S7" s="62">
        <f ca="1">AVERAGE(OFFSET($R$3,0,0,'Données projet'!$E$9+1,1))-AVERAGE(OFFSET($H$3,0,0,'Données projet'!$E$9+1,1))</f>
        <v>304.47024000758387</v>
      </c>
      <c r="T7" s="62">
        <f t="shared" si="34"/>
        <v>426.50376066227295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>
        <f>VLOOKUP(A8,'Données projet'!$A$35:$I$55,2,0)</f>
        <v>34</v>
      </c>
      <c r="L8" s="13">
        <f>VLOOKUP(A8,'Données projet'!$A$35:$I$55,9,0)</f>
        <v>6.8</v>
      </c>
      <c r="M8" s="13">
        <f t="array" ref="M8">INDEX(L:L,MIN(IF(ISNUMBER(L8:L204),ROW(L8:L204),"")))</f>
        <v>6.8</v>
      </c>
      <c r="N8" s="14">
        <f>IF('Données projet'!$A$36&gt;35,N7+M8-V7,IF(A8&lt;'Données projet'!$A$36,$K$205^A8,IF(A8='Données projet'!$A$36,'Données projet'!$B$36,N7+M8-V7)))</f>
        <v>34</v>
      </c>
      <c r="O8" s="14">
        <f>N8*VLOOKUP('Données projet'!$B$9,Paramètres!$A$1:$I$89,3,0)*VLOOKUP('Données projet'!$B$9,Paramètres!$A$1:$I$89,5,0)</f>
        <v>30.763199999999998</v>
      </c>
      <c r="P8" s="14">
        <f t="shared" si="33"/>
        <v>9.5142970411082253</v>
      </c>
      <c r="Q8" s="22">
        <f t="shared" si="2"/>
        <v>70.149974013263474</v>
      </c>
      <c r="R8" s="62">
        <f t="shared" si="0"/>
        <v>363.4833073465968</v>
      </c>
      <c r="S8" s="62">
        <f ca="1">AVERAGE(OFFSET($R$3,0,0,'Données projet'!$E$9+1,1))-AVERAGE(OFFSET($H$3,0,0,'Données projet'!$E$9+1,1))</f>
        <v>304.47024000758387</v>
      </c>
      <c r="T8" s="62">
        <f t="shared" si="34"/>
        <v>426.50376066227295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6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5.1222189140097312</v>
      </c>
      <c r="AC8" s="24">
        <f t="shared" si="3"/>
        <v>5.1222189140097312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14.2</v>
      </c>
      <c r="N9" s="14">
        <f>IF('Données projet'!$A$36&gt;35,N8+M9-V8,IF(A9&lt;'Données projet'!$A$36,$K$205^A9,IF(A9='Données projet'!$A$36,'Données projet'!$B$36,N8+M9-V8)))</f>
        <v>42.2</v>
      </c>
      <c r="O9" s="14">
        <f>N9*VLOOKUP('Données projet'!$B$9,Paramètres!$A$1:$I$89,3,0)*VLOOKUP('Données projet'!$B$9,Paramètres!$A$1:$I$89,5,0)</f>
        <v>38.182560000000002</v>
      </c>
      <c r="P9" s="14">
        <f t="shared" si="33"/>
        <v>11.515638334288104</v>
      </c>
      <c r="Q9" s="22">
        <f t="shared" si="2"/>
        <v>86.557695432218452</v>
      </c>
      <c r="R9" s="62">
        <f t="shared" si="0"/>
        <v>379.89102876555177</v>
      </c>
      <c r="S9" s="62">
        <f ca="1">AVERAGE(OFFSET($R$3,0,0,'Données projet'!$E$9+1,1))-AVERAGE(OFFSET($H$3,0,0,'Données projet'!$E$9+1,1))</f>
        <v>304.47024000758387</v>
      </c>
      <c r="T9" s="62">
        <f t="shared" si="34"/>
        <v>426.50376066227295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3.6219557288182744</v>
      </c>
      <c r="AC9" s="24">
        <f t="shared" si="3"/>
        <v>3.6219557288182744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14.2</v>
      </c>
      <c r="N10" s="14">
        <f>IF('Données projet'!$A$36&gt;35,N9+M10-V9,IF(A10&lt;'Données projet'!$A$36,$K$205^A10,IF(A10='Données projet'!$A$36,'Données projet'!$B$36,N9+M10-V9)))</f>
        <v>56.400000000000006</v>
      </c>
      <c r="O10" s="14">
        <f>N10*VLOOKUP('Données projet'!$B$9,Paramètres!$A$1:$I$89,3,0)*VLOOKUP('Données projet'!$B$9,Paramètres!$A$1:$I$89,5,0)</f>
        <v>51.030720000000009</v>
      </c>
      <c r="P10" s="14">
        <f t="shared" si="33"/>
        <v>14.879630660597618</v>
      </c>
      <c r="Q10" s="22">
        <f t="shared" si="2"/>
        <v>114.79386073387418</v>
      </c>
      <c r="R10" s="62">
        <f t="shared" si="0"/>
        <v>408.12719406720748</v>
      </c>
      <c r="S10" s="62">
        <f ca="1">AVERAGE(OFFSET($R$3,0,0,'Données projet'!$E$9+1,1))-AVERAGE(OFFSET($H$3,0,0,'Données projet'!$E$9+1,1))</f>
        <v>304.47024000758387</v>
      </c>
      <c r="T10" s="62">
        <f t="shared" si="34"/>
        <v>426.50376066227295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2.561109457004866</v>
      </c>
      <c r="AC10" s="24">
        <f t="shared" si="3"/>
        <v>2.561109457004866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14.2</v>
      </c>
      <c r="N11" s="14">
        <f>IF('Données projet'!$A$36&gt;35,N10+M11-V10,IF(A11&lt;'Données projet'!$A$36,$K$205^A11,IF(A11='Données projet'!$A$36,'Données projet'!$B$36,N10+M11-V10)))</f>
        <v>70.600000000000009</v>
      </c>
      <c r="O11" s="14">
        <f>N11*VLOOKUP('Données projet'!$B$9,Paramètres!$A$1:$I$89,3,0)*VLOOKUP('Données projet'!$B$9,Paramètres!$A$1:$I$89,5,0)</f>
        <v>63.878880000000002</v>
      </c>
      <c r="P11" s="14">
        <f t="shared" si="33"/>
        <v>18.145367520913332</v>
      </c>
      <c r="Q11" s="22">
        <f t="shared" si="2"/>
        <v>142.85889776559074</v>
      </c>
      <c r="R11" s="62">
        <f t="shared" si="0"/>
        <v>436.19223109892403</v>
      </c>
      <c r="S11" s="62">
        <f ca="1">AVERAGE(OFFSET($R$3,0,0,'Données projet'!$E$9+1,1))-AVERAGE(OFFSET($H$3,0,0,'Données projet'!$E$9+1,1))</f>
        <v>304.47024000758387</v>
      </c>
      <c r="T11" s="62">
        <f t="shared" si="34"/>
        <v>426.50376066227295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1.8109778644091374</v>
      </c>
      <c r="AC11" s="24">
        <f t="shared" si="3"/>
        <v>1.8109778644091374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14.2</v>
      </c>
      <c r="N12" s="14">
        <f>IF('Données projet'!$A$36&gt;35,N11+M12-V11,IF(A12&lt;'Données projet'!$A$36,$K$205^A12,IF(A12='Données projet'!$A$36,'Données projet'!$B$36,N11+M12-V11)))</f>
        <v>84.800000000000011</v>
      </c>
      <c r="O12" s="14">
        <f>N12*VLOOKUP('Données projet'!$B$9,Paramètres!$A$1:$I$89,3,0)*VLOOKUP('Données projet'!$B$9,Paramètres!$A$1:$I$89,5,0)</f>
        <v>76.727040000000017</v>
      </c>
      <c r="P12" s="14">
        <f t="shared" si="33"/>
        <v>21.334993267156719</v>
      </c>
      <c r="Q12" s="22">
        <f t="shared" si="2"/>
        <v>170.79137460696464</v>
      </c>
      <c r="R12" s="62">
        <f t="shared" si="0"/>
        <v>464.12470794029798</v>
      </c>
      <c r="S12" s="62">
        <f ca="1">AVERAGE(OFFSET($R$3,0,0,'Données projet'!$E$9+1,1))-AVERAGE(OFFSET($H$3,0,0,'Données projet'!$E$9+1,1))</f>
        <v>304.47024000758387</v>
      </c>
      <c r="T12" s="62">
        <f t="shared" si="34"/>
        <v>426.50376066227295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1.2805547285024332</v>
      </c>
      <c r="AC12" s="24">
        <f t="shared" si="3"/>
        <v>1.2805547285024332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99</v>
      </c>
      <c r="L13" s="13">
        <f>VLOOKUP(A13,'Données projet'!$A$35:$I$55,9,0)</f>
        <v>14.2</v>
      </c>
      <c r="M13" s="13">
        <f t="array" ref="M13">INDEX(L:L,MIN(IF(ISNUMBER(L13:L209),ROW(L13:L209),"")))</f>
        <v>14.2</v>
      </c>
      <c r="N13" s="14">
        <f>IF('Données projet'!$A$36&gt;35,N12+M13-V12,IF(A13&lt;'Données projet'!$A$36,$K$205^A13,IF(A13='Données projet'!$A$36,'Données projet'!$B$36,N12+M13-V12)))</f>
        <v>99.000000000000014</v>
      </c>
      <c r="O13" s="14">
        <f>N13*VLOOKUP('Données projet'!$B$9,Paramètres!$A$1:$I$89,3,0)*VLOOKUP('Données projet'!$B$9,Paramètres!$A$1:$I$89,5,0)</f>
        <v>89.575200000000009</v>
      </c>
      <c r="P13" s="14">
        <f t="shared" si="33"/>
        <v>24.462745269668691</v>
      </c>
      <c r="Q13" s="22">
        <f t="shared" si="2"/>
        <v>198.61608801133966</v>
      </c>
      <c r="R13" s="62">
        <f t="shared" si="0"/>
        <v>491.94942134467294</v>
      </c>
      <c r="S13" s="62">
        <f ca="1">AVERAGE(OFFSET($R$3,0,0,'Données projet'!$E$9+1,1))-AVERAGE(OFFSET($H$3,0,0,'Données projet'!$E$9+1,1))</f>
        <v>304.47024000758387</v>
      </c>
      <c r="T13" s="62">
        <f t="shared" si="34"/>
        <v>426.50376066227295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28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24.809177197583317</v>
      </c>
      <c r="AC13" s="24">
        <f t="shared" si="3"/>
        <v>24.809177197583317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13.8</v>
      </c>
      <c r="N14" s="14">
        <f>IF('Données projet'!$A$36&gt;35,N13+M14-V13,IF(A14&lt;'Données projet'!$A$36,$K$205^A14,IF(A14='Données projet'!$A$36,'Données projet'!$B$36,N13+M14-V13)))</f>
        <v>84.800000000000011</v>
      </c>
      <c r="O14" s="14">
        <f>N14*VLOOKUP('Données projet'!$B$9,Paramètres!$A$1:$I$89,3,0)*VLOOKUP('Données projet'!$B$9,Paramètres!$A$1:$I$89,5,0)</f>
        <v>76.727040000000017</v>
      </c>
      <c r="P14" s="14">
        <f t="shared" si="33"/>
        <v>21.334993267156719</v>
      </c>
      <c r="Q14" s="22">
        <f t="shared" si="2"/>
        <v>170.79137460696464</v>
      </c>
      <c r="R14" s="62">
        <f t="shared" si="0"/>
        <v>464.12470794029798</v>
      </c>
      <c r="S14" s="62">
        <f ca="1">AVERAGE(OFFSET($R$3,0,0,'Données projet'!$E$9+1,1))-AVERAGE(OFFSET($H$3,0,0,'Données projet'!$E$9+1,1))</f>
        <v>304.47024000758387</v>
      </c>
      <c r="T14" s="62">
        <f t="shared" si="34"/>
        <v>426.50376066227295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17.542737432069831</v>
      </c>
      <c r="AC14" s="24">
        <f t="shared" si="3"/>
        <v>17.542737432069831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13.8</v>
      </c>
      <c r="N15" s="14">
        <f>IF('Données projet'!$A$36&gt;35,N14+M15-V14,IF(A15&lt;'Données projet'!$A$36,$K$205^A15,IF(A15='Données projet'!$A$36,'Données projet'!$B$36,N14+M15-V14)))</f>
        <v>98.600000000000009</v>
      </c>
      <c r="O15" s="14">
        <f>N15*VLOOKUP('Données projet'!$B$9,Paramètres!$A$1:$I$89,3,0)*VLOOKUP('Données projet'!$B$9,Paramètres!$A$1:$I$89,5,0)</f>
        <v>89.213280000000012</v>
      </c>
      <c r="P15" s="14">
        <f t="shared" si="33"/>
        <v>24.375390230293569</v>
      </c>
      <c r="Q15" s="22">
        <f t="shared" si="2"/>
        <v>197.83360065109466</v>
      </c>
      <c r="R15" s="62">
        <f t="shared" si="0"/>
        <v>491.16693398442794</v>
      </c>
      <c r="S15" s="62">
        <f ca="1">AVERAGE(OFFSET($R$3,0,0,'Données projet'!$E$9+1,1))-AVERAGE(OFFSET($H$3,0,0,'Données projet'!$E$9+1,1))</f>
        <v>304.47024000758387</v>
      </c>
      <c r="T15" s="62">
        <f t="shared" si="34"/>
        <v>426.50376066227295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12.40458859879166</v>
      </c>
      <c r="AC15" s="24">
        <f t="shared" si="3"/>
        <v>12.40458859879166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13.8</v>
      </c>
      <c r="N16" s="14">
        <f>IF('Données projet'!$A$36&gt;35,N15+M16-V15,IF(A16&lt;'Données projet'!$A$36,$K$205^A16,IF(A16='Données projet'!$A$36,'Données projet'!$B$36,N15+M16-V15)))</f>
        <v>112.4</v>
      </c>
      <c r="O16" s="14">
        <f>N16*VLOOKUP('Données projet'!$B$9,Paramètres!$A$1:$I$89,3,0)*VLOOKUP('Données projet'!$B$9,Paramètres!$A$1:$I$89,5,0)</f>
        <v>101.69951999999999</v>
      </c>
      <c r="P16" s="14">
        <f t="shared" si="33"/>
        <v>27.366486780557949</v>
      </c>
      <c r="Q16" s="22">
        <f t="shared" si="2"/>
        <v>224.78996180947172</v>
      </c>
      <c r="R16" s="62">
        <f t="shared" si="0"/>
        <v>518.12329514280509</v>
      </c>
      <c r="S16" s="62">
        <f ca="1">AVERAGE(OFFSET($R$3,0,0,'Données projet'!$E$9+1,1))-AVERAGE(OFFSET($H$3,0,0,'Données projet'!$E$9+1,1))</f>
        <v>304.47024000758387</v>
      </c>
      <c r="T16" s="62">
        <f t="shared" si="34"/>
        <v>426.50376066227295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8.7713687160349174</v>
      </c>
      <c r="AC16" s="24">
        <f t="shared" si="3"/>
        <v>8.7713687160349174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13.8</v>
      </c>
      <c r="N17" s="14">
        <f>IF('Données projet'!$A$36&gt;35,N16+M17-V16,IF(A17&lt;'Données projet'!$A$36,$K$205^A17,IF(A17='Données projet'!$A$36,'Données projet'!$B$36,N16+M17-V16)))</f>
        <v>126.2</v>
      </c>
      <c r="O17" s="14">
        <f>N17*VLOOKUP('Données projet'!$B$9,Paramètres!$A$1:$I$89,3,0)*VLOOKUP('Données projet'!$B$9,Paramètres!$A$1:$I$89,5,0)</f>
        <v>114.18576</v>
      </c>
      <c r="P17" s="14">
        <f t="shared" si="33"/>
        <v>30.315028515433259</v>
      </c>
      <c r="Q17" s="22">
        <f t="shared" si="2"/>
        <v>251.67220666437959</v>
      </c>
      <c r="R17" s="62">
        <f t="shared" si="0"/>
        <v>545.00553999771296</v>
      </c>
      <c r="S17" s="62">
        <f ca="1">AVERAGE(OFFSET($R$3,0,0,'Données projet'!$E$9+1,1))-AVERAGE(OFFSET($H$3,0,0,'Données projet'!$E$9+1,1))</f>
        <v>304.47024000758387</v>
      </c>
      <c r="T17" s="62">
        <f t="shared" si="34"/>
        <v>426.50376066227295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6.202294299395831</v>
      </c>
      <c r="AC17" s="24">
        <f t="shared" si="3"/>
        <v>6.202294299395831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140</v>
      </c>
      <c r="L18" s="13">
        <f>VLOOKUP(A18,'Données projet'!$A$35:$I$55,9,0)</f>
        <v>13.8</v>
      </c>
      <c r="M18" s="13">
        <f t="array" ref="M18">INDEX(L:L,MIN(IF(ISNUMBER(L18:L214),ROW(L18:L214),"")))</f>
        <v>13.8</v>
      </c>
      <c r="N18" s="14">
        <f>IF('Données projet'!$A$36&gt;35,N17+M18-V17,IF(A18&lt;'Données projet'!$A$36,$K$205^A18,IF(A18='Données projet'!$A$36,'Données projet'!$B$36,N17+M18-V17)))</f>
        <v>140</v>
      </c>
      <c r="O18" s="14">
        <f>N18*VLOOKUP('Données projet'!$B$9,Paramètres!$A$1:$I$89,3,0)*VLOOKUP('Données projet'!$B$9,Paramètres!$A$1:$I$89,5,0)</f>
        <v>126.67199999999998</v>
      </c>
      <c r="P18" s="14">
        <f t="shared" si="33"/>
        <v>33.226199426361347</v>
      </c>
      <c r="Q18" s="22">
        <f t="shared" si="2"/>
        <v>278.48936400091264</v>
      </c>
      <c r="R18" s="62">
        <f t="shared" si="0"/>
        <v>571.82269733424596</v>
      </c>
      <c r="S18" s="62">
        <f ca="1">AVERAGE(OFFSET($R$3,0,0,'Données projet'!$E$9+1,1))-AVERAGE(OFFSET($H$3,0,0,'Données projet'!$E$9+1,1))</f>
        <v>304.47024000758387</v>
      </c>
      <c r="T18" s="62">
        <f t="shared" si="34"/>
        <v>426.50376066227295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23</v>
      </c>
      <c r="W18" s="17">
        <f>IF(ISNA(VLOOKUP(A18,'Données projet'!$A$35:$I$55,5,0)),0%,VLOOKUP(A18,'Données projet'!$A$35:$I$55,5,0)*VLOOKUP('Données projet'!$B$9,Paramètres!$A$1:$I$89,7,0))</f>
        <v>0.09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0.7</v>
      </c>
      <c r="Z18" s="23">
        <f>EXP(-LN(2)/35)*Z17+(1-EXP(-LN(2)/35))/(LN(2)/35)*V18*W18*VLOOKUP('Données projet'!$B$9,Paramètres!$A$1:$I$89,3,0)*0.475*44/12</f>
        <v>2.0704752707609253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18.130305110610234</v>
      </c>
      <c r="AC18" s="24">
        <f t="shared" si="3"/>
        <v>20.20078038137116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12.6</v>
      </c>
      <c r="N19" s="14">
        <f>IF('Données projet'!$A$36&gt;35,N18+M19-V18,IF(A19&lt;'Données projet'!$A$36,$K$205^A19,IF(A19='Données projet'!$A$36,'Données projet'!$B$36,N18+M19-V18)))</f>
        <v>129.6</v>
      </c>
      <c r="O19" s="14">
        <f>N19*VLOOKUP('Données projet'!$B$9,Paramètres!$A$1:$I$89,3,0)*VLOOKUP('Données projet'!$B$9,Paramètres!$A$1:$I$89,5,0)</f>
        <v>117.26208</v>
      </c>
      <c r="P19" s="14">
        <f t="shared" si="33"/>
        <v>31.035569170075775</v>
      </c>
      <c r="Q19" s="22">
        <f t="shared" si="2"/>
        <v>258.28507230454863</v>
      </c>
      <c r="R19" s="62">
        <f t="shared" si="0"/>
        <v>551.61840563788201</v>
      </c>
      <c r="S19" s="62">
        <f ca="1">AVERAGE(OFFSET($R$3,0,0,'Données projet'!$E$9+1,1))-AVERAGE(OFFSET($H$3,0,0,'Données projet'!$E$9+1,1))</f>
        <v>304.47024000758387</v>
      </c>
      <c r="T19" s="62">
        <f t="shared" si="34"/>
        <v>426.50376066227295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2.0298745135665213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12.820061688693615</v>
      </c>
      <c r="AC19" s="24">
        <f t="shared" si="3"/>
        <v>14.849936202260135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12.6</v>
      </c>
      <c r="N20" s="14">
        <f>IF('Données projet'!$A$36&gt;35,N19+M20-V19,IF(A20&lt;'Données projet'!$A$36,$K$205^A20,IF(A20='Données projet'!$A$36,'Données projet'!$B$36,N19+M20-V19)))</f>
        <v>142.19999999999999</v>
      </c>
      <c r="O20" s="14">
        <f>N20*VLOOKUP('Données projet'!$B$9,Paramètres!$A$1:$I$89,3,0)*VLOOKUP('Données projet'!$B$9,Paramètres!$A$1:$I$89,5,0)</f>
        <v>128.66255999999998</v>
      </c>
      <c r="P20" s="14">
        <f t="shared" si="33"/>
        <v>33.687130461083775</v>
      </c>
      <c r="Q20" s="22">
        <f t="shared" si="2"/>
        <v>282.75904421972086</v>
      </c>
      <c r="R20" s="62">
        <f t="shared" si="0"/>
        <v>576.09237755305412</v>
      </c>
      <c r="S20" s="62">
        <f ca="1">AVERAGE(OFFSET($R$3,0,0,'Données projet'!$E$9+1,1))-AVERAGE(OFFSET($H$3,0,0,'Données projet'!$E$9+1,1))</f>
        <v>304.47024000758387</v>
      </c>
      <c r="T20" s="62">
        <f t="shared" si="34"/>
        <v>426.50376066227295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1.9900699124566827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9.0651525553051169</v>
      </c>
      <c r="AC20" s="24">
        <f t="shared" si="3"/>
        <v>11.0552224677618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12.6</v>
      </c>
      <c r="N21" s="14">
        <f>IF('Données projet'!$A$36&gt;35,N20+M21-V20,IF(A21&lt;'Données projet'!$A$36,$K$205^A21,IF(A21='Données projet'!$A$36,'Données projet'!$B$36,N20+M21-V20)))</f>
        <v>154.79999999999998</v>
      </c>
      <c r="O21" s="14">
        <f>N21*VLOOKUP('Données projet'!$B$9,Paramètres!$A$1:$I$89,3,0)*VLOOKUP('Données projet'!$B$9,Paramètres!$A$1:$I$89,5,0)</f>
        <v>140.06303999999997</v>
      </c>
      <c r="P21" s="14">
        <f t="shared" si="33"/>
        <v>36.31144669536954</v>
      </c>
      <c r="Q21" s="22">
        <f t="shared" si="2"/>
        <v>307.18556432776853</v>
      </c>
      <c r="R21" s="62">
        <f t="shared" si="0"/>
        <v>600.51889766110185</v>
      </c>
      <c r="S21" s="62">
        <f ca="1">AVERAGE(OFFSET($R$3,0,0,'Données projet'!$E$9+1,1))-AVERAGE(OFFSET($H$3,0,0,'Données projet'!$E$9+1,1))</f>
        <v>304.47024000758387</v>
      </c>
      <c r="T21" s="62">
        <f t="shared" si="34"/>
        <v>426.50376066227295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1.9510458552961987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6.4100308443468075</v>
      </c>
      <c r="AC21" s="24">
        <f t="shared" si="3"/>
        <v>8.3610766996430055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12.6</v>
      </c>
      <c r="N22" s="14">
        <f>IF('Données projet'!$A$36&gt;35,N21+M22-V21,IF(A22&lt;'Données projet'!$A$36,$K$205^A22,IF(A22='Données projet'!$A$36,'Données projet'!$B$36,N21+M22-V21)))</f>
        <v>167.39999999999998</v>
      </c>
      <c r="O22" s="14">
        <f>N22*VLOOKUP('Données projet'!$B$9,Paramètres!$A$1:$I$89,3,0)*VLOOKUP('Données projet'!$B$9,Paramètres!$A$1:$I$89,5,0)</f>
        <v>151.46351999999999</v>
      </c>
      <c r="P22" s="14">
        <f t="shared" si="33"/>
        <v>38.910987614777085</v>
      </c>
      <c r="Q22" s="22">
        <f t="shared" si="2"/>
        <v>331.56893409573678</v>
      </c>
      <c r="R22" s="62">
        <f t="shared" si="0"/>
        <v>624.90226742907009</v>
      </c>
      <c r="S22" s="62">
        <f ca="1">AVERAGE(OFFSET($R$3,0,0,'Données projet'!$E$9+1,1))-AVERAGE(OFFSET($H$3,0,0,'Données projet'!$E$9+1,1))</f>
        <v>304.47024000758387</v>
      </c>
      <c r="T22" s="62">
        <f t="shared" si="34"/>
        <v>426.50376066227295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1.9127870360943071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4.5325762776525584</v>
      </c>
      <c r="AC22" s="24">
        <f t="shared" si="3"/>
        <v>6.4453633137468653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180</v>
      </c>
      <c r="L23" s="13">
        <f>VLOOKUP(A23,'Données projet'!$A$35:$I$55,9,0)</f>
        <v>12.6</v>
      </c>
      <c r="M23" s="13">
        <f t="array" ref="M23">INDEX(L:L,MIN(IF(ISNUMBER(L23:L219),ROW(L23:L219),"")))</f>
        <v>12.6</v>
      </c>
      <c r="N23" s="14">
        <f>IF('Données projet'!$A$36&gt;35,N22+M23-V22,IF(A23&lt;'Données projet'!$A$36,$K$205^A23,IF(A23='Données projet'!$A$36,'Données projet'!$B$36,N22+M23-V22)))</f>
        <v>179.99999999999997</v>
      </c>
      <c r="O23" s="14">
        <f>N23*VLOOKUP('Données projet'!$B$9,Paramètres!$A$1:$I$89,3,0)*VLOOKUP('Données projet'!$B$9,Paramètres!$A$1:$I$89,5,0)</f>
        <v>162.86399999999998</v>
      </c>
      <c r="P23" s="14">
        <f t="shared" si="33"/>
        <v>41.487830069509123</v>
      </c>
      <c r="Q23" s="22">
        <f t="shared" si="2"/>
        <v>355.91277070439497</v>
      </c>
      <c r="R23" s="62">
        <f t="shared" si="0"/>
        <v>649.24610403772829</v>
      </c>
      <c r="S23" s="62">
        <f ca="1">AVERAGE(OFFSET($R$3,0,0,'Données projet'!$E$9+1,1))-AVERAGE(OFFSET($H$3,0,0,'Données projet'!$E$9+1,1))</f>
        <v>304.47024000758387</v>
      </c>
      <c r="T23" s="62">
        <f t="shared" si="34"/>
        <v>426.50376066227295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18</v>
      </c>
      <c r="W23" s="17">
        <f>IF(ISNA(VLOOKUP(A23,'Données projet'!$A$35:$I$55,5,0)),0%,VLOOKUP(A23,'Données projet'!$A$35:$I$55,5,0)*VLOOKUP('Données projet'!$B$9,Paramètres!$A$1:$I$89,7,0))</f>
        <v>0.15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4.5758983673852045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10.888343793188</v>
      </c>
      <c r="AC23" s="24">
        <f t="shared" si="3"/>
        <v>15.464242160573203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10.4</v>
      </c>
      <c r="N24" s="14">
        <f>IF('Données projet'!$A$36&gt;35,N23+M24-V23,IF(A24&lt;'Données projet'!$A$36,$K$205^A24,IF(A24='Données projet'!$A$36,'Données projet'!$B$36,N23+M24-V23)))</f>
        <v>172.39999999999998</v>
      </c>
      <c r="O24" s="14">
        <f>N24*VLOOKUP('Données projet'!$B$9,Paramètres!$A$1:$I$89,3,0)*VLOOKUP('Données projet'!$B$9,Paramètres!$A$1:$I$89,5,0)</f>
        <v>155.98751999999996</v>
      </c>
      <c r="P24" s="14">
        <f t="shared" si="33"/>
        <v>39.936155927663087</v>
      </c>
      <c r="Q24" s="22">
        <f t="shared" si="2"/>
        <v>341.23373557401311</v>
      </c>
      <c r="R24" s="62">
        <f t="shared" si="0"/>
        <v>634.56706890734642</v>
      </c>
      <c r="S24" s="62">
        <f ca="1">AVERAGE(OFFSET($R$3,0,0,'Données projet'!$E$9+1,1))-AVERAGE(OFFSET($H$3,0,0,'Données projet'!$E$9+1,1))</f>
        <v>304.47024000758387</v>
      </c>
      <c r="T24" s="62">
        <f t="shared" si="34"/>
        <v>426.50376066227295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4.4861677914231946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7.6992217320536902</v>
      </c>
      <c r="AC24" s="24">
        <f t="shared" si="3"/>
        <v>12.185389523476886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10.4</v>
      </c>
      <c r="N25" s="14">
        <f>IF('Données projet'!$A$36&gt;35,N24+M25-V24,IF(A25&lt;'Données projet'!$A$36,$K$205^A25,IF(A25='Données projet'!$A$36,'Données projet'!$B$36,N24+M25-V24)))</f>
        <v>182.79999999999998</v>
      </c>
      <c r="O25" s="14">
        <f>N25*VLOOKUP('Données projet'!$B$9,Paramètres!$A$1:$I$89,3,0)*VLOOKUP('Données projet'!$B$9,Paramètres!$A$1:$I$89,5,0)</f>
        <v>165.39743999999999</v>
      </c>
      <c r="P25" s="14">
        <f t="shared" si="33"/>
        <v>42.057562385840804</v>
      </c>
      <c r="Q25" s="22">
        <f t="shared" si="2"/>
        <v>361.31746248867267</v>
      </c>
      <c r="R25" s="62">
        <f t="shared" si="0"/>
        <v>654.65079582200599</v>
      </c>
      <c r="S25" s="62">
        <f ca="1">AVERAGE(OFFSET($R$3,0,0,'Données projet'!$E$9+1,1))-AVERAGE(OFFSET($H$3,0,0,'Données projet'!$E$9+1,1))</f>
        <v>304.47024000758387</v>
      </c>
      <c r="T25" s="62">
        <f t="shared" si="34"/>
        <v>426.50376066227295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4.3981967773255519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5.4441718965940007</v>
      </c>
      <c r="AC25" s="24">
        <f t="shared" si="3"/>
        <v>9.8423686739195517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10.4</v>
      </c>
      <c r="N26" s="14">
        <f>IF('Données projet'!$A$36&gt;35,N25+M26-V25,IF(A26&lt;'Données projet'!$A$36,$K$205^A26,IF(A26='Données projet'!$A$36,'Données projet'!$B$36,N25+M26-V25)))</f>
        <v>193.2</v>
      </c>
      <c r="O26" s="14">
        <f>N26*VLOOKUP('Données projet'!$B$9,Paramètres!$A$1:$I$89,3,0)*VLOOKUP('Données projet'!$B$9,Paramètres!$A$1:$I$89,5,0)</f>
        <v>174.80735999999999</v>
      </c>
      <c r="P26" s="14">
        <f t="shared" si="33"/>
        <v>44.164958649772579</v>
      </c>
      <c r="Q26" s="22">
        <f t="shared" si="2"/>
        <v>381.37678831502052</v>
      </c>
      <c r="R26" s="62">
        <f t="shared" si="0"/>
        <v>674.71012164835383</v>
      </c>
      <c r="S26" s="62">
        <f ca="1">AVERAGE(OFFSET($R$3,0,0,'Données projet'!$E$9+1,1))-AVERAGE(OFFSET($H$3,0,0,'Données projet'!$E$9+1,1))</f>
        <v>304.47024000758387</v>
      </c>
      <c r="T26" s="62">
        <f t="shared" si="34"/>
        <v>426.50376066227295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4.3119508211573434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3.8496108660268455</v>
      </c>
      <c r="AC26" s="24">
        <f t="shared" si="3"/>
        <v>8.1615616871841894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10.4</v>
      </c>
      <c r="N27" s="14">
        <f>IF('Données projet'!$A$36&gt;35,N26+M27-V26,IF(A27&lt;'Données projet'!$A$36,$K$205^A27,IF(A27='Données projet'!$A$36,'Données projet'!$B$36,N26+M27-V26)))</f>
        <v>203.6</v>
      </c>
      <c r="O27" s="14">
        <f>N27*VLOOKUP('Données projet'!$B$9,Paramètres!$A$1:$I$89,3,0)*VLOOKUP('Données projet'!$B$9,Paramètres!$A$1:$I$89,5,0)</f>
        <v>184.21727999999999</v>
      </c>
      <c r="P27" s="14">
        <f t="shared" si="33"/>
        <v>46.25918487744358</v>
      </c>
      <c r="Q27" s="22">
        <f t="shared" si="2"/>
        <v>401.41317632821421</v>
      </c>
      <c r="R27" s="62">
        <f t="shared" si="0"/>
        <v>694.74650966154752</v>
      </c>
      <c r="S27" s="62">
        <f ca="1">AVERAGE(OFFSET($R$3,0,0,'Données projet'!$E$9+1,1))-AVERAGE(OFFSET($H$3,0,0,'Données projet'!$E$9+1,1))</f>
        <v>304.47024000758387</v>
      </c>
      <c r="T27" s="62">
        <f t="shared" si="34"/>
        <v>426.50376066227295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4.2273960955847549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2.7220859482970008</v>
      </c>
      <c r="AC27" s="24">
        <f t="shared" si="3"/>
        <v>6.9494820438817557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214</v>
      </c>
      <c r="L28" s="13">
        <f>VLOOKUP(A28,'Données projet'!$A$35:$I$55,9,0)</f>
        <v>10.4</v>
      </c>
      <c r="M28" s="13">
        <f t="array" ref="M28">INDEX(L:L,MIN(IF(ISNUMBER(L28:L224),ROW(L28:L224),"")))</f>
        <v>10.4</v>
      </c>
      <c r="N28" s="14">
        <f>IF('Données projet'!$A$36&gt;35,N27+M28-V27,IF(A28&lt;'Données projet'!$A$36,$K$205^A28,IF(A28='Données projet'!$A$36,'Données projet'!$B$36,N27+M28-V27)))</f>
        <v>214</v>
      </c>
      <c r="O28" s="14">
        <f>N28*VLOOKUP('Données projet'!$B$9,Paramètres!$A$1:$I$89,3,0)*VLOOKUP('Données projet'!$B$9,Paramètres!$A$1:$I$89,5,0)</f>
        <v>193.62719999999999</v>
      </c>
      <c r="P28" s="14">
        <f t="shared" si="33"/>
        <v>48.340990547231193</v>
      </c>
      <c r="Q28" s="22">
        <f t="shared" si="2"/>
        <v>421.42793186976093</v>
      </c>
      <c r="R28" s="62">
        <f t="shared" si="0"/>
        <v>714.76126520309424</v>
      </c>
      <c r="S28" s="62">
        <f ca="1">AVERAGE(OFFSET($R$3,0,0,'Données projet'!$E$9+1,1))-AVERAGE(OFFSET($H$3,0,0,'Données projet'!$E$9+1,1))</f>
        <v>304.47024000758387</v>
      </c>
      <c r="T28" s="62">
        <f t="shared" si="34"/>
        <v>426.50376066227295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0.18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6.6650780270989163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6.7055430860891727</v>
      </c>
      <c r="AC28" s="24">
        <f t="shared" si="3"/>
        <v>13.37062111318809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208.6</v>
      </c>
      <c r="O29" s="14">
        <f>N29*VLOOKUP('Données projet'!$B$9,Paramètres!$A$1:$I$89,3,0)*VLOOKUP('Données projet'!$B$9,Paramètres!$A$1:$I$89,5,0)</f>
        <v>188.74127999999999</v>
      </c>
      <c r="P29" s="14">
        <f t="shared" si="33"/>
        <v>47.261560168122358</v>
      </c>
      <c r="Q29" s="22">
        <f t="shared" si="2"/>
        <v>411.03827995947972</v>
      </c>
      <c r="R29" s="62">
        <f t="shared" si="0"/>
        <v>704.37161329281298</v>
      </c>
      <c r="S29" s="62">
        <f ca="1">AVERAGE(OFFSET($R$3,0,0,'Données projet'!$E$9+1,1))-AVERAGE(OFFSET($H$3,0,0,'Données projet'!$E$9+1,1))</f>
        <v>304.47024000758387</v>
      </c>
      <c r="T29" s="62">
        <f t="shared" si="34"/>
        <v>426.50376066227295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6.5343799122836881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4.7415349877122237</v>
      </c>
      <c r="AC29" s="24">
        <f t="shared" si="3"/>
        <v>11.275914899995911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217.2</v>
      </c>
      <c r="O30" s="14">
        <f>N30*VLOOKUP('Données projet'!$B$9,Paramètres!$A$1:$I$89,3,0)*VLOOKUP('Données projet'!$B$9,Paramètres!$A$1:$I$89,5,0)</f>
        <v>196.52255999999997</v>
      </c>
      <c r="P30" s="14">
        <f t="shared" si="33"/>
        <v>48.979153257338155</v>
      </c>
      <c r="Q30" s="22">
        <f t="shared" si="2"/>
        <v>427.58215058986383</v>
      </c>
      <c r="R30" s="62">
        <f t="shared" si="0"/>
        <v>720.91548392319714</v>
      </c>
      <c r="S30" s="62">
        <f ca="1">AVERAGE(OFFSET($R$3,0,0,'Données projet'!$E$9+1,1))-AVERAGE(OFFSET($H$3,0,0,'Données projet'!$E$9+1,1))</f>
        <v>304.47024000758387</v>
      </c>
      <c r="T30" s="62">
        <f t="shared" si="34"/>
        <v>426.50376066227295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6.4062447077820082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3.3527715430445868</v>
      </c>
      <c r="AC30" s="24">
        <f t="shared" si="3"/>
        <v>9.7590162508265941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225.79999999999998</v>
      </c>
      <c r="O31" s="14">
        <f>N31*VLOOKUP('Données projet'!$B$9,Paramètres!$A$1:$I$89,3,0)*VLOOKUP('Données projet'!$B$9,Paramètres!$A$1:$I$89,5,0)</f>
        <v>204.30383999999995</v>
      </c>
      <c r="P31" s="14">
        <f t="shared" si="33"/>
        <v>50.688846269088558</v>
      </c>
      <c r="Q31" s="22">
        <f t="shared" si="2"/>
        <v>444.11226191866245</v>
      </c>
      <c r="R31" s="62">
        <f t="shared" si="0"/>
        <v>737.44559525199577</v>
      </c>
      <c r="S31" s="62">
        <f ca="1">AVERAGE(OFFSET($R$3,0,0,'Données projet'!$E$9+1,1))-AVERAGE(OFFSET($H$3,0,0,'Données projet'!$E$9+1,1))</f>
        <v>304.47024000758387</v>
      </c>
      <c r="T31" s="62">
        <f t="shared" si="34"/>
        <v>426.50376066227295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6.2806221564858484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2.3707674938561123</v>
      </c>
      <c r="AC31" s="24">
        <f t="shared" si="3"/>
        <v>8.6513896503419616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234.39999999999998</v>
      </c>
      <c r="O32" s="14">
        <f>N32*VLOOKUP('Données projet'!$B$9,Paramètres!$A$1:$I$89,3,0)*VLOOKUP('Données projet'!$B$9,Paramètres!$A$1:$I$89,5,0)</f>
        <v>212.08511999999996</v>
      </c>
      <c r="P32" s="14">
        <f t="shared" si="33"/>
        <v>52.390974537063087</v>
      </c>
      <c r="Q32" s="22">
        <f t="shared" si="2"/>
        <v>460.62919798538474</v>
      </c>
      <c r="R32" s="62">
        <f t="shared" si="0"/>
        <v>753.96253131871799</v>
      </c>
      <c r="S32" s="62">
        <f ca="1">AVERAGE(OFFSET($R$3,0,0,'Données projet'!$E$9+1,1))-AVERAGE(OFFSET($H$3,0,0,'Données projet'!$E$9+1,1))</f>
        <v>304.47024000758387</v>
      </c>
      <c r="T32" s="62">
        <f t="shared" si="34"/>
        <v>426.50376066227295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6.1574629867984161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1.6763857715222938</v>
      </c>
      <c r="AC32" s="24">
        <f t="shared" si="3"/>
        <v>7.8338487583207099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243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242.99999999999997</v>
      </c>
      <c r="O33" s="14">
        <f>N33*VLOOKUP('Données projet'!$B$9,Paramètres!$A$1:$I$89,3,0)*VLOOKUP('Données projet'!$B$9,Paramètres!$A$1:$I$89,5,0)</f>
        <v>219.86639999999997</v>
      </c>
      <c r="P33" s="14">
        <f t="shared" si="33"/>
        <v>54.085847394182416</v>
      </c>
      <c r="Q33" s="22">
        <f t="shared" si="2"/>
        <v>477.13349754486762</v>
      </c>
      <c r="R33" s="62">
        <f t="shared" si="0"/>
        <v>770.46683087820088</v>
      </c>
      <c r="S33" s="62">
        <f ca="1">AVERAGE(OFFSET($R$3,0,0,'Données projet'!$E$9+1,1))-AVERAGE(OFFSET($H$3,0,0,'Données projet'!$E$9+1,1))</f>
        <v>304.47024000758387</v>
      </c>
      <c r="T33" s="62">
        <f t="shared" si="34"/>
        <v>426.50376066227295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11</v>
      </c>
      <c r="W33" s="17">
        <f>IF(ISNA(VLOOKUP(A33,'Données projet'!$A$35:$I$55,5,0)),0%,VLOOKUP(A33,'Données projet'!$A$35:$I$55,5,0)*VLOOKUP('Données projet'!$B$9,Paramètres!$A$1:$I$89,7,0))</f>
        <v>0.24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8.6773250357286091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3.0635306820649575</v>
      </c>
      <c r="AC33" s="24">
        <f t="shared" si="3"/>
        <v>11.740855717793567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238.99999999999997</v>
      </c>
      <c r="O34" s="14">
        <f>N34*VLOOKUP('Données projet'!$B$9,Paramètres!$A$1:$I$89,3,0)*VLOOKUP('Données projet'!$B$9,Paramètres!$A$1:$I$89,5,0)</f>
        <v>216.24719999999996</v>
      </c>
      <c r="P34" s="14">
        <f t="shared" si="33"/>
        <v>53.298418226645332</v>
      </c>
      <c r="Q34" s="22">
        <f t="shared" si="2"/>
        <v>469.45861841140714</v>
      </c>
      <c r="R34" s="62">
        <f t="shared" si="0"/>
        <v>762.79195174474046</v>
      </c>
      <c r="S34" s="62">
        <f ca="1">AVERAGE(OFFSET($R$3,0,0,'Données projet'!$E$9+1,1))-AVERAGE(OFFSET($H$3,0,0,'Données projet'!$E$9+1,1))</f>
        <v>304.47024000758387</v>
      </c>
      <c r="T34" s="62">
        <f t="shared" si="34"/>
        <v>426.50376066227295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8.5071679844236368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2.1662433196611808</v>
      </c>
      <c r="AC34" s="24">
        <f t="shared" si="3"/>
        <v>10.673411304084818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245.99999999999997</v>
      </c>
      <c r="O35" s="14">
        <f>N35*VLOOKUP('Données projet'!$B$9,Paramètres!$A$1:$I$89,3,0)*VLOOKUP('Données projet'!$B$9,Paramètres!$A$1:$I$89,5,0)</f>
        <v>222.58079999999998</v>
      </c>
      <c r="P35" s="14">
        <f t="shared" si="33"/>
        <v>54.675428546153199</v>
      </c>
      <c r="Q35" s="22">
        <f t="shared" ref="Q35:Q66" si="53">(O35+P35)*0.475*44/12</f>
        <v>482.88793138455003</v>
      </c>
      <c r="R35" s="62">
        <f t="shared" si="0"/>
        <v>776.22126471788329</v>
      </c>
      <c r="S35" s="62">
        <f ca="1">AVERAGE(OFFSET($R$3,0,0,'Données projet'!$E$9+1,1))-AVERAGE(OFFSET($H$3,0,0,'Données projet'!$E$9+1,1))</f>
        <v>304.47024000758387</v>
      </c>
      <c r="T35" s="62">
        <f t="shared" si="34"/>
        <v>426.50376066227295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8.3403476091092017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1.531765341032479</v>
      </c>
      <c r="AC35" s="24">
        <f t="shared" si="3"/>
        <v>9.8721129501416804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252.99999999999997</v>
      </c>
      <c r="O36" s="14">
        <f>N36*VLOOKUP('Données projet'!$B$9,Paramètres!$A$1:$I$89,3,0)*VLOOKUP('Données projet'!$B$9,Paramètres!$A$1:$I$89,5,0)</f>
        <v>228.91439999999997</v>
      </c>
      <c r="P36" s="14">
        <f t="shared" si="33"/>
        <v>56.047884834417424</v>
      </c>
      <c r="Q36" s="22">
        <f t="shared" si="53"/>
        <v>496.30931275327697</v>
      </c>
      <c r="R36" s="62">
        <f t="shared" si="0"/>
        <v>789.64264608661028</v>
      </c>
      <c r="S36" s="62">
        <f ca="1">AVERAGE(OFFSET($R$3,0,0,'Données projet'!$E$9+1,1))-AVERAGE(OFFSET($H$3,0,0,'Données projet'!$E$9+1,1))</f>
        <v>304.47024000758387</v>
      </c>
      <c r="T36" s="62">
        <f t="shared" si="34"/>
        <v>426.50376066227295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8.176798479604301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1.0831216598305906</v>
      </c>
      <c r="AC36" s="24">
        <f t="shared" si="3"/>
        <v>9.2599201394348913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260</v>
      </c>
      <c r="O37" s="14">
        <f>N37*VLOOKUP('Données projet'!$B$9,Paramètres!$A$1:$I$89,3,0)*VLOOKUP('Données projet'!$B$9,Paramètres!$A$1:$I$89,5,0)</f>
        <v>235.24799999999999</v>
      </c>
      <c r="P37" s="14">
        <f t="shared" si="33"/>
        <v>57.41592756883739</v>
      </c>
      <c r="Q37" s="22">
        <f t="shared" si="53"/>
        <v>509.72300718239177</v>
      </c>
      <c r="R37" s="62">
        <f t="shared" si="0"/>
        <v>803.05634051572508</v>
      </c>
      <c r="S37" s="62">
        <f ca="1">AVERAGE(OFFSET($R$3,0,0,'Données projet'!$E$9+1,1))-AVERAGE(OFFSET($H$3,0,0,'Données projet'!$E$9+1,1))</f>
        <v>304.47024000758387</v>
      </c>
      <c r="T37" s="62">
        <f t="shared" si="34"/>
        <v>426.50376066227295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8.016456448773873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0.76588267051623959</v>
      </c>
      <c r="AC37" s="24">
        <f t="shared" si="3"/>
        <v>8.7823391192901124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267</v>
      </c>
      <c r="L38" s="13">
        <f>VLOOKUP(A38,'Données projet'!$A$35:$I$55,9,0)</f>
        <v>7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267</v>
      </c>
      <c r="O38" s="14">
        <f>N38*VLOOKUP('Données projet'!$B$9,Paramètres!$A$1:$I$89,3,0)*VLOOKUP('Données projet'!$B$9,Paramètres!$A$1:$I$89,5,0)</f>
        <v>241.58159999999998</v>
      </c>
      <c r="P38" s="14">
        <f t="shared" si="33"/>
        <v>58.779689232021951</v>
      </c>
      <c r="Q38" s="22">
        <f t="shared" si="53"/>
        <v>523.12924541243819</v>
      </c>
      <c r="R38" s="62">
        <f t="shared" si="0"/>
        <v>816.46257874577145</v>
      </c>
      <c r="S38" s="62">
        <f ca="1">AVERAGE(OFFSET($R$3,0,0,'Données projet'!$E$9+1,1))-AVERAGE(OFFSET($H$3,0,0,'Données projet'!$E$9+1,1))</f>
        <v>304.47024000758387</v>
      </c>
      <c r="T38" s="62">
        <f t="shared" si="34"/>
        <v>426.50376066227295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9</v>
      </c>
      <c r="W38" s="17">
        <f>IF(ISNA(VLOOKUP(A38,'Données projet'!$A$35:$I$55,5,0)),0%,VLOOKUP(A38,'Données projet'!$A$35:$I$55,5,0)*VLOOKUP('Données projet'!$B$9,Paramètres!$A$1:$I$89,7,0))</f>
        <v>0.27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0.1</v>
      </c>
      <c r="Z38" s="23">
        <f>EXP(-LN(2)/35)*Z37+(1-EXP(-LN(2)/35))/(LN(2)/35)*V38*W38*VLOOKUP('Données projet'!$B$9,Paramètres!$A$1:$I$89,3,0)*0.475*44/12</f>
        <v>10.289816553914482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1.3098936670167549</v>
      </c>
      <c r="AC38" s="24">
        <f t="shared" si="3"/>
        <v>11.599710220931238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6.2</v>
      </c>
      <c r="N39" s="14">
        <f>IF('Données projet'!$A$36&gt;35,N38+M39-V38,IF(A39&lt;'Données projet'!$A$36,$K$205^A39,IF(A39='Données projet'!$A$36,'Données projet'!$B$36,N38+M39-V38)))</f>
        <v>264.2</v>
      </c>
      <c r="O39" s="14">
        <f>N39*VLOOKUP('Données projet'!$B$9,Paramètres!$A$1:$I$89,3,0)*VLOOKUP('Données projet'!$B$9,Paramètres!$A$1:$I$89,5,0)</f>
        <v>239.04816</v>
      </c>
      <c r="P39" s="14">
        <f t="shared" si="33"/>
        <v>58.234690128947292</v>
      </c>
      <c r="Q39" s="22">
        <f t="shared" si="53"/>
        <v>517.76763064124987</v>
      </c>
      <c r="R39" s="62">
        <f t="shared" si="0"/>
        <v>811.10096397458324</v>
      </c>
      <c r="S39" s="62">
        <f ca="1">AVERAGE(OFFSET($R$3,0,0,'Données projet'!$E$9+1,1))-AVERAGE(OFFSET($H$3,0,0,'Données projet'!$E$9+1,1))</f>
        <v>304.47024000758387</v>
      </c>
      <c r="T39" s="62">
        <f t="shared" si="34"/>
        <v>426.50376066227295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10.088039527460596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0.92623469458086094</v>
      </c>
      <c r="AC39" s="24">
        <f t="shared" si="3"/>
        <v>11.014274222041458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6.2</v>
      </c>
      <c r="N40" s="14">
        <f>IF('Données projet'!$A$36&gt;35,N39+M40-V39,IF(A40&lt;'Données projet'!$A$36,$K$205^A40,IF(A40='Données projet'!$A$36,'Données projet'!$B$36,N39+M40-V39)))</f>
        <v>270.39999999999998</v>
      </c>
      <c r="O40" s="14">
        <f>N40*VLOOKUP('Données projet'!$B$9,Paramètres!$A$1:$I$89,3,0)*VLOOKUP('Données projet'!$B$9,Paramètres!$A$1:$I$89,5,0)</f>
        <v>244.65791999999996</v>
      </c>
      <c r="P40" s="14">
        <f t="shared" si="33"/>
        <v>59.44058075210868</v>
      </c>
      <c r="Q40" s="22">
        <f t="shared" si="53"/>
        <v>529.6382221432558</v>
      </c>
      <c r="R40" s="62">
        <f t="shared" si="0"/>
        <v>822.97155547658917</v>
      </c>
      <c r="S40" s="62">
        <f ca="1">AVERAGE(OFFSET($R$3,0,0,'Données projet'!$E$9+1,1))-AVERAGE(OFFSET($H$3,0,0,'Données projet'!$E$9+1,1))</f>
        <v>304.47024000758387</v>
      </c>
      <c r="T40" s="62">
        <f t="shared" si="34"/>
        <v>426.50376066227295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9.8902192254236372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0.65494683350837757</v>
      </c>
      <c r="AC40" s="24">
        <f t="shared" si="3"/>
        <v>10.545166058932015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6.2</v>
      </c>
      <c r="N41" s="14">
        <f>IF('Données projet'!$A$36&gt;35,N40+M41-V40,IF(A41&lt;'Données projet'!$A$36,$K$205^A41,IF(A41='Données projet'!$A$36,'Données projet'!$B$36,N40+M41-V40)))</f>
        <v>276.59999999999997</v>
      </c>
      <c r="O41" s="14">
        <f>N41*VLOOKUP('Données projet'!$B$9,Paramètres!$A$1:$I$89,3,0)*VLOOKUP('Données projet'!$B$9,Paramètres!$A$1:$I$89,5,0)</f>
        <v>250.26767999999996</v>
      </c>
      <c r="P41" s="14">
        <f t="shared" si="33"/>
        <v>60.643256925083442</v>
      </c>
      <c r="Q41" s="22">
        <f t="shared" si="53"/>
        <v>541.50321514452014</v>
      </c>
      <c r="R41" s="62">
        <f t="shared" si="0"/>
        <v>834.83654847785351</v>
      </c>
      <c r="S41" s="62">
        <f ca="1">AVERAGE(OFFSET($R$3,0,0,'Données projet'!$E$9+1,1))-AVERAGE(OFFSET($H$3,0,0,'Données projet'!$E$9+1,1))</f>
        <v>304.47024000758387</v>
      </c>
      <c r="T41" s="62">
        <f t="shared" si="34"/>
        <v>426.50376066227295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9.6962780588511528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0.46311734729043053</v>
      </c>
      <c r="AC41" s="24">
        <f t="shared" si="3"/>
        <v>10.159395406141583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6.2</v>
      </c>
      <c r="N42" s="14">
        <f>IF('Données projet'!$A$36&gt;35,N41+M42-V41,IF(A42&lt;'Données projet'!$A$36,$K$205^A42,IF(A42='Données projet'!$A$36,'Données projet'!$B$36,N41+M42-V41)))</f>
        <v>282.79999999999995</v>
      </c>
      <c r="O42" s="14">
        <f>N42*VLOOKUP('Données projet'!$B$9,Paramètres!$A$1:$I$89,3,0)*VLOOKUP('Données projet'!$B$9,Paramètres!$A$1:$I$89,5,0)</f>
        <v>255.87743999999998</v>
      </c>
      <c r="P42" s="14">
        <f t="shared" si="33"/>
        <v>61.842798995505326</v>
      </c>
      <c r="Q42" s="22">
        <f t="shared" si="53"/>
        <v>553.36274958383854</v>
      </c>
      <c r="R42" s="62">
        <f t="shared" si="0"/>
        <v>846.69608291717191</v>
      </c>
      <c r="S42" s="62">
        <f ca="1">AVERAGE(OFFSET($R$3,0,0,'Données projet'!$E$9+1,1))-AVERAGE(OFFSET($H$3,0,0,'Données projet'!$E$9+1,1))</f>
        <v>304.47024000758387</v>
      </c>
      <c r="T42" s="62">
        <f t="shared" si="34"/>
        <v>426.50376066227295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9.5061399602627237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0.32747341675418884</v>
      </c>
      <c r="AC42" s="24">
        <f t="shared" si="3"/>
        <v>9.8336133770169134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289</v>
      </c>
      <c r="L43" s="13">
        <f>VLOOKUP(A43,'Données projet'!$A$35:$I$55,9,0)</f>
        <v>6.2</v>
      </c>
      <c r="M43" s="13">
        <f t="array" ref="M43">INDEX(L:L,MIN(IF(ISNUMBER(L43:L239),ROW(L43:L239),"")))</f>
        <v>6.2</v>
      </c>
      <c r="N43" s="14">
        <f>IF('Données projet'!$A$36&gt;35,N42+M43-V42,IF(A43&lt;'Données projet'!$A$36,$K$205^A43,IF(A43='Données projet'!$A$36,'Données projet'!$B$36,N42+M43-V42)))</f>
        <v>288.99999999999994</v>
      </c>
      <c r="O43" s="14">
        <f>N43*VLOOKUP('Données projet'!$B$9,Paramètres!$A$1:$I$89,3,0)*VLOOKUP('Données projet'!$B$9,Paramètres!$A$1:$I$89,5,0)</f>
        <v>261.48719999999992</v>
      </c>
      <c r="P43" s="14">
        <f t="shared" si="33"/>
        <v>63.039283586802391</v>
      </c>
      <c r="Q43" s="22">
        <f t="shared" si="53"/>
        <v>565.21695891368074</v>
      </c>
      <c r="R43" s="62">
        <f t="shared" si="0"/>
        <v>858.55029224701411</v>
      </c>
      <c r="S43" s="62">
        <f ca="1">AVERAGE(OFFSET($R$3,0,0,'Données projet'!$E$9+1,1))-AVERAGE(OFFSET($H$3,0,0,'Données projet'!$E$9+1,1))</f>
        <v>304.47024000758387</v>
      </c>
      <c r="T43" s="62">
        <f t="shared" si="34"/>
        <v>426.50376066227295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7</v>
      </c>
      <c r="W43" s="17">
        <f>IF(ISNA(VLOOKUP(A43,'Données projet'!$A$35:$I$55,5,0)),0%,VLOOKUP(A43,'Données projet'!$A$35:$I$55,5,0)*VLOOKUP('Données projet'!$B$9,Paramètres!$A$1:$I$89,7,0))</f>
        <v>0.27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0.1</v>
      </c>
      <c r="Z43" s="23">
        <f>EXP(-LN(2)/35)*Z42+(1-EXP(-LN(2)/35))/(LN(2)/35)*V43*W43*VLOOKUP('Données projet'!$B$9,Paramètres!$A$1:$I$89,3,0)*0.475*44/12</f>
        <v>11.210164296683498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0.82915088027968398</v>
      </c>
      <c r="AC43" s="24">
        <f t="shared" si="3"/>
        <v>12.039315176963182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</v>
      </c>
      <c r="N44" s="14">
        <f>IF('Données projet'!$A$36&gt;35,N43+M44-V43,IF(A44&lt;'Données projet'!$A$36,$K$205^A44,IF(A44='Données projet'!$A$36,'Données projet'!$B$36,N43+M44-V43)))</f>
        <v>287.99999999999994</v>
      </c>
      <c r="O44" s="14">
        <f>N44*VLOOKUP('Données projet'!$B$9,Paramètres!$A$1:$I$89,3,0)*VLOOKUP('Données projet'!$B$9,Paramètres!$A$1:$I$89,5,0)</f>
        <v>260.58239999999995</v>
      </c>
      <c r="P44" s="14">
        <f t="shared" si="33"/>
        <v>62.846505929896907</v>
      </c>
      <c r="Q44" s="22">
        <f t="shared" si="53"/>
        <v>563.30534449457025</v>
      </c>
      <c r="R44" s="62">
        <f t="shared" si="0"/>
        <v>856.63867782790362</v>
      </c>
      <c r="S44" s="62">
        <f ca="1">AVERAGE(OFFSET($R$3,0,0,'Données projet'!$E$9+1,1))-AVERAGE(OFFSET($H$3,0,0,'Données projet'!$E$9+1,1))</f>
        <v>304.47024000758387</v>
      </c>
      <c r="T44" s="62">
        <f t="shared" si="34"/>
        <v>426.50376066227295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10.990339812350607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0.58629821007255978</v>
      </c>
      <c r="AC44" s="24">
        <f t="shared" si="3"/>
        <v>11.576638022423166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</v>
      </c>
      <c r="N45" s="14">
        <f>IF('Données projet'!$A$36&gt;35,N44+M45-V44,IF(A45&lt;'Données projet'!$A$36,$K$205^A45,IF(A45='Données projet'!$A$36,'Données projet'!$B$36,N44+M45-V44)))</f>
        <v>293.99999999999994</v>
      </c>
      <c r="O45" s="14">
        <f>N45*VLOOKUP('Données projet'!$B$9,Paramètres!$A$1:$I$89,3,0)*VLOOKUP('Données projet'!$B$9,Paramètres!$A$1:$I$89,5,0)</f>
        <v>266.01119999999992</v>
      </c>
      <c r="P45" s="14">
        <f t="shared" si="33"/>
        <v>64.00201337612566</v>
      </c>
      <c r="Q45" s="22">
        <f t="shared" si="53"/>
        <v>574.77301329675208</v>
      </c>
      <c r="R45" s="62">
        <f t="shared" si="0"/>
        <v>868.10634663008545</v>
      </c>
      <c r="S45" s="62">
        <f ca="1">AVERAGE(OFFSET($R$3,0,0,'Données projet'!$E$9+1,1))-AVERAGE(OFFSET($H$3,0,0,'Données projet'!$E$9+1,1))</f>
        <v>304.47024000758387</v>
      </c>
      <c r="T45" s="62">
        <f t="shared" si="34"/>
        <v>426.50376066227295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10.774825952075787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0.41457544013984204</v>
      </c>
      <c r="AC45" s="24">
        <f t="shared" si="3"/>
        <v>11.189401392215629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</v>
      </c>
      <c r="N46" s="14">
        <f>IF('Données projet'!$A$36&gt;35,N45+M46-V45,IF(A46&lt;'Données projet'!$A$36,$K$205^A46,IF(A46='Données projet'!$A$36,'Données projet'!$B$36,N45+M46-V45)))</f>
        <v>299.99999999999994</v>
      </c>
      <c r="O46" s="14">
        <f>N46*VLOOKUP('Données projet'!$B$9,Paramètres!$A$1:$I$89,3,0)*VLOOKUP('Données projet'!$B$9,Paramètres!$A$1:$I$89,5,0)</f>
        <v>271.43999999999994</v>
      </c>
      <c r="P46" s="14">
        <f t="shared" si="33"/>
        <v>65.154778959151173</v>
      </c>
      <c r="Q46" s="22">
        <f t="shared" si="53"/>
        <v>586.23590668718805</v>
      </c>
      <c r="R46" s="62">
        <f t="shared" si="0"/>
        <v>879.56924002052142</v>
      </c>
      <c r="S46" s="62">
        <f ca="1">AVERAGE(OFFSET($R$3,0,0,'Données projet'!$E$9+1,1))-AVERAGE(OFFSET($H$3,0,0,'Données projet'!$E$9+1,1))</f>
        <v>304.47024000758387</v>
      </c>
      <c r="T46" s="62">
        <f t="shared" si="34"/>
        <v>426.50376066227295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10.563538187150481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0.29314910503627994</v>
      </c>
      <c r="AC46" s="24">
        <f t="shared" si="3"/>
        <v>10.856687292186761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</v>
      </c>
      <c r="N47" s="14">
        <f>IF('Données projet'!$A$36&gt;35,N46+M47-V46,IF(A47&lt;'Données projet'!$A$36,$K$205^A47,IF(A47='Données projet'!$A$36,'Données projet'!$B$36,N46+M47-V46)))</f>
        <v>305.99999999999994</v>
      </c>
      <c r="O47" s="14">
        <f>N47*VLOOKUP('Données projet'!$B$9,Paramètres!$A$1:$I$89,3,0)*VLOOKUP('Données projet'!$B$9,Paramètres!$A$1:$I$89,5,0)</f>
        <v>276.86879999999996</v>
      </c>
      <c r="P47" s="14">
        <f t="shared" si="33"/>
        <v>66.30486383631866</v>
      </c>
      <c r="Q47" s="22">
        <f t="shared" si="53"/>
        <v>597.6941311815882</v>
      </c>
      <c r="R47" s="62">
        <f t="shared" si="0"/>
        <v>891.02746451492158</v>
      </c>
      <c r="S47" s="62">
        <f ca="1">AVERAGE(OFFSET($R$3,0,0,'Données projet'!$E$9+1,1))-AVERAGE(OFFSET($H$3,0,0,'Données projet'!$E$9+1,1))</f>
        <v>304.47024000758387</v>
      </c>
      <c r="T47" s="62">
        <f t="shared" si="34"/>
        <v>426.50376066227295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10.356393646422548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0.20728772006992105</v>
      </c>
      <c r="AC47" s="24">
        <f t="shared" si="3"/>
        <v>10.563681366492469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312</v>
      </c>
      <c r="L48" s="13">
        <f>VLOOKUP(A48,'Données projet'!$A$35:$I$55,9,0)</f>
        <v>6</v>
      </c>
      <c r="M48" s="13">
        <f t="array" ref="M48">INDEX(L:L,MIN(IF(ISNUMBER(L48:L244),ROW(L48:L244),"")))</f>
        <v>6</v>
      </c>
      <c r="N48" s="14">
        <f>IF('Données projet'!$A$36&gt;35,N47+M48-V47,IF(A48&lt;'Données projet'!$A$36,$K$205^A48,IF(A48='Données projet'!$A$36,'Données projet'!$B$36,N47+M48-V47)))</f>
        <v>311.99999999999994</v>
      </c>
      <c r="O48" s="14">
        <f>N48*VLOOKUP('Données projet'!$B$9,Paramètres!$A$1:$I$89,3,0)*VLOOKUP('Données projet'!$B$9,Paramètres!$A$1:$I$89,5,0)</f>
        <v>282.29759999999993</v>
      </c>
      <c r="P48" s="14">
        <f t="shared" si="33"/>
        <v>67.452326629470178</v>
      </c>
      <c r="Q48" s="22">
        <f t="shared" si="53"/>
        <v>609.14778887966042</v>
      </c>
      <c r="R48" s="62">
        <f t="shared" si="0"/>
        <v>902.4811222129938</v>
      </c>
      <c r="S48" s="62">
        <f ca="1">AVERAGE(OFFSET($R$3,0,0,'Données projet'!$E$9+1,1))-AVERAGE(OFFSET($H$3,0,0,'Données projet'!$E$9+1,1))</f>
        <v>304.47024000758387</v>
      </c>
      <c r="T48" s="62">
        <f t="shared" si="34"/>
        <v>426.50376066227295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312</v>
      </c>
      <c r="W48" s="17">
        <f>IF(ISNA(VLOOKUP(A48,'Données projet'!$A$35:$I$55,5,0)),0%,VLOOKUP(A48,'Données projet'!$A$35:$I$55,5,0)*VLOOKUP('Données projet'!$B$9,Paramètres!$A$1:$I$89,7,0))</f>
        <v>0.27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0.1</v>
      </c>
      <c r="Z48" s="23">
        <f>EXP(-LN(2)/35)*Z47+(1-EXP(-LN(2)/35))/(LN(2)/35)*V48*W48*VLOOKUP('Données projet'!$B$9,Paramètres!$A$1:$I$89,3,0)*0.475*44/12</f>
        <v>94.412652537367663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26.782112905368741</v>
      </c>
      <c r="AC48" s="24">
        <f t="shared" si="3"/>
        <v>121.19476544273641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-5.1431925385259088E-14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304.47024000758387</v>
      </c>
      <c r="T49" s="62">
        <f t="shared" si="34"/>
        <v>426.50376066227295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92.56127800714178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18.937813649889986</v>
      </c>
      <c r="AC49" s="24">
        <f t="shared" si="3"/>
        <v>111.49909165703177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-5.1431925385259088E-14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304.47024000758387</v>
      </c>
      <c r="T50" s="62">
        <f t="shared" si="34"/>
        <v>426.50376066227295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90.746207802226664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13.391056452684373</v>
      </c>
      <c r="AC50" s="24">
        <f t="shared" si="3"/>
        <v>104.13726425491103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-5.1431925385259088E-14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304.47024000758387</v>
      </c>
      <c r="T51" s="62">
        <f t="shared" si="34"/>
        <v>426.50376066227295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88.966730016946428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9.4689068249449946</v>
      </c>
      <c r="AC51" s="24">
        <f t="shared" si="3"/>
        <v>98.435636841891423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-5.1431925385259088E-14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304.47024000758387</v>
      </c>
      <c r="T52" s="62">
        <f t="shared" si="34"/>
        <v>426.50376066227295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87.22214670566126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6.6955282263421871</v>
      </c>
      <c r="AC52" s="24">
        <f t="shared" si="3"/>
        <v>93.91767493200345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-5.1431925385259088E-14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304.47024000758387</v>
      </c>
      <c r="T53" s="62">
        <f t="shared" si="34"/>
        <v>426.50376066227295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85.511773609019642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4.7344534124724982</v>
      </c>
      <c r="AC53" s="24">
        <f t="shared" si="3"/>
        <v>90.246227021492146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-5.1431925385259088E-14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304.47024000758387</v>
      </c>
      <c r="T54" s="62">
        <f t="shared" si="34"/>
        <v>426.50376066227295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83.834939885578592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3.347764113171094</v>
      </c>
      <c r="AC54" s="24">
        <f t="shared" si="3"/>
        <v>87.182703998749687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-5.1431925385259088E-14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304.47024000758387</v>
      </c>
      <c r="T55" s="62">
        <f t="shared" si="34"/>
        <v>426.50376066227295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82.190987848686632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2.3672267062362491</v>
      </c>
      <c r="AC55" s="24">
        <f t="shared" si="3"/>
        <v>84.558214554922884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-5.1431925385259088E-14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304.47024000758387</v>
      </c>
      <c r="T56" s="62">
        <f t="shared" si="34"/>
        <v>426.50376066227295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80.579272708526389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1.673882056585547</v>
      </c>
      <c r="AC56" s="24">
        <f t="shared" si="3"/>
        <v>82.25315476511193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-5.1431925385259088E-14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304.47024000758387</v>
      </c>
      <c r="T57" s="62">
        <f t="shared" si="34"/>
        <v>426.50376066227295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78.999162319215529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1.1836133531181245</v>
      </c>
      <c r="AC57" s="24">
        <f t="shared" si="3"/>
        <v>80.182775672333648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-5.1431925385259088E-14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304.47024000758387</v>
      </c>
      <c r="T58" s="62">
        <f t="shared" si="34"/>
        <v>426.50376066227295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77.450036930866887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0.8369410282927735</v>
      </c>
      <c r="AC58" s="24">
        <f t="shared" si="3"/>
        <v>78.286977959159657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-5.1431925385259088E-14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304.47024000758387</v>
      </c>
      <c r="T59" s="62">
        <f t="shared" si="34"/>
        <v>426.50376066227295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75.931288946510563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0.59180667655906227</v>
      </c>
      <c r="AC59" s="24">
        <f t="shared" si="3"/>
        <v>76.523095623069622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-5.1431925385259088E-14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304.47024000758387</v>
      </c>
      <c r="T60" s="62">
        <f t="shared" si="34"/>
        <v>426.50376066227295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74.442322683782663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0.41847051414638675</v>
      </c>
      <c r="AC60" s="24">
        <f t="shared" si="3"/>
        <v>74.860793197929056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-5.1431925385259088E-14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304.47024000758387</v>
      </c>
      <c r="T61" s="62">
        <f t="shared" si="34"/>
        <v>426.50376066227295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72.982554141287125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0.29590333827953114</v>
      </c>
      <c r="AC61" s="24">
        <f t="shared" si="3"/>
        <v>73.278457479566654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-5.1431925385259088E-14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304.47024000758387</v>
      </c>
      <c r="T62" s="62">
        <f t="shared" si="34"/>
        <v>426.50376066227295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71.551410769539018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0.20923525707319338</v>
      </c>
      <c r="AC62" s="24">
        <f t="shared" si="3"/>
        <v>71.760646026612207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-5.1431925385259088E-14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304.47024000758387</v>
      </c>
      <c r="T63" s="62">
        <f t="shared" si="34"/>
        <v>426.50376066227295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70.148331246399636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0.14795166913976557</v>
      </c>
      <c r="AC63" s="24">
        <f t="shared" si="3"/>
        <v>70.296282915539408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-5.1431925385259088E-14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304.47024000758387</v>
      </c>
      <c r="T64" s="62">
        <f t="shared" si="34"/>
        <v>426.50376066227295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68.772765256915008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0.10461762853659669</v>
      </c>
      <c r="AC64" s="24">
        <f t="shared" si="3"/>
        <v>68.87738288545161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-5.1431925385259088E-14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304.47024000758387</v>
      </c>
      <c r="T65" s="62">
        <f t="shared" si="34"/>
        <v>426.50376066227295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67.424173277471766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7.3975834569882784E-2</v>
      </c>
      <c r="AC65" s="24">
        <f t="shared" si="3"/>
        <v>67.498149112041645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-5.1431925385259088E-14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304.47024000758387</v>
      </c>
      <c r="T66" s="62">
        <f t="shared" si="34"/>
        <v>426.50376066227295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66.102026364185519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5.2308814268298344E-2</v>
      </c>
      <c r="AC66" s="24">
        <f t="shared" si="3"/>
        <v>66.15433517845382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-5.1431925385259088E-14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304.47024000758387</v>
      </c>
      <c r="T67" s="62">
        <f t="shared" si="34"/>
        <v>426.50376066227295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64.80580594543882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3.6987917284941392E-2</v>
      </c>
      <c r="AC67" s="24">
        <f t="shared" si="3"/>
        <v>64.842793862723767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-5.1431925385259088E-14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304.47024000758387</v>
      </c>
      <c r="T68" s="62">
        <f t="shared" si="34"/>
        <v>426.50376066227295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63.535003618487359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2.6154407134149172E-2</v>
      </c>
      <c r="AC68" s="24">
        <f t="shared" ref="AC68:AC131" si="57">SUM(Z68:AB68)</f>
        <v>63.561158025621509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-5.1431925385259088E-14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304.47024000758387</v>
      </c>
      <c r="T69" s="62">
        <f t="shared" ref="T69:T132" si="88">$T$3</f>
        <v>426.50376066227295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62.289120950054532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1.8493958642470696E-2</v>
      </c>
      <c r="AC69" s="24">
        <f t="shared" si="57"/>
        <v>62.307614908697005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-5.1431925385259088E-14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304.47024000758387</v>
      </c>
      <c r="T70" s="62">
        <f t="shared" si="88"/>
        <v>426.50376066227295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61.067669280836284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1.3077203567074586E-2</v>
      </c>
      <c r="AC70" s="24">
        <f t="shared" si="57"/>
        <v>61.080746484403356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-5.1431925385259088E-14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304.47024000758387</v>
      </c>
      <c r="T71" s="62">
        <f t="shared" si="88"/>
        <v>426.50376066227295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59.870169533839452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9.246979321235348E-3</v>
      </c>
      <c r="AC71" s="24">
        <f t="shared" si="57"/>
        <v>59.879416513160685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-5.1431925385259088E-14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304.47024000758387</v>
      </c>
      <c r="T72" s="62">
        <f t="shared" si="88"/>
        <v>426.50376066227295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58.696152026478501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6.538601783537293E-3</v>
      </c>
      <c r="AC72" s="24">
        <f t="shared" si="57"/>
        <v>58.70269062826204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-5.1431925385259088E-14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304.47024000758387</v>
      </c>
      <c r="T73" s="62">
        <f t="shared" si="88"/>
        <v>426.50376066227295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57.545156286356928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4.623489660617674E-3</v>
      </c>
      <c r="AC73" s="24">
        <f t="shared" si="57"/>
        <v>57.549779776017544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-5.1431925385259088E-14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304.47024000758387</v>
      </c>
      <c r="T74" s="62">
        <f t="shared" si="88"/>
        <v>426.50376066227295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56.416730870661056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3.2693008917686465E-3</v>
      </c>
      <c r="AC74" s="24">
        <f t="shared" si="57"/>
        <v>56.420000171552822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-5.1431925385259088E-14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304.47024000758387</v>
      </c>
      <c r="T75" s="62">
        <f t="shared" si="88"/>
        <v>426.50376066227295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55.310433189095441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2.311744830308837E-3</v>
      </c>
      <c r="AC75" s="24">
        <f t="shared" si="57"/>
        <v>55.31274493392575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-5.1431925385259088E-14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304.47024000758387</v>
      </c>
      <c r="T76" s="62">
        <f t="shared" si="88"/>
        <v>426.50376066227295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54.225829330290367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1.6346504458843232E-3</v>
      </c>
      <c r="AC76" s="24">
        <f t="shared" si="57"/>
        <v>54.227463980736253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-5.1431925385259088E-14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304.47024000758387</v>
      </c>
      <c r="T77" s="62">
        <f t="shared" si="88"/>
        <v>426.50376066227295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53.16249389161343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1.1558724151544185E-3</v>
      </c>
      <c r="AC77" s="24">
        <f t="shared" si="57"/>
        <v>53.163649764028584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-5.1431925385259088E-14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304.47024000758387</v>
      </c>
      <c r="T78" s="62">
        <f t="shared" si="88"/>
        <v>426.50376066227295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52.120009812318372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8.1732522294216162E-4</v>
      </c>
      <c r="AC78" s="24">
        <f t="shared" si="57"/>
        <v>52.120827137541312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-5.1431925385259088E-14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304.47024000758387</v>
      </c>
      <c r="T79" s="62">
        <f t="shared" si="88"/>
        <v>426.50376066227295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51.097968209965785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5.7793620757720925E-4</v>
      </c>
      <c r="AC79" s="24">
        <f t="shared" si="57"/>
        <v>51.098546146173362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-5.1431925385259088E-14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304.47024000758387</v>
      </c>
      <c r="T80" s="62">
        <f t="shared" si="88"/>
        <v>426.50376066227295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50.09596822005151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4.0866261147108081E-4</v>
      </c>
      <c r="AC80" s="24">
        <f t="shared" si="57"/>
        <v>50.09637688266298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-5.1431925385259088E-14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304.47024000758387</v>
      </c>
      <c r="T81" s="62">
        <f t="shared" si="88"/>
        <v>426.50376066227295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49.113616838779805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2.8896810378860463E-4</v>
      </c>
      <c r="AC81" s="24">
        <f t="shared" si="57"/>
        <v>49.113905806883594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-5.1431925385259088E-14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304.47024000758387</v>
      </c>
      <c r="T82" s="62">
        <f t="shared" si="88"/>
        <v>426.50376066227295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48.150528768919663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2.0433130573554041E-4</v>
      </c>
      <c r="AC82" s="24">
        <f t="shared" si="57"/>
        <v>48.150733100225402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-5.1431925385259088E-14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304.47024000758387</v>
      </c>
      <c r="T83" s="62">
        <f t="shared" si="88"/>
        <v>426.50376066227295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47.20632626868376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1.4448405189430231E-4</v>
      </c>
      <c r="AC83" s="24">
        <f t="shared" si="57"/>
        <v>47.206470752735655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-5.1431925385259088E-14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304.47024000758387</v>
      </c>
      <c r="T84" s="62">
        <f t="shared" si="88"/>
        <v>426.50376066227295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46.280639003570819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1.021656528677702E-4</v>
      </c>
      <c r="AC84" s="24">
        <f t="shared" si="57"/>
        <v>46.280741169223688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-5.1431925385259088E-14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304.47024000758387</v>
      </c>
      <c r="T85" s="62">
        <f t="shared" si="88"/>
        <v>426.50376066227295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45.373103901113261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7.2242025947151156E-5</v>
      </c>
      <c r="AC85" s="24">
        <f t="shared" si="57"/>
        <v>45.373176143139212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-5.1431925385259088E-14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304.47024000758387</v>
      </c>
      <c r="T86" s="62">
        <f t="shared" si="88"/>
        <v>426.50376066227295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44.483365008473143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5.1082826433885102E-5</v>
      </c>
      <c r="AC86" s="24">
        <f t="shared" si="57"/>
        <v>44.483416091299574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-5.1431925385259088E-14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304.47024000758387</v>
      </c>
      <c r="T87" s="62">
        <f t="shared" si="88"/>
        <v>426.50376066227295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43.611073352830559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3.6121012973575578E-5</v>
      </c>
      <c r="AC87" s="24">
        <f t="shared" si="57"/>
        <v>43.611109473843534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-5.1431925385259088E-14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304.47024000758387</v>
      </c>
      <c r="T88" s="62">
        <f t="shared" si="88"/>
        <v>426.50376066227295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42.75588680450975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2.5541413216942551E-5</v>
      </c>
      <c r="AC88" s="24">
        <f t="shared" si="57"/>
        <v>42.755912345922965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-5.1431925385259088E-14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304.47024000758387</v>
      </c>
      <c r="T89" s="62">
        <f t="shared" si="88"/>
        <v>426.50376066227295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41.917469942789225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1.8060506486787789E-5</v>
      </c>
      <c r="AC89" s="24">
        <f t="shared" si="57"/>
        <v>41.917488003295709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-5.1431925385259088E-14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304.47024000758387</v>
      </c>
      <c r="T90" s="62">
        <f t="shared" si="88"/>
        <v>426.50376066227295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41.095493924343252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1.2770706608471275E-5</v>
      </c>
      <c r="AC90" s="24">
        <f t="shared" si="57"/>
        <v>41.095506695049863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-5.1431925385259088E-14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304.47024000758387</v>
      </c>
      <c r="T91" s="62">
        <f t="shared" si="88"/>
        <v>426.50376066227295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40.289636354263138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9.0302532433938945E-6</v>
      </c>
      <c r="AC91" s="24">
        <f t="shared" si="57"/>
        <v>40.289645384516383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-5.1431925385259088E-14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304.47024000758387</v>
      </c>
      <c r="T92" s="62">
        <f t="shared" si="88"/>
        <v>426.50376066227295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39.499581159607708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6.3853533042356377E-6</v>
      </c>
      <c r="AC92" s="24">
        <f t="shared" si="57"/>
        <v>39.49958754496101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-5.1431925385259088E-14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304.47024000758387</v>
      </c>
      <c r="T93" s="62">
        <f t="shared" si="88"/>
        <v>426.50376066227295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38.725018465433386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4.5151266216969473E-6</v>
      </c>
      <c r="AC93" s="24">
        <f t="shared" si="57"/>
        <v>38.725022980560006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-5.1431925385259088E-14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304.47024000758387</v>
      </c>
      <c r="T94" s="62">
        <f t="shared" si="88"/>
        <v>426.50376066227295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37.965644473255225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3.1926766521178188E-6</v>
      </c>
      <c r="AC94" s="24">
        <f t="shared" si="57"/>
        <v>37.965647665931876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-5.1431925385259088E-14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304.47024000758387</v>
      </c>
      <c r="T95" s="62">
        <f t="shared" si="88"/>
        <v>426.50376066227295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37.221161341891282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2.2575633108484736E-6</v>
      </c>
      <c r="AC95" s="24">
        <f t="shared" si="57"/>
        <v>37.221163599454592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-5.1431925385259088E-14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304.47024000758387</v>
      </c>
      <c r="T96" s="62">
        <f t="shared" si="88"/>
        <v>426.50376066227295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36.491277070643513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1.5963383260589094E-6</v>
      </c>
      <c r="AC96" s="24">
        <f t="shared" si="57"/>
        <v>36.491278666981842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-5.1431925385259088E-14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304.47024000758387</v>
      </c>
      <c r="T97" s="62">
        <f t="shared" si="88"/>
        <v>426.50376066227295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35.775705384769459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1.1287816554242368E-6</v>
      </c>
      <c r="AC97" s="24">
        <f t="shared" si="57"/>
        <v>35.775706513551114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-5.1431925385259088E-14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304.47024000758387</v>
      </c>
      <c r="T98" s="62">
        <f t="shared" si="88"/>
        <v>426.50376066227295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35.074165623199768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7.9816916302945471E-7</v>
      </c>
      <c r="AC98" s="24">
        <f t="shared" si="57"/>
        <v>35.074166421368929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-5.1431925385259088E-14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304.47024000758387</v>
      </c>
      <c r="T99" s="62">
        <f t="shared" si="88"/>
        <v>426.50376066227295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34.386382628457454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5.6439082771211841E-7</v>
      </c>
      <c r="AC99" s="24">
        <f t="shared" si="57"/>
        <v>34.386383192848285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-5.1431925385259088E-14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304.47024000758387</v>
      </c>
      <c r="T100" s="62">
        <f t="shared" si="88"/>
        <v>426.50376066227295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33.712086638735833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3.9908458151472736E-7</v>
      </c>
      <c r="AC100" s="24">
        <f t="shared" si="57"/>
        <v>33.712087037820417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-5.1431925385259088E-14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304.47024000758387</v>
      </c>
      <c r="T101" s="62">
        <f t="shared" si="88"/>
        <v>426.50376066227295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33.05101318209271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2.821954138560592E-7</v>
      </c>
      <c r="AC101" s="24">
        <f t="shared" si="57"/>
        <v>33.051013464288125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-5.1431925385259088E-14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304.47024000758387</v>
      </c>
      <c r="T102" s="62">
        <f t="shared" si="88"/>
        <v>426.50376066227295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32.402902972719367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1.9954229075736368E-7</v>
      </c>
      <c r="AC102" s="24">
        <f t="shared" si="57"/>
        <v>32.402903172261659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-5.1431925385259088E-14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304.47024000758387</v>
      </c>
      <c r="T103" s="62">
        <f t="shared" si="88"/>
        <v>426.50376066227295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31.76750180924364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1.410977069280296E-7</v>
      </c>
      <c r="AC103" s="24">
        <f t="shared" si="57"/>
        <v>31.767501950341348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-5.1431925385259088E-14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304.47024000758387</v>
      </c>
      <c r="T104" s="62">
        <f t="shared" si="88"/>
        <v>426.50376066227295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31.14456047502723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9.9771145378681839E-8</v>
      </c>
      <c r="AC104" s="24">
        <f t="shared" si="57"/>
        <v>31.144560574798376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-5.1431925385259088E-14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304.47024000758387</v>
      </c>
      <c r="T105" s="62">
        <f t="shared" si="88"/>
        <v>426.50376066227295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30.533834640418107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7.0548853464014801E-8</v>
      </c>
      <c r="AC105" s="24">
        <f t="shared" si="57"/>
        <v>30.533834710966961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-5.1431925385259088E-14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304.47024000758387</v>
      </c>
      <c r="T106" s="62">
        <f t="shared" si="88"/>
        <v>426.50376066227295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29.93508476691969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4.9885572689340919E-8</v>
      </c>
      <c r="AC106" s="24">
        <f t="shared" si="57"/>
        <v>29.935084816805261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-5.1431925385259088E-14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304.47024000758387</v>
      </c>
      <c r="T107" s="62">
        <f t="shared" si="88"/>
        <v>426.50376066227295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29.348076013239215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3.5274426732007401E-8</v>
      </c>
      <c r="AC107" s="24">
        <f t="shared" si="57"/>
        <v>29.34807604851364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-5.1431925385259088E-14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304.47024000758387</v>
      </c>
      <c r="T108" s="62">
        <f t="shared" si="88"/>
        <v>426.50376066227295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28.772578143178428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2.494278634467046E-8</v>
      </c>
      <c r="AC108" s="24">
        <f t="shared" si="57"/>
        <v>28.772578168121214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-5.1431925385259088E-14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304.47024000758387</v>
      </c>
      <c r="T109" s="62">
        <f t="shared" si="88"/>
        <v>426.50376066227295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28.208365435330492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1.76372133660037E-8</v>
      </c>
      <c r="AC109" s="24">
        <f t="shared" si="57"/>
        <v>28.208365452967705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-5.1431925385259088E-14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304.47024000758387</v>
      </c>
      <c r="T110" s="62">
        <f t="shared" si="88"/>
        <v>426.50376066227295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27.655216594547685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1.247139317233523E-8</v>
      </c>
      <c r="AC110" s="24">
        <f t="shared" si="57"/>
        <v>27.655216607019078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-5.1431925385259088E-14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304.47024000758387</v>
      </c>
      <c r="T111" s="62">
        <f t="shared" si="88"/>
        <v>426.50376066227295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27.112914665145148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8.8186066830018501E-9</v>
      </c>
      <c r="AC111" s="24">
        <f t="shared" si="57"/>
        <v>27.112914673963754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-5.1431925385259088E-14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304.47024000758387</v>
      </c>
      <c r="T112" s="62">
        <f t="shared" si="88"/>
        <v>426.50376066227295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26.581246945806679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6.2356965861676149E-9</v>
      </c>
      <c r="AC112" s="24">
        <f t="shared" si="57"/>
        <v>26.581246952042378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-5.1431925385259088E-14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304.47024000758387</v>
      </c>
      <c r="T113" s="62">
        <f t="shared" si="88"/>
        <v>426.50376066227295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26.060004906159151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4.4093033415009251E-9</v>
      </c>
      <c r="AC113" s="24">
        <f t="shared" si="57"/>
        <v>26.060004910568455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-5.1431925385259088E-14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304.47024000758387</v>
      </c>
      <c r="T114" s="62">
        <f t="shared" si="88"/>
        <v>426.50376066227295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25.548984104982857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3.1178482930838075E-9</v>
      </c>
      <c r="AC114" s="24">
        <f t="shared" si="57"/>
        <v>25.548984108100704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-5.1431925385259088E-14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304.47024000758387</v>
      </c>
      <c r="T115" s="62">
        <f t="shared" si="88"/>
        <v>426.50376066227295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25.04798411002572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2.2046516707504625E-9</v>
      </c>
      <c r="AC115" s="24">
        <f t="shared" si="57"/>
        <v>25.04798411223037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-5.1431925385259088E-14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304.47024000758387</v>
      </c>
      <c r="T116" s="62">
        <f t="shared" si="88"/>
        <v>426.50376066227295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24.556808419389867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1.5589241465419037E-9</v>
      </c>
      <c r="AC116" s="24">
        <f t="shared" si="57"/>
        <v>24.556808420948791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-5.1431925385259088E-14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304.47024000758387</v>
      </c>
      <c r="T117" s="62">
        <f t="shared" si="88"/>
        <v>426.50376066227295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24.075264384459796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1.1023258353752313E-9</v>
      </c>
      <c r="AC117" s="24">
        <f t="shared" si="57"/>
        <v>24.075264385562122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-5.1431925385259088E-14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304.47024000758387</v>
      </c>
      <c r="T118" s="62">
        <f t="shared" si="88"/>
        <v>426.50376066227295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23.603163134341845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7.7946207327095187E-10</v>
      </c>
      <c r="AC118" s="24">
        <f t="shared" si="57"/>
        <v>23.603163135121306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304.47024000758387</v>
      </c>
      <c r="T119" s="62">
        <f t="shared" si="88"/>
        <v>426.50376066227295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23.140319501785378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5.5116291768761563E-10</v>
      </c>
      <c r="AC119" s="24">
        <f t="shared" si="57"/>
        <v>23.140319502336542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304.47024000758387</v>
      </c>
      <c r="T120" s="62">
        <f t="shared" si="88"/>
        <v>426.50376066227295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22.686551950556602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3.8973103663547593E-10</v>
      </c>
      <c r="AC120" s="24">
        <f t="shared" si="57"/>
        <v>22.686551950946335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304.47024000758387</v>
      </c>
      <c r="T121" s="62">
        <f t="shared" si="88"/>
        <v>426.50376066227295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22.241682504236543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2.7558145884380782E-10</v>
      </c>
      <c r="AC121" s="24">
        <f t="shared" si="57"/>
        <v>22.241682504512124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304.47024000758387</v>
      </c>
      <c r="T122" s="62">
        <f t="shared" si="88"/>
        <v>426.50376066227295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21.805536676415251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1.9486551831773797E-10</v>
      </c>
      <c r="AC122" s="24">
        <f t="shared" si="57"/>
        <v>21.805536676610117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304.47024000758387</v>
      </c>
      <c r="T123" s="62">
        <f t="shared" si="88"/>
        <v>426.50376066227295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21.37794340225485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1.3779072942190391E-10</v>
      </c>
      <c r="AC123" s="24">
        <f t="shared" si="57"/>
        <v>21.377943402392642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304.47024000758387</v>
      </c>
      <c r="T124" s="62">
        <f t="shared" si="88"/>
        <v>426.50376066227295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20.958734971394588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9.7432759158868983E-11</v>
      </c>
      <c r="AC124" s="24">
        <f t="shared" si="57"/>
        <v>20.958734971492021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304.47024000758387</v>
      </c>
      <c r="T125" s="62">
        <f t="shared" si="88"/>
        <v>426.50376066227295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20.547746962171601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6.8895364710951954E-11</v>
      </c>
      <c r="AC125" s="24">
        <f t="shared" si="57"/>
        <v>20.547746962240495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304.47024000758387</v>
      </c>
      <c r="T126" s="62">
        <f t="shared" si="88"/>
        <v>426.50376066227295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20.144818177131544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4.8716379579434492E-11</v>
      </c>
      <c r="AC126" s="24">
        <f t="shared" si="57"/>
        <v>20.144818177180259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304.47024000758387</v>
      </c>
      <c r="T127" s="62">
        <f t="shared" si="88"/>
        <v>426.50376066227295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19.749790579803829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3.4447682355475977E-11</v>
      </c>
      <c r="AC127" s="24">
        <f t="shared" si="57"/>
        <v>19.749790579838276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304.47024000758387</v>
      </c>
      <c r="T128" s="62">
        <f t="shared" si="88"/>
        <v>426.50376066227295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19.362509232716668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2.4358189789717246E-11</v>
      </c>
      <c r="AC128" s="24">
        <f t="shared" si="57"/>
        <v>19.362509232741026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304.47024000758387</v>
      </c>
      <c r="T129" s="62">
        <f t="shared" si="88"/>
        <v>426.50376066227295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18.982822236627591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1.7223841177737989E-11</v>
      </c>
      <c r="AC129" s="24">
        <f t="shared" si="57"/>
        <v>18.982822236644814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304.47024000758387</v>
      </c>
      <c r="T130" s="62">
        <f t="shared" si="88"/>
        <v>426.50376066227295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18.61058067094562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1.2179094894858623E-11</v>
      </c>
      <c r="AC130" s="24">
        <f t="shared" si="57"/>
        <v>18.610580670957798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304.47024000758387</v>
      </c>
      <c r="T131" s="62">
        <f t="shared" si="88"/>
        <v>426.50376066227295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18.245638535321735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8.6119205888689943E-12</v>
      </c>
      <c r="AC131" s="24">
        <f t="shared" si="57"/>
        <v>18.245638535330347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304.47024000758387</v>
      </c>
      <c r="T132" s="62">
        <f t="shared" si="88"/>
        <v>426.50376066227295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17.887852692384712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6.0895474474293115E-12</v>
      </c>
      <c r="AC132" s="24">
        <f t="shared" ref="AC132:AC153" si="111">SUM(Z132:AB132)</f>
        <v>17.887852692390801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304.47024000758387</v>
      </c>
      <c r="T133" s="62">
        <f t="shared" ref="T133:T196" si="142">$T$3</f>
        <v>426.50376066227295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17.537082811599866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4.3059602944344971E-12</v>
      </c>
      <c r="AC133" s="24">
        <f t="shared" si="111"/>
        <v>17.537082811604172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304.47024000758387</v>
      </c>
      <c r="T134" s="62">
        <f t="shared" si="142"/>
        <v>426.50376066227295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17.193191314228709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3.0447737237146557E-12</v>
      </c>
      <c r="AC134" s="24">
        <f t="shared" si="111"/>
        <v>17.193191314231754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304.47024000758387</v>
      </c>
      <c r="T135" s="62">
        <f t="shared" si="142"/>
        <v>426.50376066227295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16.856043319367899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2.1529801472172486E-12</v>
      </c>
      <c r="AC135" s="24">
        <f t="shared" si="111"/>
        <v>16.856043319370052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304.47024000758387</v>
      </c>
      <c r="T136" s="62">
        <f t="shared" si="142"/>
        <v>426.50376066227295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16.525506591046337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1.5223868618573279E-12</v>
      </c>
      <c r="AC136" s="24">
        <f t="shared" si="111"/>
        <v>16.525506591047861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304.47024000758387</v>
      </c>
      <c r="T137" s="62">
        <f t="shared" si="142"/>
        <v>426.50376066227295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16.201451486359666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1.0764900736086243E-12</v>
      </c>
      <c r="AC137" s="24">
        <f t="shared" si="111"/>
        <v>16.201451486360742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304.47024000758387</v>
      </c>
      <c r="T138" s="62">
        <f t="shared" si="142"/>
        <v>426.50376066227295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15.883750904621802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7.6119343092866393E-13</v>
      </c>
      <c r="AC138" s="24">
        <f t="shared" si="111"/>
        <v>15.883750904622564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304.47024000758387</v>
      </c>
      <c r="T139" s="62">
        <f t="shared" si="142"/>
        <v>426.50376066227295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15.572280237513597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5.3824503680431214E-13</v>
      </c>
      <c r="AC139" s="24">
        <f t="shared" si="111"/>
        <v>15.572280237514136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304.47024000758387</v>
      </c>
      <c r="T140" s="62">
        <f t="shared" si="142"/>
        <v>426.50376066227295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15.266917320209036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3.8059671546433197E-13</v>
      </c>
      <c r="AC140" s="24">
        <f t="shared" si="111"/>
        <v>15.266917320209416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304.47024000758387</v>
      </c>
      <c r="T141" s="62">
        <f t="shared" si="142"/>
        <v>426.50376066227295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14.967542383459827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2.6912251840215607E-13</v>
      </c>
      <c r="AC141" s="24">
        <f t="shared" si="111"/>
        <v>14.967542383460097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304.47024000758387</v>
      </c>
      <c r="T142" s="62">
        <f t="shared" si="142"/>
        <v>426.50376066227295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14.674038006619591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1.9029835773216598E-13</v>
      </c>
      <c r="AC142" s="24">
        <f t="shared" si="111"/>
        <v>14.674038006619782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304.47024000758387</v>
      </c>
      <c r="T143" s="62">
        <f t="shared" si="142"/>
        <v>426.50376066227295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14.386289071589198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1.3456125920107804E-13</v>
      </c>
      <c r="AC143" s="24">
        <f t="shared" si="111"/>
        <v>14.386289071589333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304.47024000758387</v>
      </c>
      <c r="T144" s="62">
        <f t="shared" si="142"/>
        <v>426.50376066227295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14.104182717665232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9.5149178866082992E-14</v>
      </c>
      <c r="AC144" s="24">
        <f t="shared" si="111"/>
        <v>14.104182717665328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304.47024000758387</v>
      </c>
      <c r="T145" s="62">
        <f t="shared" si="142"/>
        <v>426.50376066227295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13.827608297273828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6.7280629600539018E-14</v>
      </c>
      <c r="AC145" s="24">
        <f t="shared" si="111"/>
        <v>13.827608297273896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304.47024000758387</v>
      </c>
      <c r="T146" s="62">
        <f t="shared" si="142"/>
        <v>426.50376066227295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13.556457332572561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4.7574589433041496E-14</v>
      </c>
      <c r="AC146" s="24">
        <f t="shared" si="111"/>
        <v>13.556457332572609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304.47024000758387</v>
      </c>
      <c r="T147" s="62">
        <f t="shared" si="142"/>
        <v>426.50376066227295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13.290623472903327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3.3640314800269509E-14</v>
      </c>
      <c r="AC147" s="24">
        <f t="shared" si="111"/>
        <v>13.290623472903361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304.47024000758387</v>
      </c>
      <c r="T148" s="62">
        <f t="shared" si="142"/>
        <v>426.50376066227295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13.030002453079563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2.3787294716520748E-14</v>
      </c>
      <c r="AC148" s="24">
        <f t="shared" si="111"/>
        <v>13.030002453079586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304.47024000758387</v>
      </c>
      <c r="T149" s="62">
        <f t="shared" si="142"/>
        <v>426.50376066227295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12.774492052491416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1.6820157400134754E-14</v>
      </c>
      <c r="AC149" s="24">
        <f t="shared" si="111"/>
        <v>12.774492052491432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304.47024000758387</v>
      </c>
      <c r="T150" s="62">
        <f t="shared" si="142"/>
        <v>426.50376066227295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12.523992055012847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1.1893647358260374E-14</v>
      </c>
      <c r="AC150" s="24">
        <f t="shared" si="111"/>
        <v>12.52399205501286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304.47024000758387</v>
      </c>
      <c r="T151" s="62">
        <f t="shared" si="142"/>
        <v>426.50376066227295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12.278404209694923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8.4100787000673772E-15</v>
      </c>
      <c r="AC151" s="24">
        <f t="shared" si="111"/>
        <v>12.278404209694932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304.47024000758387</v>
      </c>
      <c r="T152" s="62">
        <f t="shared" si="142"/>
        <v>426.50376066227295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12.037632192229887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5.946823679130187E-15</v>
      </c>
      <c r="AC152" s="24">
        <f t="shared" si="111"/>
        <v>12.037632192229893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304.47024000758387</v>
      </c>
      <c r="T153" s="62">
        <f t="shared" si="142"/>
        <v>426.50376066227295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11.801581567170912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4.2050393500336886E-15</v>
      </c>
      <c r="AC153" s="24">
        <f t="shared" si="111"/>
        <v>11.801581567170915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304.47024000758387</v>
      </c>
      <c r="T154" s="62">
        <f t="shared" si="142"/>
        <v>426.50376066227295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11.570159750892678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2.9734118395650935E-15</v>
      </c>
      <c r="AC154" s="24">
        <f t="shared" ref="AC154:AC203" si="163">SUM(Z154:AB154)</f>
        <v>11.570159750892682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304.47024000758387</v>
      </c>
      <c r="T155" s="62">
        <f t="shared" si="142"/>
        <v>426.50376066227295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11.34327597527829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2.1025196750168443E-15</v>
      </c>
      <c r="AC155" s="24">
        <f t="shared" si="163"/>
        <v>11.343275975278292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304.47024000758387</v>
      </c>
      <c r="T156" s="62">
        <f t="shared" si="142"/>
        <v>426.50376066227295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11.120841252118261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1.4867059197825467E-15</v>
      </c>
      <c r="AC156" s="24">
        <f t="shared" si="163"/>
        <v>11.120841252118263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304.47024000758387</v>
      </c>
      <c r="T157" s="62">
        <f t="shared" si="142"/>
        <v>426.50376066227295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10.902768338207615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1.0512598375084222E-15</v>
      </c>
      <c r="AC157" s="24">
        <f t="shared" si="163"/>
        <v>10.902768338207617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304.47024000758387</v>
      </c>
      <c r="T158" s="62">
        <f t="shared" si="142"/>
        <v>426.50376066227295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10.688971701127414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7.4335295989127337E-16</v>
      </c>
      <c r="AC158" s="24">
        <f t="shared" si="163"/>
        <v>10.688971701127414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304.47024000758387</v>
      </c>
      <c r="T159" s="62">
        <f t="shared" si="142"/>
        <v>426.50376066227295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10.479367485697283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5.2562991875421108E-16</v>
      </c>
      <c r="AC159" s="24">
        <f t="shared" si="163"/>
        <v>10.479367485697283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304.47024000758387</v>
      </c>
      <c r="T160" s="62">
        <f t="shared" si="142"/>
        <v>426.50376066227295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10.27387348108579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3.7167647994563669E-16</v>
      </c>
      <c r="AC160" s="24">
        <f t="shared" si="163"/>
        <v>10.27387348108579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304.47024000758387</v>
      </c>
      <c r="T161" s="62">
        <f t="shared" si="142"/>
        <v>426.50376066227295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10.072409088565761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2.6281495937710554E-16</v>
      </c>
      <c r="AC161" s="24">
        <f t="shared" si="163"/>
        <v>10.072409088565761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304.47024000758387</v>
      </c>
      <c r="T162" s="62">
        <f t="shared" si="142"/>
        <v>426.50376066227295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9.8748952899019038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1.8583823997281834E-16</v>
      </c>
      <c r="AC162" s="24">
        <f t="shared" si="163"/>
        <v>9.8748952899019038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304.47024000758387</v>
      </c>
      <c r="T163" s="62">
        <f t="shared" si="142"/>
        <v>426.50376066227295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9.6812546163583235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1.3140747968855277E-16</v>
      </c>
      <c r="AC163" s="24">
        <f t="shared" si="163"/>
        <v>9.6812546163583235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304.47024000758387</v>
      </c>
      <c r="T164" s="62">
        <f t="shared" si="142"/>
        <v>426.50376066227295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9.4914111183137848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9.2919119986409171E-17</v>
      </c>
      <c r="AC164" s="24">
        <f t="shared" si="163"/>
        <v>9.4914111183137848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304.47024000758387</v>
      </c>
      <c r="T165" s="62">
        <f t="shared" si="142"/>
        <v>426.50376066227295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9.3052903354727992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6.5703739844276385E-17</v>
      </c>
      <c r="AC165" s="24">
        <f t="shared" si="163"/>
        <v>9.3052903354727992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304.47024000758387</v>
      </c>
      <c r="T166" s="62">
        <f t="shared" si="142"/>
        <v>426.50376066227295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9.1228192676608568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4.6459559993204586E-17</v>
      </c>
      <c r="AC166" s="24">
        <f t="shared" si="163"/>
        <v>9.1228192676608568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304.47024000758387</v>
      </c>
      <c r="T167" s="62">
        <f t="shared" si="142"/>
        <v>426.50376066227295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8.9439263461923453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3.2851869922138192E-17</v>
      </c>
      <c r="AC167" s="24">
        <f t="shared" si="163"/>
        <v>8.9439263461923453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304.47024000758387</v>
      </c>
      <c r="T168" s="62">
        <f t="shared" si="142"/>
        <v>426.50376066227295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8.7685414057999225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2.3229779996602293E-17</v>
      </c>
      <c r="AC168" s="24">
        <f t="shared" si="163"/>
        <v>8.7685414057999225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304.47024000758387</v>
      </c>
      <c r="T169" s="62">
        <f t="shared" si="142"/>
        <v>426.50376066227295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8.596595657114344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1.6425934961069096E-17</v>
      </c>
      <c r="AC169" s="24">
        <f t="shared" si="163"/>
        <v>8.596595657114344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304.47024000758387</v>
      </c>
      <c r="T170" s="62">
        <f t="shared" si="142"/>
        <v>426.50376066227295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8.4280216596839388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1.1614889998301146E-17</v>
      </c>
      <c r="AC170" s="24">
        <f t="shared" si="163"/>
        <v>8.4280216596839388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304.47024000758387</v>
      </c>
      <c r="T171" s="62">
        <f t="shared" si="142"/>
        <v>426.50376066227295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8.262753295523158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8.2129674805345481E-18</v>
      </c>
      <c r="AC171" s="24">
        <f t="shared" si="163"/>
        <v>8.262753295523158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304.47024000758387</v>
      </c>
      <c r="T172" s="62">
        <f t="shared" si="142"/>
        <v>426.50376066227295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8.1007257431798223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5.8074449991505732E-18</v>
      </c>
      <c r="AC172" s="24">
        <f t="shared" si="163"/>
        <v>8.1007257431798223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304.47024000758387</v>
      </c>
      <c r="T173" s="62">
        <f t="shared" si="142"/>
        <v>426.50376066227295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7.9418754523108905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4.106483740267274E-18</v>
      </c>
      <c r="AC173" s="24">
        <f t="shared" si="163"/>
        <v>7.9418754523108905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304.47024000758387</v>
      </c>
      <c r="T174" s="62">
        <f t="shared" si="142"/>
        <v>426.50376066227295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7.786140118756788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2.9037224995752866E-18</v>
      </c>
      <c r="AC174" s="24">
        <f t="shared" si="163"/>
        <v>7.786140118756788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304.47024000758387</v>
      </c>
      <c r="T175" s="62">
        <f t="shared" si="142"/>
        <v>426.50376066227295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7.6334586601045071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2.053241870133637E-18</v>
      </c>
      <c r="AC175" s="24">
        <f t="shared" si="163"/>
        <v>7.6334586601045071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304.47024000758387</v>
      </c>
      <c r="T176" s="62">
        <f t="shared" si="142"/>
        <v>426.50376066227295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7.4837711917299039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1.4518612497876433E-18</v>
      </c>
      <c r="AC176" s="24">
        <f t="shared" si="163"/>
        <v>7.4837711917299039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304.47024000758387</v>
      </c>
      <c r="T177" s="62">
        <f t="shared" si="142"/>
        <v>426.50376066227295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7.337019003309786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1.0266209350668185E-18</v>
      </c>
      <c r="AC177" s="24">
        <f t="shared" si="163"/>
        <v>7.337019003309786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304.47024000758387</v>
      </c>
      <c r="T178" s="62">
        <f t="shared" si="142"/>
        <v>426.50376066227295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7.1931445357945893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7.2593062489382165E-19</v>
      </c>
      <c r="AC178" s="24">
        <f t="shared" si="163"/>
        <v>7.1931445357945893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304.47024000758387</v>
      </c>
      <c r="T179" s="62">
        <f t="shared" si="142"/>
        <v>426.50376066227295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7.0520913588326062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5.1331046753340925E-19</v>
      </c>
      <c r="AC179" s="24">
        <f t="shared" si="163"/>
        <v>7.0520913588326062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304.47024000758387</v>
      </c>
      <c r="T180" s="62">
        <f t="shared" si="142"/>
        <v>426.50376066227295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6.9138041486369044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3.6296531244691083E-19</v>
      </c>
      <c r="AC180" s="24">
        <f t="shared" si="163"/>
        <v>6.9138041486369044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304.47024000758387</v>
      </c>
      <c r="T181" s="62">
        <f t="shared" si="142"/>
        <v>426.50376066227295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6.778228666286271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2.5665523376670463E-19</v>
      </c>
      <c r="AC181" s="24">
        <f t="shared" si="163"/>
        <v>6.778228666286271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304.47024000758387</v>
      </c>
      <c r="T182" s="62">
        <f t="shared" si="142"/>
        <v>426.50376066227295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6.6453117364516547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1.8148265622345541E-19</v>
      </c>
      <c r="AC182" s="24">
        <f t="shared" si="163"/>
        <v>6.6453117364516547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304.47024000758387</v>
      </c>
      <c r="T183" s="62">
        <f t="shared" si="142"/>
        <v>426.50376066227295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6.5150012265397725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1.2832761688335231E-19</v>
      </c>
      <c r="AC183" s="24">
        <f t="shared" si="163"/>
        <v>6.5150012265397725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304.47024000758387</v>
      </c>
      <c r="T184" s="62">
        <f t="shared" si="142"/>
        <v>426.50376066227295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6.3872460262457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9.0741328111727706E-20</v>
      </c>
      <c r="AC184" s="24">
        <f t="shared" si="163"/>
        <v>6.3872460262457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304.47024000758387</v>
      </c>
      <c r="T185" s="62">
        <f t="shared" si="142"/>
        <v>426.50376066227295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6.2619960275064157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6.4163808441676157E-20</v>
      </c>
      <c r="AC185" s="24">
        <f t="shared" si="163"/>
        <v>6.2619960275064157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304.47024000758387</v>
      </c>
      <c r="T186" s="62">
        <f t="shared" si="142"/>
        <v>426.50376066227295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6.1392021048474534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4.5370664055863853E-20</v>
      </c>
      <c r="AC186" s="24">
        <f t="shared" si="163"/>
        <v>6.1392021048474534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304.47024000758387</v>
      </c>
      <c r="T187" s="62">
        <f t="shared" si="142"/>
        <v>426.50376066227295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6.0188160961149357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3.2081904220838078E-20</v>
      </c>
      <c r="AC187" s="24">
        <f t="shared" si="163"/>
        <v>6.0188160961149357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304.47024000758387</v>
      </c>
      <c r="T188" s="62">
        <f t="shared" si="142"/>
        <v>426.50376066227295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5.9007907835854478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2.2685332027931927E-20</v>
      </c>
      <c r="AC188" s="24">
        <f t="shared" si="163"/>
        <v>5.9007907835854478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304.47024000758387</v>
      </c>
      <c r="T189" s="62">
        <f t="shared" si="142"/>
        <v>426.50376066227295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5.7850798754463311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1.6040952110419039E-20</v>
      </c>
      <c r="AC189" s="24">
        <f t="shared" si="163"/>
        <v>5.7850798754463311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304.47024000758387</v>
      </c>
      <c r="T190" s="62">
        <f t="shared" si="142"/>
        <v>426.50376066227295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5.6716379876391372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1.1342666013965963E-20</v>
      </c>
      <c r="AC190" s="24">
        <f t="shared" si="163"/>
        <v>5.6716379876391372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304.47024000758387</v>
      </c>
      <c r="T191" s="62">
        <f t="shared" si="142"/>
        <v>426.50376066227295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5.5604206260591234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8.0204760552095196E-21</v>
      </c>
      <c r="AC191" s="24">
        <f t="shared" si="163"/>
        <v>5.5604206260591234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304.47024000758387</v>
      </c>
      <c r="T192" s="62">
        <f t="shared" si="142"/>
        <v>426.50376066227295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5.4513841691038012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5.6713330069829817E-21</v>
      </c>
      <c r="AC192" s="24">
        <f t="shared" si="163"/>
        <v>5.4513841691038012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304.47024000758387</v>
      </c>
      <c r="T193" s="62">
        <f t="shared" si="142"/>
        <v>426.50376066227295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5.344485850563701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4.0102380276047598E-21</v>
      </c>
      <c r="AC193" s="24">
        <f t="shared" si="163"/>
        <v>5.344485850563701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304.47024000758387</v>
      </c>
      <c r="T194" s="62">
        <f t="shared" si="142"/>
        <v>426.50376066227295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5.2396837428486354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2.8356665034914908E-21</v>
      </c>
      <c r="AC194" s="24">
        <f t="shared" si="163"/>
        <v>5.2396837428486354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304.47024000758387</v>
      </c>
      <c r="T195" s="62">
        <f t="shared" si="142"/>
        <v>426.50376066227295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5.1369367405428887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2.0051190138023799E-21</v>
      </c>
      <c r="AC195" s="24">
        <f t="shared" si="163"/>
        <v>5.1369367405428887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304.47024000758387</v>
      </c>
      <c r="T196" s="62">
        <f t="shared" si="142"/>
        <v>426.50376066227295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5.0362045442828745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1.4178332517457454E-21</v>
      </c>
      <c r="AC196" s="24">
        <f t="shared" si="163"/>
        <v>5.0362045442828745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304.47024000758387</v>
      </c>
      <c r="T197" s="62">
        <f t="shared" ref="T197:T203" si="204">$T$3</f>
        <v>426.50376066227295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4.9374476449509457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1.0025595069011899E-21</v>
      </c>
      <c r="AC197" s="24">
        <f t="shared" si="163"/>
        <v>4.9374476449509457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304.47024000758387</v>
      </c>
      <c r="T198" s="62">
        <f t="shared" si="204"/>
        <v>426.50376066227295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4.8406273081791555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7.0891662587287271E-22</v>
      </c>
      <c r="AC198" s="24">
        <f t="shared" si="163"/>
        <v>4.8406273081791555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304.47024000758387</v>
      </c>
      <c r="T199" s="62">
        <f t="shared" si="204"/>
        <v>426.50376066227295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4.7457055591568862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5.0127975345059497E-22</v>
      </c>
      <c r="AC199" s="24">
        <f t="shared" si="163"/>
        <v>4.7457055591568862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304.47024000758387</v>
      </c>
      <c r="T200" s="62">
        <f t="shared" si="204"/>
        <v>426.50376066227295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4.6526451677363934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3.5445831293643635E-22</v>
      </c>
      <c r="AC200" s="24">
        <f t="shared" si="163"/>
        <v>4.6526451677363934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304.47024000758387</v>
      </c>
      <c r="T201" s="62">
        <f t="shared" si="204"/>
        <v>426.50376066227295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4.5614096338304222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2.5063987672529749E-22</v>
      </c>
      <c r="AC201" s="24">
        <f t="shared" si="163"/>
        <v>4.5614096338304222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304.47024000758387</v>
      </c>
      <c r="T202" s="62">
        <f t="shared" si="204"/>
        <v>426.50376066227295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4.4719631730961664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1.7722915646821818E-22</v>
      </c>
      <c r="AC202" s="24">
        <f t="shared" si="163"/>
        <v>4.4719631730961664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304.47024000758387</v>
      </c>
      <c r="T203" s="62">
        <f t="shared" si="204"/>
        <v>426.50376066227295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4.384270702899955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1.2531993836264874E-22</v>
      </c>
      <c r="AC203" s="24">
        <f t="shared" si="163"/>
        <v>4.384270702899955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2.0243974584998852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D11" sqref="D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1.6</v>
      </c>
      <c r="C6" s="156">
        <f ca="1">IF(OR('Données projet'!B9="",'Données projet'!C9="",'Données projet'!C9=0%),0,Calculateur!S3)</f>
        <v>304.47024000758387</v>
      </c>
      <c r="D6" s="156">
        <f>IF(OR('Données projet'!B9="",'Données projet'!C9="",'Données projet'!C9=0%),0,Calculateur!T3)</f>
        <v>426.50376066227295</v>
      </c>
      <c r="E6" s="156">
        <f ca="1">MIN(C6,D6)</f>
        <v>304.47024000758387</v>
      </c>
      <c r="F6" s="156">
        <f ca="1">E6*B6</f>
        <v>487.15238401213423</v>
      </c>
      <c r="G6" s="156">
        <f ca="1">F6*(100%-'Données projet'!$C$24)*(100%-'Données projet'!$C$25)*(100%-'Données projet'!$C$26)*(100%-'Données projet'!$C$27)</f>
        <v>394.59343104982872</v>
      </c>
      <c r="H6" s="157">
        <f>IF(OR('Données projet'!B9="",'Données projet'!C9="",'Données projet'!C9=0%),0,AVERAGE(Calculateur!$AC$3:$AC$33)*B6)</f>
        <v>13.433499482885438</v>
      </c>
      <c r="I6" s="158">
        <f>H6*(100%-'Données projet'!$C$24)*(100%-'Données projet'!$C$25)*(100%-'Données projet'!$C$26)*(100%-'Données projet'!$C$27)</f>
        <v>10.881134581137205</v>
      </c>
      <c r="J6" s="159">
        <f>IF(OR('Données projet'!B9="",'Données projet'!C9="",'Données projet'!C9=0%),0,SUM(Calculateur!$V$3:$V$33)*VLOOKUP('Données projet'!$B$9,Paramètres!$A$1:$I$89,9,0)*B6)</f>
        <v>40</v>
      </c>
      <c r="K6" s="160">
        <f>J6*(100%-'Données projet'!$C$24)*(100%-'Données projet'!$C$25)*(100%-'Données projet'!$C$26)*(100%-'Données projet'!$C$27)</f>
        <v>32.4</v>
      </c>
      <c r="L6" s="161">
        <f ca="1">G6+I6+K6</f>
        <v>437.87456563096589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487.15238401213423</v>
      </c>
      <c r="G16" s="175">
        <f t="shared" ca="1" si="3"/>
        <v>394.59343104982872</v>
      </c>
      <c r="H16" s="176">
        <f t="shared" si="3"/>
        <v>13.433499482885438</v>
      </c>
      <c r="I16" s="176">
        <f t="shared" si="3"/>
        <v>10.881134581137205</v>
      </c>
      <c r="J16" s="177">
        <f t="shared" si="3"/>
        <v>40</v>
      </c>
      <c r="K16" s="177">
        <f t="shared" si="3"/>
        <v>32.4</v>
      </c>
      <c r="L16" s="178">
        <f t="shared" ca="1" si="3"/>
        <v>437.87456563096589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I34" sqref="I3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3081.4264183186879</v>
      </c>
      <c r="U10" s="190">
        <f>'Données projet'!D9</f>
        <v>1.6</v>
      </c>
      <c r="V10" s="189">
        <f>U10*T10</f>
        <v>4930.2822693099006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40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800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3000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759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151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6</v>
      </c>
      <c r="C23" s="206">
        <v>15</v>
      </c>
      <c r="D23" s="194">
        <f>B23*C23</f>
        <v>90</v>
      </c>
      <c r="E23" s="206"/>
      <c r="F23" s="261"/>
      <c r="H23" s="203">
        <v>3</v>
      </c>
      <c r="I23" s="204">
        <v>162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-1480.1994298379777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28</v>
      </c>
      <c r="C24" s="206">
        <v>20</v>
      </c>
      <c r="D24" s="194">
        <f t="shared" ref="D24:D42" si="2">B24*C24</f>
        <v>560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220.06873739188492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23</v>
      </c>
      <c r="C25" s="206">
        <v>25</v>
      </c>
      <c r="D25" s="194">
        <f t="shared" si="2"/>
        <v>575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-1700.2681672298627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18</v>
      </c>
      <c r="C26" s="206">
        <v>30</v>
      </c>
      <c r="D26" s="194">
        <f t="shared" si="2"/>
        <v>540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14</v>
      </c>
      <c r="C27" s="206">
        <v>35</v>
      </c>
      <c r="D27" s="194">
        <f t="shared" si="2"/>
        <v>490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11</v>
      </c>
      <c r="C28" s="206">
        <v>40</v>
      </c>
      <c r="D28" s="194">
        <f t="shared" si="2"/>
        <v>440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9</v>
      </c>
      <c r="C29" s="206">
        <v>40</v>
      </c>
      <c r="D29" s="194">
        <f t="shared" si="2"/>
        <v>360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7</v>
      </c>
      <c r="C30" s="206">
        <v>40</v>
      </c>
      <c r="D30" s="194">
        <f t="shared" si="2"/>
        <v>280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312</v>
      </c>
      <c r="C31" s="206">
        <v>40</v>
      </c>
      <c r="D31" s="194">
        <f t="shared" si="2"/>
        <v>12480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/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2024-09-09T12:35:01Z</dcterms:modified>
</cp:coreProperties>
</file>